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Financial Reports/"/>
    </mc:Choice>
  </mc:AlternateContent>
  <bookViews>
    <workbookView xWindow="0" yWindow="0" windowWidth="28800" windowHeight="135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13" sheetId="94" r:id="rId81"/>
    <sheet name="414" sheetId="95" r:id="rId82"/>
    <sheet name="415" sheetId="96" r:id="rId83"/>
    <sheet name="418" sheetId="98" r:id="rId84"/>
    <sheet name="420" sheetId="99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8">'300'!$D$13:$D$89</definedName>
    <definedName name="OSRRefD13x_0" localSheetId="49">'300 &amp; 317'!$D$13:$D$102</definedName>
    <definedName name="OSRRefD13x_0" localSheetId="53">'307'!$D$13:$D$36</definedName>
    <definedName name="OSRRefD13x_0" localSheetId="55">'308'!$D$13:$D$34</definedName>
    <definedName name="OSRRefD13x_0" localSheetId="67">'309'!$D$13:$D$14</definedName>
    <definedName name="OSRRefD13x_0" localSheetId="66">'310'!$D$13:$D$20</definedName>
    <definedName name="OSRRefD13x_0" localSheetId="74">'310 &amp; 491'!$D$13:$D$27</definedName>
    <definedName name="OSRRefD13x_0" localSheetId="56">'311'!$D$13:$D$33</definedName>
    <definedName name="OSRRefD13x_0" localSheetId="68">'313'!$D$13:$D$17</definedName>
    <definedName name="OSRRefD13x_0" localSheetId="54">'314'!$D$13:$D$29</definedName>
    <definedName name="OSRRefD13x_0" localSheetId="59">'315'!$D$13:$D$29</definedName>
    <definedName name="OSRRefD13x_0" localSheetId="62">'316'!$D$13:$D$22</definedName>
    <definedName name="OSRRefD13x_0" localSheetId="65">'317'!$D$13:$D$30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'326'!$D$13:$D$28</definedName>
    <definedName name="OSRRefD13x_0" localSheetId="72">'327'!$D$13</definedName>
    <definedName name="OSRRefD13x_0" localSheetId="52">'330'!$D$13:$D$45</definedName>
    <definedName name="OSRRefD13x_0" localSheetId="58">'331'!$D$13:$D$34</definedName>
    <definedName name="OSRRefD13x_0" localSheetId="61">'332'!$D$13:$D$25</definedName>
    <definedName name="OSRRefD13x_0" localSheetId="76">'405'!$D$13:$D$14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6">'424'!$D$13</definedName>
    <definedName name="OSRRefD13x_0" localSheetId="87">'425'!$D$13:$D$14</definedName>
    <definedName name="OSRRefD13x_0" localSheetId="91">'433'!$D$13:$D$15</definedName>
    <definedName name="OSRRefD13x_0" localSheetId="93">'444'!$D$13:$D$15</definedName>
    <definedName name="OSRRefD13x_0" localSheetId="95">'450'!$D$13:$D$14</definedName>
    <definedName name="OSRRefD13x_0" localSheetId="75">'491'!$D$13:$D$21</definedName>
    <definedName name="OSRRefD13x_0" localSheetId="89">'492'!$D$13:$D$15</definedName>
    <definedName name="OSRRefD13x_0" localSheetId="97">'501'!$D$13</definedName>
    <definedName name="OSRRefD13x_0" localSheetId="47">'Div 3'!$D$13:$D$92</definedName>
    <definedName name="OSRRefD13x_0" localSheetId="73">'Div 4'!$D$13:$D$22</definedName>
    <definedName name="OSRRefD13x_0" localSheetId="96">'Div 5'!$D$13</definedName>
    <definedName name="OSRRefD13x_0" localSheetId="64">'Div 6'!$D$13:$D$30</definedName>
    <definedName name="OSRRefD13x_0" localSheetId="2">Summary!$D$13:$D$112</definedName>
    <definedName name="OSRRefD16x_0" localSheetId="48">'300'!$D$92:$D$131</definedName>
    <definedName name="OSRRefD16x_0" localSheetId="49">'300 &amp; 317'!$D$105:$D$151</definedName>
    <definedName name="OSRRefD16x_0" localSheetId="53">'307'!$D$39:$D$48</definedName>
    <definedName name="OSRRefD16x_0" localSheetId="55">'308'!$D$37:$D$49</definedName>
    <definedName name="OSRRefD16x_0" localSheetId="67">'309'!$D$17:$D$18</definedName>
    <definedName name="OSRRefD16x_0" localSheetId="66">'310'!$D$23:$D$24</definedName>
    <definedName name="OSRRefD16x_0" localSheetId="74">'310 &amp; 491'!$D$30:$D$31</definedName>
    <definedName name="OSRRefD16x_0" localSheetId="56">'311'!$D$36:$D$48</definedName>
    <definedName name="OSRRefD16x_0" localSheetId="68">'313'!$D$20:$D$21</definedName>
    <definedName name="OSRRefD16x_0" localSheetId="54">'314'!$D$32:$D$43</definedName>
    <definedName name="OSRRefD16x_0" localSheetId="59">'315'!$D$32:$D$44</definedName>
    <definedName name="OSRRefD16x_0" localSheetId="65">'317'!$D$33:$D$41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'326'!$D$31:$D$43</definedName>
    <definedName name="OSRRefD16x_0" localSheetId="72">'327'!$D$16</definedName>
    <definedName name="OSRRefD16x_0" localSheetId="52">'330'!$D$48:$D$62</definedName>
    <definedName name="OSRRefD16x_0" localSheetId="58">'331'!$D$37:$D$55</definedName>
    <definedName name="OSRRefD16x_0" localSheetId="61">'332'!$D$28:$D$32</definedName>
    <definedName name="OSRRefD16x_0" localSheetId="76">'405'!$D$17:$D$18</definedName>
    <definedName name="OSRRefD16x_0" localSheetId="77">'406'!$D$15:$D$16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6">'424'!$D$16:$D$17</definedName>
    <definedName name="OSRRefD16x_0" localSheetId="87">'425'!$D$17:$D$18</definedName>
    <definedName name="OSRRefD16x_0" localSheetId="91">'433'!$D$18:$D$19</definedName>
    <definedName name="OSRRefD16x_0" localSheetId="93">'444'!$D$18:$D$19</definedName>
    <definedName name="OSRRefD16x_0" localSheetId="95">'450'!$D$17:$D$18</definedName>
    <definedName name="OSRRefD16x_0" localSheetId="75">'491'!$D$24:$D$25</definedName>
    <definedName name="OSRRefD16x_0" localSheetId="89">'492'!$D$18:$D$19</definedName>
    <definedName name="OSRRefD16x_0" localSheetId="47">'Div 3'!$D$95:$D$136</definedName>
    <definedName name="OSRRefD16x_0" localSheetId="73">'Div 4'!$D$25:$D$26</definedName>
    <definedName name="OSRRefD16x_0" localSheetId="64">'Div 6'!$D$33:$D$41</definedName>
    <definedName name="OSRRefD16x_0" localSheetId="2">Summary!$D$115:$D$163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'300'!$D$137:$D$145</definedName>
    <definedName name="OSRRefD22_0x_0" localSheetId="49">'300 &amp; 317'!$D$157:$D$165</definedName>
    <definedName name="OSRRefD22_0x_0" localSheetId="50">'301'!$D$20:$D$27</definedName>
    <definedName name="OSRRefD22_0x_0" localSheetId="51">'306'!$D$20:$D$28</definedName>
    <definedName name="OSRRefD22_0x_0" localSheetId="53">'307'!$D$54:$D$61</definedName>
    <definedName name="OSRRefD22_0x_0" localSheetId="55">'308'!$D$55:$D$63</definedName>
    <definedName name="OSRRefD22_0x_0" localSheetId="67">'309'!$D$24:$D$31</definedName>
    <definedName name="OSRRefD22_0x_0" localSheetId="66">'310'!$D$30:$D$37</definedName>
    <definedName name="OSRRefD22_0x_0" localSheetId="74">'310 &amp; 491'!$D$37:$D$45</definedName>
    <definedName name="OSRRefD22_0x_0" localSheetId="56">'311'!$D$54:$D$62</definedName>
    <definedName name="OSRRefD22_0x_0" localSheetId="68">'313'!$D$27:$D$34</definedName>
    <definedName name="OSRRefD22_0x_0" localSheetId="54">'314'!$D$49:$D$55</definedName>
    <definedName name="OSRRefD22_0x_0" localSheetId="59">'315'!$D$50:$D$57</definedName>
    <definedName name="OSRRefD22_0x_0" localSheetId="62">'316'!$D$30:$D$37</definedName>
    <definedName name="OSRRefD22_0x_0" localSheetId="65">'317'!$D$47:$D$55</definedName>
    <definedName name="OSRRefD22_0x_0" localSheetId="63">'320'!$D$28:$D$34</definedName>
    <definedName name="OSRRefD22_0x_0" localSheetId="69">'321'!$D$24:$D$28</definedName>
    <definedName name="OSRRefD22_0x_0" localSheetId="70">'322'!$D$24:$D$31</definedName>
    <definedName name="OSRRefD22_0x_0" localSheetId="71">'325'!$D$24:$D$31</definedName>
    <definedName name="OSRRefD22_0x_0" localSheetId="60">'326'!$D$49:$D$56</definedName>
    <definedName name="OSRRefD22_0x_0" localSheetId="72">'327'!$D$22</definedName>
    <definedName name="OSRRefD22_0x_0" localSheetId="52">'330'!$D$68:$D$75</definedName>
    <definedName name="OSRRefD22_0x_0" localSheetId="58">'331'!$D$61:$D$68</definedName>
    <definedName name="OSRRefD22_0x_0" localSheetId="61">'332'!$D$38:$D$45</definedName>
    <definedName name="OSRRefD22_0x_0" localSheetId="76">'405'!$D$24:$D$31</definedName>
    <definedName name="OSRRefD22_0x_0" localSheetId="77">'406'!$D$22:$D$29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5">'423'!$D$20:$D$27</definedName>
    <definedName name="OSRRefD22_0x_0" localSheetId="86">'424'!$D$23:$D$25</definedName>
    <definedName name="OSRRefD22_0x_0" localSheetId="87">'425'!$D$24:$D$31</definedName>
    <definedName name="OSRRefD22_0x_0" localSheetId="90">'430'!$D$20:$D$27</definedName>
    <definedName name="OSRRefD22_0x_0" localSheetId="91">'433'!$D$25:$D$33</definedName>
    <definedName name="OSRRefD22_0x_0" localSheetId="92">'435'!$D$20:$D$21</definedName>
    <definedName name="OSRRefD22_0x_0" localSheetId="93">'444'!$D$25:$D$33</definedName>
    <definedName name="OSRRefD22_0x_0" localSheetId="94">'445'!$D$20</definedName>
    <definedName name="OSRRefD22_0x_0" localSheetId="95">'450'!$D$24:$D$32</definedName>
    <definedName name="OSRRefD22_0x_0" localSheetId="88">'455'!$D$20:$D$26</definedName>
    <definedName name="OSRRefD22_0x_0" localSheetId="75">'491'!$D$31:$D$39</definedName>
    <definedName name="OSRRefD22_0x_0" localSheetId="89">'492'!$D$25:$D$33</definedName>
    <definedName name="OSRRefD22_0x_0" localSheetId="97">'501'!$D$21:$D$28</definedName>
    <definedName name="OSRRefD22_0x_0" localSheetId="39">'Div 2'!$D$20:$D$29</definedName>
    <definedName name="OSRRefD22_0x_0" localSheetId="47">'Div 3'!$D$142:$D$150</definedName>
    <definedName name="OSRRefD22_0x_0" localSheetId="73">'Div 4'!$D$32:$D$40</definedName>
    <definedName name="OSRRefD22_0x_0" localSheetId="96">'Div 5'!$D$21:$D$28</definedName>
    <definedName name="OSRRefD22_0x_0" localSheetId="64">'Div 6'!$D$47:$D$55</definedName>
    <definedName name="OSRRefD22_0x_0" localSheetId="2">Summary!$D$169:$D$177</definedName>
    <definedName name="OSRRefD22_10x_0" localSheetId="41">'201'!$D$50:$D$51</definedName>
    <definedName name="OSRRefD22_10x_0" localSheetId="42">'202'!$D$50</definedName>
    <definedName name="OSRRefD22_10x_0" localSheetId="43">'203'!$D$52:$D$54</definedName>
    <definedName name="OSRRefD22_10x_0" localSheetId="48">'300'!$D$173:$D$174</definedName>
    <definedName name="OSRRefD22_10x_0" localSheetId="49">'300 &amp; 317'!$D$193:$D$194</definedName>
    <definedName name="OSRRefD22_10x_0" localSheetId="50">'301'!$D$53</definedName>
    <definedName name="OSRRefD22_10x_0" localSheetId="55">'308'!$D$89:$D$91</definedName>
    <definedName name="OSRRefD22_10x_0" localSheetId="67">'309'!$D$56:$D$59</definedName>
    <definedName name="OSRRefD22_10x_0" localSheetId="66">'310'!$D$62</definedName>
    <definedName name="OSRRefD22_10x_0" localSheetId="74">'310 &amp; 491'!$D$73</definedName>
    <definedName name="OSRRefD22_10x_0" localSheetId="56">'311'!$D$88:$D$90</definedName>
    <definedName name="OSRRefD22_10x_0" localSheetId="68">'313'!$D$57:$D$59</definedName>
    <definedName name="OSRRefD22_10x_0" localSheetId="59">'315'!$D$83</definedName>
    <definedName name="OSRRefD22_10x_0" localSheetId="69">'321'!$D$54</definedName>
    <definedName name="OSRRefD22_10x_0" localSheetId="70">'322'!$D$54:$D$56</definedName>
    <definedName name="OSRRefD22_10x_0" localSheetId="71">'325'!$D$55</definedName>
    <definedName name="OSRRefD22_10x_0" localSheetId="60">'326'!$D$79</definedName>
    <definedName name="OSRRefD22_10x_0" localSheetId="58">'331'!$D$91</definedName>
    <definedName name="OSRRefD22_10x_0" localSheetId="61">'332'!$D$73</definedName>
    <definedName name="OSRRefD22_10x_0" localSheetId="76">'405'!$D$54</definedName>
    <definedName name="OSRRefD22_10x_0" localSheetId="78">'411'!$D$64</definedName>
    <definedName name="OSRRefD22_10x_0" localSheetId="79">'412'!$D$56:$D$62</definedName>
    <definedName name="OSRRefD22_10x_0" localSheetId="80">'413'!$D$56</definedName>
    <definedName name="OSRRefD22_10x_0" localSheetId="81">'414'!$D$54</definedName>
    <definedName name="OSRRefD22_10x_0" localSheetId="82">'415'!$D$55</definedName>
    <definedName name="OSRRefD22_10x_0" localSheetId="83">'418'!$D$58:$D$61</definedName>
    <definedName name="OSRRefD22_10x_0" localSheetId="87">'425'!$D$56:$D$58</definedName>
    <definedName name="OSRRefD22_10x_0" localSheetId="91">'433'!$D$64</definedName>
    <definedName name="OSRRefD22_10x_0" localSheetId="93">'444'!$D$61:$D$65</definedName>
    <definedName name="OSRRefD22_10x_0" localSheetId="95">'450'!$D$62</definedName>
    <definedName name="OSRRefD22_10x_0" localSheetId="75">'491'!$D$67</definedName>
    <definedName name="OSRRefD22_10x_0" localSheetId="89">'492'!$D$59:$D$60</definedName>
    <definedName name="OSRRefD22_10x_0" localSheetId="39">'Div 2'!$D$56</definedName>
    <definedName name="OSRRefD22_10x_0" localSheetId="47">'Div 3'!$D$178:$D$179</definedName>
    <definedName name="OSRRefD22_10x_0" localSheetId="73">'Div 4'!$D$68</definedName>
    <definedName name="OSRRefD22_10x_0" localSheetId="2">Summary!$D$206:$D$207</definedName>
    <definedName name="OSRRefD22_11x_0" localSheetId="41">'201'!$D$53</definedName>
    <definedName name="OSRRefD22_11x_0" localSheetId="42">'202'!$D$52</definedName>
    <definedName name="OSRRefD22_11x_0" localSheetId="43">'203'!$D$56</definedName>
    <definedName name="OSRRefD22_11x_0" localSheetId="48">'300'!$D$176</definedName>
    <definedName name="OSRRefD22_11x_0" localSheetId="49">'300 &amp; 317'!$D$196</definedName>
    <definedName name="OSRRefD22_11x_0" localSheetId="50">'301'!$D$55</definedName>
    <definedName name="OSRRefD22_11x_0" localSheetId="55">'308'!$D$93:$D$94</definedName>
    <definedName name="OSRRefD22_11x_0" localSheetId="67">'309'!$D$61</definedName>
    <definedName name="OSRRefD22_11x_0" localSheetId="66">'310'!$D$64</definedName>
    <definedName name="OSRRefD22_11x_0" localSheetId="74">'310 &amp; 491'!$D$75</definedName>
    <definedName name="OSRRefD22_11x_0" localSheetId="56">'311'!$D$92:$D$93</definedName>
    <definedName name="OSRRefD22_11x_0" localSheetId="68">'313'!$D$61</definedName>
    <definedName name="OSRRefD22_11x_0" localSheetId="59">'315'!$D$85</definedName>
    <definedName name="OSRRefD22_11x_0" localSheetId="69">'321'!$D$56</definedName>
    <definedName name="OSRRefD22_11x_0" localSheetId="70">'322'!$D$58:$D$61</definedName>
    <definedName name="OSRRefD22_11x_0" localSheetId="71">'325'!$D$57:$D$59</definedName>
    <definedName name="OSRRefD22_11x_0" localSheetId="60">'326'!$D$81</definedName>
    <definedName name="OSRRefD22_11x_0" localSheetId="58">'331'!$D$93</definedName>
    <definedName name="OSRRefD22_11x_0" localSheetId="76">'405'!$D$56:$D$58</definedName>
    <definedName name="OSRRefD22_11x_0" localSheetId="78">'411'!$D$66</definedName>
    <definedName name="OSRRefD22_11x_0" localSheetId="79">'412'!$D$64</definedName>
    <definedName name="OSRRefD22_11x_0" localSheetId="81">'414'!$D$56</definedName>
    <definedName name="OSRRefD22_11x_0" localSheetId="82">'415'!$D$57</definedName>
    <definedName name="OSRRefD22_11x_0" localSheetId="83">'418'!$D$63</definedName>
    <definedName name="OSRRefD22_11x_0" localSheetId="87">'425'!$D$60</definedName>
    <definedName name="OSRRefD22_11x_0" localSheetId="91">'433'!$D$66</definedName>
    <definedName name="OSRRefD22_11x_0" localSheetId="93">'444'!$D$67</definedName>
    <definedName name="OSRRefD22_11x_0" localSheetId="95">'450'!$D$64</definedName>
    <definedName name="OSRRefD22_11x_0" localSheetId="75">'491'!$D$69</definedName>
    <definedName name="OSRRefD22_11x_0" localSheetId="89">'492'!$D$62:$D$64</definedName>
    <definedName name="OSRRefD22_11x_0" localSheetId="39">'Div 2'!$D$58</definedName>
    <definedName name="OSRRefD22_11x_0" localSheetId="47">'Div 3'!$D$181</definedName>
    <definedName name="OSRRefD22_11x_0" localSheetId="73">'Div 4'!$D$70</definedName>
    <definedName name="OSRRefD22_11x_0" localSheetId="2">Summary!$D$209</definedName>
    <definedName name="OSRRefD22_12x_0" localSheetId="41">'201'!$D$55:$D$56</definedName>
    <definedName name="OSRRefD22_12x_0" localSheetId="43">'203'!$D$58</definedName>
    <definedName name="OSRRefD22_12x_0" localSheetId="48">'300'!$D$178</definedName>
    <definedName name="OSRRefD22_12x_0" localSheetId="49">'300 &amp; 317'!$D$198</definedName>
    <definedName name="OSRRefD22_12x_0" localSheetId="50">'301'!$D$57</definedName>
    <definedName name="OSRRefD22_12x_0" localSheetId="55">'308'!$D$96</definedName>
    <definedName name="OSRRefD22_12x_0" localSheetId="66">'310'!$D$66</definedName>
    <definedName name="OSRRefD22_12x_0" localSheetId="74">'310 &amp; 491'!$D$77</definedName>
    <definedName name="OSRRefD22_12x_0" localSheetId="56">'311'!$D$95</definedName>
    <definedName name="OSRRefD22_12x_0" localSheetId="68">'313'!$D$63</definedName>
    <definedName name="OSRRefD22_12x_0" localSheetId="70">'322'!$D$63</definedName>
    <definedName name="OSRRefD22_12x_0" localSheetId="71">'325'!$D$61</definedName>
    <definedName name="OSRRefD22_12x_0" localSheetId="60">'326'!$D$83:$D$85</definedName>
    <definedName name="OSRRefD22_12x_0" localSheetId="58">'331'!$D$95</definedName>
    <definedName name="OSRRefD22_12x_0" localSheetId="76">'405'!$D$60</definedName>
    <definedName name="OSRRefD22_12x_0" localSheetId="78">'411'!$D$68:$D$70</definedName>
    <definedName name="OSRRefD22_12x_0" localSheetId="81">'414'!$D$58:$D$62</definedName>
    <definedName name="OSRRefD22_12x_0" localSheetId="82">'415'!$D$59:$D$63</definedName>
    <definedName name="OSRRefD22_12x_0" localSheetId="83">'418'!$D$65</definedName>
    <definedName name="OSRRefD22_12x_0" localSheetId="87">'425'!$D$62</definedName>
    <definedName name="OSRRefD22_12x_0" localSheetId="91">'433'!$D$68:$D$69</definedName>
    <definedName name="OSRRefD22_12x_0" localSheetId="93">'444'!$D$69</definedName>
    <definedName name="OSRRefD22_12x_0" localSheetId="95">'450'!$D$66</definedName>
    <definedName name="OSRRefD22_12x_0" localSheetId="75">'491'!$D$71:$D$72</definedName>
    <definedName name="OSRRefD22_12x_0" localSheetId="89">'492'!$D$66:$D$72</definedName>
    <definedName name="OSRRefD22_12x_0" localSheetId="39">'Div 2'!$D$60:$D$63</definedName>
    <definedName name="OSRRefD22_12x_0" localSheetId="47">'Div 3'!$D$183</definedName>
    <definedName name="OSRRefD22_12x_0" localSheetId="73">'Div 4'!$D$72</definedName>
    <definedName name="OSRRefD22_12x_0" localSheetId="2">Summary!$D$211</definedName>
    <definedName name="OSRRefD22_13x_0" localSheetId="41">'201'!$D$58</definedName>
    <definedName name="OSRRefD22_13x_0" localSheetId="43">'203'!$D$60</definedName>
    <definedName name="OSRRefD22_13x_0" localSheetId="48">'300'!$D$180</definedName>
    <definedName name="OSRRefD22_13x_0" localSheetId="49">'300 &amp; 317'!$D$200</definedName>
    <definedName name="OSRRefD22_13x_0" localSheetId="50">'301'!$D$59</definedName>
    <definedName name="OSRRefD22_13x_0" localSheetId="66">'310'!$D$68</definedName>
    <definedName name="OSRRefD22_13x_0" localSheetId="74">'310 &amp; 491'!$D$79</definedName>
    <definedName name="OSRRefD22_13x_0" localSheetId="70">'322'!$D$65</definedName>
    <definedName name="OSRRefD22_13x_0" localSheetId="71">'325'!$D$63:$D$65</definedName>
    <definedName name="OSRRefD22_13x_0" localSheetId="60">'326'!$D$87</definedName>
    <definedName name="OSRRefD22_13x_0" localSheetId="58">'331'!$D$97:$D$98</definedName>
    <definedName name="OSRRefD22_13x_0" localSheetId="76">'405'!$D$62:$D$66</definedName>
    <definedName name="OSRRefD22_13x_0" localSheetId="78">'411'!$D$72</definedName>
    <definedName name="OSRRefD22_13x_0" localSheetId="81">'414'!$D$64</definedName>
    <definedName name="OSRRefD22_13x_0" localSheetId="82">'415'!$D$65</definedName>
    <definedName name="OSRRefD22_13x_0" localSheetId="87">'425'!$D$64</definedName>
    <definedName name="OSRRefD22_13x_0" localSheetId="93">'444'!$D$71</definedName>
    <definedName name="OSRRefD22_13x_0" localSheetId="75">'491'!$D$74:$D$75</definedName>
    <definedName name="OSRRefD22_13x_0" localSheetId="89">'492'!$D$74</definedName>
    <definedName name="OSRRefD22_13x_0" localSheetId="39">'Div 2'!$D$65:$D$67</definedName>
    <definedName name="OSRRefD22_13x_0" localSheetId="47">'Div 3'!$D$185</definedName>
    <definedName name="OSRRefD22_13x_0" localSheetId="73">'Div 4'!$D$74:$D$75</definedName>
    <definedName name="OSRRefD22_13x_0" localSheetId="2">Summary!$D$213</definedName>
    <definedName name="OSRRefD22_14x_0" localSheetId="41">'201'!$D$60:$D$61</definedName>
    <definedName name="OSRRefD22_14x_0" localSheetId="48">'300'!$D$182</definedName>
    <definedName name="OSRRefD22_14x_0" localSheetId="49">'300 &amp; 317'!$D$202</definedName>
    <definedName name="OSRRefD22_14x_0" localSheetId="50">'301'!$D$61:$D$63</definedName>
    <definedName name="OSRRefD22_14x_0" localSheetId="66">'310'!$D$70</definedName>
    <definedName name="OSRRefD22_14x_0" localSheetId="74">'310 &amp; 491'!$D$81:$D$82</definedName>
    <definedName name="OSRRefD22_14x_0" localSheetId="71">'325'!$D$67</definedName>
    <definedName name="OSRRefD22_14x_0" localSheetId="60">'326'!$D$89:$D$92</definedName>
    <definedName name="OSRRefD22_14x_0" localSheetId="58">'331'!$D$100:$D$102</definedName>
    <definedName name="OSRRefD22_14x_0" localSheetId="76">'405'!$D$68</definedName>
    <definedName name="OSRRefD22_14x_0" localSheetId="82">'415'!$D$67:$D$72</definedName>
    <definedName name="OSRRefD22_14x_0" localSheetId="75">'491'!$D$77:$D$81</definedName>
    <definedName name="OSRRefD22_14x_0" localSheetId="89">'492'!$D$76</definedName>
    <definedName name="OSRRefD22_14x_0" localSheetId="39">'Div 2'!$D$69:$D$70</definedName>
    <definedName name="OSRRefD22_14x_0" localSheetId="47">'Div 3'!$D$187</definedName>
    <definedName name="OSRRefD22_14x_0" localSheetId="73">'Div 4'!$D$77:$D$78</definedName>
    <definedName name="OSRRefD22_14x_0" localSheetId="2">Summary!$D$215</definedName>
    <definedName name="OSRRefD22_15x_0" localSheetId="48">'300'!$D$184</definedName>
    <definedName name="OSRRefD22_15x_0" localSheetId="49">'300 &amp; 317'!$D$204</definedName>
    <definedName name="OSRRefD22_15x_0" localSheetId="50">'301'!$D$65:$D$67</definedName>
    <definedName name="OSRRefD22_15x_0" localSheetId="66">'310'!$D$72</definedName>
    <definedName name="OSRRefD22_15x_0" localSheetId="74">'310 &amp; 491'!$D$84:$D$85</definedName>
    <definedName name="OSRRefD22_15x_0" localSheetId="71">'325'!$D$69</definedName>
    <definedName name="OSRRefD22_15x_0" localSheetId="60">'326'!$D$94</definedName>
    <definedName name="OSRRefD22_15x_0" localSheetId="58">'331'!$D$104</definedName>
    <definedName name="OSRRefD22_15x_0" localSheetId="76">'405'!$D$70</definedName>
    <definedName name="OSRRefD22_15x_0" localSheetId="82">'415'!$D$74</definedName>
    <definedName name="OSRRefD22_15x_0" localSheetId="75">'491'!$D$83</definedName>
    <definedName name="OSRRefD22_15x_0" localSheetId="89">'492'!$D$78:$D$79</definedName>
    <definedName name="OSRRefD22_15x_0" localSheetId="39">'Div 2'!$D$72</definedName>
    <definedName name="OSRRefD22_15x_0" localSheetId="47">'Div 3'!$D$189</definedName>
    <definedName name="OSRRefD22_15x_0" localSheetId="73">'Div 4'!$D$80:$D$84</definedName>
    <definedName name="OSRRefD22_15x_0" localSheetId="2">Summary!$D$217</definedName>
    <definedName name="OSRRefD22_16x_0" localSheetId="48">'300'!$D$186:$D$188</definedName>
    <definedName name="OSRRefD22_16x_0" localSheetId="49">'300 &amp; 317'!$D$206:$D$208</definedName>
    <definedName name="OSRRefD22_16x_0" localSheetId="50">'301'!$D$69</definedName>
    <definedName name="OSRRefD22_16x_0" localSheetId="66">'310'!$D$74:$D$77</definedName>
    <definedName name="OSRRefD22_16x_0" localSheetId="74">'310 &amp; 491'!$D$87:$D$91</definedName>
    <definedName name="OSRRefD22_16x_0" localSheetId="60">'326'!$D$96</definedName>
    <definedName name="OSRRefD22_16x_0" localSheetId="58">'331'!$D$106:$D$110</definedName>
    <definedName name="OSRRefD22_16x_0" localSheetId="76">'405'!$D$72</definedName>
    <definedName name="OSRRefD22_16x_0" localSheetId="82">'415'!$D$76</definedName>
    <definedName name="OSRRefD22_16x_0" localSheetId="75">'491'!$D$85:$D$92</definedName>
    <definedName name="OSRRefD22_16x_0" localSheetId="39">'Div 2'!$D$74:$D$77</definedName>
    <definedName name="OSRRefD22_16x_0" localSheetId="47">'Div 3'!$D$191</definedName>
    <definedName name="OSRRefD22_16x_0" localSheetId="73">'Div 4'!$D$86</definedName>
    <definedName name="OSRRefD22_16x_0" localSheetId="2">Summary!$D$219</definedName>
    <definedName name="OSRRefD22_17x_0" localSheetId="48">'300'!$D$190:$D$192</definedName>
    <definedName name="OSRRefD22_17x_0" localSheetId="49">'300 &amp; 317'!$D$210:$D$212</definedName>
    <definedName name="OSRRefD22_17x_0" localSheetId="50">'301'!$D$71:$D$75</definedName>
    <definedName name="OSRRefD22_17x_0" localSheetId="66">'310'!$D$79:$D$80</definedName>
    <definedName name="OSRRefD22_17x_0" localSheetId="74">'310 &amp; 491'!$D$93:$D$94</definedName>
    <definedName name="OSRRefD22_17x_0" localSheetId="60">'326'!$D$98</definedName>
    <definedName name="OSRRefD22_17x_0" localSheetId="58">'331'!$D$112</definedName>
    <definedName name="OSRRefD22_17x_0" localSheetId="82">'415'!$D$78</definedName>
    <definedName name="OSRRefD22_17x_0" localSheetId="75">'491'!$D$94</definedName>
    <definedName name="OSRRefD22_17x_0" localSheetId="39">'Div 2'!$D$79:$D$80</definedName>
    <definedName name="OSRRefD22_17x_0" localSheetId="47">'Div 3'!$D$193:$D$195</definedName>
    <definedName name="OSRRefD22_17x_0" localSheetId="73">'Div 4'!$D$88:$D$95</definedName>
    <definedName name="OSRRefD22_17x_0" localSheetId="2">Summary!$D$221</definedName>
    <definedName name="OSRRefD22_18x_0" localSheetId="48">'300'!$D$194:$D$197</definedName>
    <definedName name="OSRRefD22_18x_0" localSheetId="49">'300 &amp; 317'!$D$214:$D$217</definedName>
    <definedName name="OSRRefD22_18x_0" localSheetId="50">'301'!$D$77</definedName>
    <definedName name="OSRRefD22_18x_0" localSheetId="66">'310'!$D$82:$D$86</definedName>
    <definedName name="OSRRefD22_18x_0" localSheetId="74">'310 &amp; 491'!$D$96:$D$103</definedName>
    <definedName name="OSRRefD22_18x_0" localSheetId="58">'331'!$D$114</definedName>
    <definedName name="OSRRefD22_18x_0" localSheetId="75">'491'!$D$96</definedName>
    <definedName name="OSRRefD22_18x_0" localSheetId="39">'Div 2'!$D$82</definedName>
    <definedName name="OSRRefD22_18x_0" localSheetId="47">'Div 3'!$D$197:$D$199</definedName>
    <definedName name="OSRRefD22_18x_0" localSheetId="73">'Div 4'!$D$97</definedName>
    <definedName name="OSRRefD22_18x_0" localSheetId="2">Summary!$D$223:$D$225</definedName>
    <definedName name="OSRRefD22_19x_0" localSheetId="48">'300'!$D$199:$D$200</definedName>
    <definedName name="OSRRefD22_19x_0" localSheetId="49">'300 &amp; 317'!$D$219:$D$220</definedName>
    <definedName name="OSRRefD22_19x_0" localSheetId="50">'301'!$D$79</definedName>
    <definedName name="OSRRefD22_19x_0" localSheetId="66">'310'!$D$88</definedName>
    <definedName name="OSRRefD22_19x_0" localSheetId="74">'310 &amp; 491'!$D$105</definedName>
    <definedName name="OSRRefD22_19x_0" localSheetId="58">'331'!$D$116</definedName>
    <definedName name="OSRRefD22_19x_0" localSheetId="75">'491'!$D$98:$D$100</definedName>
    <definedName name="OSRRefD22_19x_0" localSheetId="39">'Div 2'!$D$84:$D$85</definedName>
    <definedName name="OSRRefD22_19x_0" localSheetId="47">'Div 3'!$D$201:$D$205</definedName>
    <definedName name="OSRRefD22_19x_0" localSheetId="73">'Div 4'!$D$99</definedName>
    <definedName name="OSRRefD22_19x_0" localSheetId="2">Summary!$D$227:$D$229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'203'!$D$30:$D$33</definedName>
    <definedName name="OSRRefD22_1x_0" localSheetId="44">'204'!$D$30:$D$34</definedName>
    <definedName name="OSRRefD22_1x_0" localSheetId="45">'205'!$D$29</definedName>
    <definedName name="OSRRefD22_1x_0" localSheetId="46">'206'!$D$29:$D$32</definedName>
    <definedName name="OSRRefD22_1x_0" localSheetId="48">'300'!$D$147:$D$153</definedName>
    <definedName name="OSRRefD22_1x_0" localSheetId="49">'300 &amp; 317'!$D$167:$D$173</definedName>
    <definedName name="OSRRefD22_1x_0" localSheetId="50">'301'!$D$29:$D$33</definedName>
    <definedName name="OSRRefD22_1x_0" localSheetId="51">'306'!$D$30:$D$34</definedName>
    <definedName name="OSRRefD22_1x_0" localSheetId="53">'307'!$D$63:$D$65</definedName>
    <definedName name="OSRRefD22_1x_0" localSheetId="55">'308'!$D$65:$D$69</definedName>
    <definedName name="OSRRefD22_1x_0" localSheetId="67">'309'!$D$33:$D$37</definedName>
    <definedName name="OSRRefD22_1x_0" localSheetId="66">'310'!$D$39:$D$43</definedName>
    <definedName name="OSRRefD22_1x_0" localSheetId="74">'310 &amp; 491'!$D$47:$D$53</definedName>
    <definedName name="OSRRefD22_1x_0" localSheetId="56">'311'!$D$64:$D$68</definedName>
    <definedName name="OSRRefD22_1x_0" localSheetId="68">'313'!$D$36:$D$39</definedName>
    <definedName name="OSRRefD22_1x_0" localSheetId="54">'314'!$D$57:$D$59</definedName>
    <definedName name="OSRRefD22_1x_0" localSheetId="59">'315'!$D$59:$D$62</definedName>
    <definedName name="OSRRefD22_1x_0" localSheetId="62">'316'!$D$39:$D$42</definedName>
    <definedName name="OSRRefD22_1x_0" localSheetId="65">'317'!$D$57:$D$60</definedName>
    <definedName name="OSRRefD22_1x_0" localSheetId="63">'320'!$D$36:$D$37</definedName>
    <definedName name="OSRRefD22_1x_0" localSheetId="69">'321'!$D$30:$D$33</definedName>
    <definedName name="OSRRefD22_1x_0" localSheetId="70">'322'!$D$33:$D$36</definedName>
    <definedName name="OSRRefD22_1x_0" localSheetId="71">'325'!$D$33:$D$36</definedName>
    <definedName name="OSRRefD22_1x_0" localSheetId="60">'326'!$D$58:$D$61</definedName>
    <definedName name="OSRRefD22_1x_0" localSheetId="52">'330'!$D$77:$D$79</definedName>
    <definedName name="OSRRefD22_1x_0" localSheetId="58">'331'!$D$70:$D$73</definedName>
    <definedName name="OSRRefD22_1x_0" localSheetId="61">'332'!$D$47:$D$50</definedName>
    <definedName name="OSRRefD22_1x_0" localSheetId="76">'405'!$D$33:$D$34</definedName>
    <definedName name="OSRRefD22_1x_0" localSheetId="77">'406'!$D$31:$D$33</definedName>
    <definedName name="OSRRefD22_1x_0" localSheetId="78">'411'!$D$30:$D$35</definedName>
    <definedName name="OSRRefD22_1x_0" localSheetId="79">'412'!$D$32:$D$37</definedName>
    <definedName name="OSRRefD22_1x_0" localSheetId="80">'413'!$D$33:$D$36</definedName>
    <definedName name="OSRRefD22_1x_0" localSheetId="81">'414'!$D$33:$D$36</definedName>
    <definedName name="OSRRefD22_1x_0" localSheetId="82">'415'!$D$33:$D$36</definedName>
    <definedName name="OSRRefD22_1x_0" localSheetId="83">'418'!$D$33:$D$38</definedName>
    <definedName name="OSRRefD22_1x_0" localSheetId="85">'423'!$D$29</definedName>
    <definedName name="OSRRefD22_1x_0" localSheetId="86">'424'!$D$27</definedName>
    <definedName name="OSRRefD22_1x_0" localSheetId="87">'425'!$D$33:$D$37</definedName>
    <definedName name="OSRRefD22_1x_0" localSheetId="90">'430'!$D$29</definedName>
    <definedName name="OSRRefD22_1x_0" localSheetId="91">'433'!$D$35:$D$40</definedName>
    <definedName name="OSRRefD22_1x_0" localSheetId="92">'435'!$D$23</definedName>
    <definedName name="OSRRefD22_1x_0" localSheetId="93">'444'!$D$35:$D$40</definedName>
    <definedName name="OSRRefD22_1x_0" localSheetId="95">'450'!$D$34:$D$39</definedName>
    <definedName name="OSRRefD22_1x_0" localSheetId="88">'455'!$D$28:$D$29</definedName>
    <definedName name="OSRRefD22_1x_0" localSheetId="75">'491'!$D$41:$D$47</definedName>
    <definedName name="OSRRefD22_1x_0" localSheetId="89">'492'!$D$35:$D$41</definedName>
    <definedName name="OSRRefD22_1x_0" localSheetId="97">'501'!$D$30:$D$35</definedName>
    <definedName name="OSRRefD22_1x_0" localSheetId="39">'Div 2'!$D$31:$D$37</definedName>
    <definedName name="OSRRefD22_1x_0" localSheetId="47">'Div 3'!$D$152:$D$158</definedName>
    <definedName name="OSRRefD22_1x_0" localSheetId="73">'Div 4'!$D$42:$D$48</definedName>
    <definedName name="OSRRefD22_1x_0" localSheetId="96">'Div 5'!$D$30:$D$35</definedName>
    <definedName name="OSRRefD22_1x_0" localSheetId="64">'Div 6'!$D$57:$D$60</definedName>
    <definedName name="OSRRefD22_1x_0" localSheetId="2">Summary!$D$179:$D$185</definedName>
    <definedName name="OSRRefD22_20x_0" localSheetId="48">'300'!$D$202:$D$207</definedName>
    <definedName name="OSRRefD22_20x_0" localSheetId="49">'300 &amp; 317'!$D$222:$D$227</definedName>
    <definedName name="OSRRefD22_20x_0" localSheetId="50">'301'!$D$81:$D$82</definedName>
    <definedName name="OSRRefD22_20x_0" localSheetId="66">'310'!$D$90</definedName>
    <definedName name="OSRRefD22_20x_0" localSheetId="74">'310 &amp; 491'!$D$107</definedName>
    <definedName name="OSRRefD22_20x_0" localSheetId="58">'331'!$D$118</definedName>
    <definedName name="OSRRefD22_20x_0" localSheetId="75">'491'!$D$102</definedName>
    <definedName name="OSRRefD22_20x_0" localSheetId="47">'Div 3'!$D$207:$D$208</definedName>
    <definedName name="OSRRefD22_20x_0" localSheetId="73">'Div 4'!$D$101:$D$103</definedName>
    <definedName name="OSRRefD22_20x_0" localSheetId="2">Summary!$D$231:$D$235</definedName>
    <definedName name="OSRRefD22_21x_0" localSheetId="48">'300'!$D$209:$D$210</definedName>
    <definedName name="OSRRefD22_21x_0" localSheetId="49">'300 &amp; 317'!$D$229:$D$230</definedName>
    <definedName name="OSRRefD22_21x_0" localSheetId="50">'301'!$D$84</definedName>
    <definedName name="OSRRefD22_21x_0" localSheetId="66">'310'!$D$92</definedName>
    <definedName name="OSRRefD22_21x_0" localSheetId="74">'310 &amp; 491'!$D$109:$D$111</definedName>
    <definedName name="OSRRefD22_21x_0" localSheetId="47">'Div 3'!$D$210:$D$215</definedName>
    <definedName name="OSRRefD22_21x_0" localSheetId="73">'Div 4'!$D$105</definedName>
    <definedName name="OSRRefD22_21x_0" localSheetId="2">Summary!$D$237:$D$238</definedName>
    <definedName name="OSRRefD22_22x_0" localSheetId="48">'300'!$D$212</definedName>
    <definedName name="OSRRefD22_22x_0" localSheetId="49">'300 &amp; 317'!$D$232</definedName>
    <definedName name="OSRRefD22_22x_0" localSheetId="74">'310 &amp; 491'!$D$113</definedName>
    <definedName name="OSRRefD22_22x_0" localSheetId="47">'Div 3'!$D$217:$D$218</definedName>
    <definedName name="OSRRefD22_22x_0" localSheetId="2">Summary!$D$240:$D$247</definedName>
    <definedName name="OSRRefD22_23x_0" localSheetId="48">'300'!$D$214:$D$216</definedName>
    <definedName name="OSRRefD22_23x_0" localSheetId="49">'300 &amp; 317'!$D$234:$D$236</definedName>
    <definedName name="OSRRefD22_23x_0" localSheetId="47">'Div 3'!$D$220</definedName>
    <definedName name="OSRRefD22_23x_0" localSheetId="2">Summary!$D$249:$D$250</definedName>
    <definedName name="OSRRefD22_24x_0" localSheetId="48">'300'!$D$218</definedName>
    <definedName name="OSRRefD22_24x_0" localSheetId="49">'300 &amp; 317'!$D$238</definedName>
    <definedName name="OSRRefD22_24x_0" localSheetId="47">'Div 3'!$D$222:$D$224</definedName>
    <definedName name="OSRRefD22_24x_0" localSheetId="2">Summary!$D$252</definedName>
    <definedName name="OSRRefD22_25x_0" localSheetId="47">'Div 3'!$D$226</definedName>
    <definedName name="OSRRefD22_25x_0" localSheetId="2">Summary!$D$254:$D$256</definedName>
    <definedName name="OSRRefD22_26x_0" localSheetId="2">Summary!$D$258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'203'!$D$35</definedName>
    <definedName name="OSRRefD22_2x_0" localSheetId="44">'204'!$D$36</definedName>
    <definedName name="OSRRefD22_2x_0" localSheetId="45">'205'!$D$31</definedName>
    <definedName name="OSRRefD22_2x_0" localSheetId="46">'206'!$D$34</definedName>
    <definedName name="OSRRefD22_2x_0" localSheetId="48">'300'!$D$155</definedName>
    <definedName name="OSRRefD22_2x_0" localSheetId="49">'300 &amp; 317'!$D$175</definedName>
    <definedName name="OSRRefD22_2x_0" localSheetId="50">'301'!$D$35</definedName>
    <definedName name="OSRRefD22_2x_0" localSheetId="51">'306'!$D$36</definedName>
    <definedName name="OSRRefD22_2x_0" localSheetId="53">'307'!$D$67</definedName>
    <definedName name="OSRRefD22_2x_0" localSheetId="55">'308'!$D$71</definedName>
    <definedName name="OSRRefD22_2x_0" localSheetId="67">'309'!$D$39</definedName>
    <definedName name="OSRRefD22_2x_0" localSheetId="66">'310'!$D$45</definedName>
    <definedName name="OSRRefD22_2x_0" localSheetId="74">'310 &amp; 491'!$D$55</definedName>
    <definedName name="OSRRefD22_2x_0" localSheetId="56">'311'!$D$70</definedName>
    <definedName name="OSRRefD22_2x_0" localSheetId="68">'313'!$D$41</definedName>
    <definedName name="OSRRefD22_2x_0" localSheetId="54">'314'!$D$61</definedName>
    <definedName name="OSRRefD22_2x_0" localSheetId="59">'315'!$D$64</definedName>
    <definedName name="OSRRefD22_2x_0" localSheetId="62">'316'!$D$44</definedName>
    <definedName name="OSRRefD22_2x_0" localSheetId="65">'317'!$D$62</definedName>
    <definedName name="OSRRefD22_2x_0" localSheetId="63">'320'!$D$39</definedName>
    <definedName name="OSRRefD22_2x_0" localSheetId="69">'321'!$D$35</definedName>
    <definedName name="OSRRefD22_2x_0" localSheetId="70">'322'!$D$38</definedName>
    <definedName name="OSRRefD22_2x_0" localSheetId="71">'325'!$D$38</definedName>
    <definedName name="OSRRefD22_2x_0" localSheetId="60">'326'!$D$63</definedName>
    <definedName name="OSRRefD22_2x_0" localSheetId="52">'330'!$D$81</definedName>
    <definedName name="OSRRefD22_2x_0" localSheetId="58">'331'!$D$75</definedName>
    <definedName name="OSRRefD22_2x_0" localSheetId="61">'332'!$D$52</definedName>
    <definedName name="OSRRefD22_2x_0" localSheetId="76">'405'!$D$36</definedName>
    <definedName name="OSRRefD22_2x_0" localSheetId="77">'406'!$D$35</definedName>
    <definedName name="OSRRefD22_2x_0" localSheetId="78">'411'!$D$37</definedName>
    <definedName name="OSRRefD22_2x_0" localSheetId="79">'412'!$D$39</definedName>
    <definedName name="OSRRefD22_2x_0" localSheetId="80">'413'!$D$38</definedName>
    <definedName name="OSRRefD22_2x_0" localSheetId="81">'414'!$D$38</definedName>
    <definedName name="OSRRefD22_2x_0" localSheetId="82">'415'!$D$38</definedName>
    <definedName name="OSRRefD22_2x_0" localSheetId="83">'418'!$D$40</definedName>
    <definedName name="OSRRefD22_2x_0" localSheetId="85">'423'!$D$31</definedName>
    <definedName name="OSRRefD22_2x_0" localSheetId="86">'424'!$D$29</definedName>
    <definedName name="OSRRefD22_2x_0" localSheetId="87">'425'!$D$39</definedName>
    <definedName name="OSRRefD22_2x_0" localSheetId="90">'430'!$D$31</definedName>
    <definedName name="OSRRefD22_2x_0" localSheetId="91">'433'!$D$42</definedName>
    <definedName name="OSRRefD22_2x_0" localSheetId="92">'435'!$D$25</definedName>
    <definedName name="OSRRefD22_2x_0" localSheetId="93">'444'!$D$42</definedName>
    <definedName name="OSRRefD22_2x_0" localSheetId="95">'450'!$D$41</definedName>
    <definedName name="OSRRefD22_2x_0" localSheetId="75">'491'!$D$49</definedName>
    <definedName name="OSRRefD22_2x_0" localSheetId="89">'492'!$D$43</definedName>
    <definedName name="OSRRefD22_2x_0" localSheetId="97">'501'!$D$37</definedName>
    <definedName name="OSRRefD22_2x_0" localSheetId="39">'Div 2'!$D$39</definedName>
    <definedName name="OSRRefD22_2x_0" localSheetId="47">'Div 3'!$D$160</definedName>
    <definedName name="OSRRefD22_2x_0" localSheetId="73">'Div 4'!$D$50</definedName>
    <definedName name="OSRRefD22_2x_0" localSheetId="96">'Div 5'!$D$37</definedName>
    <definedName name="OSRRefD22_2x_0" localSheetId="64">'Div 6'!$D$62</definedName>
    <definedName name="OSRRefD22_2x_0" localSheetId="2">Summary!$D$187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'203'!$D$37</definedName>
    <definedName name="OSRRefD22_3x_0" localSheetId="44">'204'!$D$38:$D$39</definedName>
    <definedName name="OSRRefD22_3x_0" localSheetId="45">'205'!$D$33</definedName>
    <definedName name="OSRRefD22_3x_0" localSheetId="46">'206'!$D$36</definedName>
    <definedName name="OSRRefD22_3x_0" localSheetId="48">'300'!$D$157</definedName>
    <definedName name="OSRRefD22_3x_0" localSheetId="49">'300 &amp; 317'!$D$177</definedName>
    <definedName name="OSRRefD22_3x_0" localSheetId="50">'301'!$D$37</definedName>
    <definedName name="OSRRefD22_3x_0" localSheetId="51">'306'!$D$38</definedName>
    <definedName name="OSRRefD22_3x_0" localSheetId="53">'307'!$D$69</definedName>
    <definedName name="OSRRefD22_3x_0" localSheetId="55">'308'!$D$73:$D$74</definedName>
    <definedName name="OSRRefD22_3x_0" localSheetId="67">'309'!$D$41</definedName>
    <definedName name="OSRRefD22_3x_0" localSheetId="66">'310'!$D$47</definedName>
    <definedName name="OSRRefD22_3x_0" localSheetId="74">'310 &amp; 491'!$D$57</definedName>
    <definedName name="OSRRefD22_3x_0" localSheetId="56">'311'!$D$72:$D$73</definedName>
    <definedName name="OSRRefD22_3x_0" localSheetId="68">'313'!$D$43</definedName>
    <definedName name="OSRRefD22_3x_0" localSheetId="54">'314'!$D$63</definedName>
    <definedName name="OSRRefD22_3x_0" localSheetId="59">'315'!$D$66</definedName>
    <definedName name="OSRRefD22_3x_0" localSheetId="62">'316'!$D$46</definedName>
    <definedName name="OSRRefD22_3x_0" localSheetId="65">'317'!$D$64</definedName>
    <definedName name="OSRRefD22_3x_0" localSheetId="63">'320'!$D$41:$D$42</definedName>
    <definedName name="OSRRefD22_3x_0" localSheetId="69">'321'!$D$37</definedName>
    <definedName name="OSRRefD22_3x_0" localSheetId="70">'322'!$D$40</definedName>
    <definedName name="OSRRefD22_3x_0" localSheetId="71">'325'!$D$40</definedName>
    <definedName name="OSRRefD22_3x_0" localSheetId="60">'326'!$D$65</definedName>
    <definedName name="OSRRefD22_3x_0" localSheetId="52">'330'!$D$83</definedName>
    <definedName name="OSRRefD22_3x_0" localSheetId="58">'331'!$D$77</definedName>
    <definedName name="OSRRefD22_3x_0" localSheetId="61">'332'!$D$54</definedName>
    <definedName name="OSRRefD22_3x_0" localSheetId="76">'405'!$D$38</definedName>
    <definedName name="OSRRefD22_3x_0" localSheetId="77">'406'!$D$37</definedName>
    <definedName name="OSRRefD22_3x_0" localSheetId="78">'411'!$D$39:$D$41</definedName>
    <definedName name="OSRRefD22_3x_0" localSheetId="79">'412'!$D$41</definedName>
    <definedName name="OSRRefD22_3x_0" localSheetId="80">'413'!$D$40</definedName>
    <definedName name="OSRRefD22_3x_0" localSheetId="81">'414'!$D$40</definedName>
    <definedName name="OSRRefD22_3x_0" localSheetId="82">'415'!$D$40</definedName>
    <definedName name="OSRRefD22_3x_0" localSheetId="83">'418'!$D$42</definedName>
    <definedName name="OSRRefD22_3x_0" localSheetId="85">'423'!$D$33</definedName>
    <definedName name="OSRRefD22_3x_0" localSheetId="86">'424'!$D$31</definedName>
    <definedName name="OSRRefD22_3x_0" localSheetId="87">'425'!$D$41</definedName>
    <definedName name="OSRRefD22_3x_0" localSheetId="90">'430'!$D$33</definedName>
    <definedName name="OSRRefD22_3x_0" localSheetId="91">'433'!$D$44</definedName>
    <definedName name="OSRRefD22_3x_0" localSheetId="92">'435'!$D$27</definedName>
    <definedName name="OSRRefD22_3x_0" localSheetId="93">'444'!$D$44</definedName>
    <definedName name="OSRRefD22_3x_0" localSheetId="95">'450'!$D$43</definedName>
    <definedName name="OSRRefD22_3x_0" localSheetId="75">'491'!$D$51</definedName>
    <definedName name="OSRRefD22_3x_0" localSheetId="89">'492'!$D$45</definedName>
    <definedName name="OSRRefD22_3x_0" localSheetId="97">'501'!$D$39</definedName>
    <definedName name="OSRRefD22_3x_0" localSheetId="39">'Div 2'!$D$41</definedName>
    <definedName name="OSRRefD22_3x_0" localSheetId="47">'Div 3'!$D$162</definedName>
    <definedName name="OSRRefD22_3x_0" localSheetId="73">'Div 4'!$D$52</definedName>
    <definedName name="OSRRefD22_3x_0" localSheetId="96">'Div 5'!$D$39</definedName>
    <definedName name="OSRRefD22_3x_0" localSheetId="64">'Div 6'!$D$64</definedName>
    <definedName name="OSRRefD22_3x_0" localSheetId="2">Summary!$D$189</definedName>
    <definedName name="OSRRefD22_4x_0" localSheetId="41">'201'!$D$37</definedName>
    <definedName name="OSRRefD22_4x_0" localSheetId="42">'202'!$D$38</definedName>
    <definedName name="OSRRefD22_4x_0" localSheetId="43">'203'!$D$39</definedName>
    <definedName name="OSRRefD22_4x_0" localSheetId="44">'204'!$D$41</definedName>
    <definedName name="OSRRefD22_4x_0" localSheetId="45">'205'!$D$35</definedName>
    <definedName name="OSRRefD22_4x_0" localSheetId="46">'206'!$D$38:$D$39</definedName>
    <definedName name="OSRRefD22_4x_0" localSheetId="48">'300'!$D$159</definedName>
    <definedName name="OSRRefD22_4x_0" localSheetId="49">'300 &amp; 317'!$D$179</definedName>
    <definedName name="OSRRefD22_4x_0" localSheetId="50">'301'!$D$39</definedName>
    <definedName name="OSRRefD22_4x_0" localSheetId="51">'306'!$D$40</definedName>
    <definedName name="OSRRefD22_4x_0" localSheetId="53">'307'!$D$71</definedName>
    <definedName name="OSRRefD22_4x_0" localSheetId="55">'308'!$D$76</definedName>
    <definedName name="OSRRefD22_4x_0" localSheetId="67">'309'!$D$43</definedName>
    <definedName name="OSRRefD22_4x_0" localSheetId="66">'310'!$D$49</definedName>
    <definedName name="OSRRefD22_4x_0" localSheetId="74">'310 &amp; 491'!$D$59</definedName>
    <definedName name="OSRRefD22_4x_0" localSheetId="56">'311'!$D$75</definedName>
    <definedName name="OSRRefD22_4x_0" localSheetId="68">'313'!$D$45</definedName>
    <definedName name="OSRRefD22_4x_0" localSheetId="54">'314'!$D$65</definedName>
    <definedName name="OSRRefD22_4x_0" localSheetId="59">'315'!$D$68</definedName>
    <definedName name="OSRRefD22_4x_0" localSheetId="62">'316'!$D$48</definedName>
    <definedName name="OSRRefD22_4x_0" localSheetId="65">'317'!$D$66</definedName>
    <definedName name="OSRRefD22_4x_0" localSheetId="63">'320'!$D$44</definedName>
    <definedName name="OSRRefD22_4x_0" localSheetId="69">'321'!$D$39</definedName>
    <definedName name="OSRRefD22_4x_0" localSheetId="70">'322'!$D$42</definedName>
    <definedName name="OSRRefD22_4x_0" localSheetId="71">'325'!$D$42</definedName>
    <definedName name="OSRRefD22_4x_0" localSheetId="60">'326'!$D$67</definedName>
    <definedName name="OSRRefD22_4x_0" localSheetId="52">'330'!$D$85</definedName>
    <definedName name="OSRRefD22_4x_0" localSheetId="58">'331'!$D$79</definedName>
    <definedName name="OSRRefD22_4x_0" localSheetId="61">'332'!$D$56</definedName>
    <definedName name="OSRRefD22_4x_0" localSheetId="76">'405'!$D$40</definedName>
    <definedName name="OSRRefD22_4x_0" localSheetId="77">'406'!$D$39</definedName>
    <definedName name="OSRRefD22_4x_0" localSheetId="78">'411'!$D$43</definedName>
    <definedName name="OSRRefD22_4x_0" localSheetId="79">'412'!$D$43</definedName>
    <definedName name="OSRRefD22_4x_0" localSheetId="80">'413'!$D$42</definedName>
    <definedName name="OSRRefD22_4x_0" localSheetId="81">'414'!$D$42</definedName>
    <definedName name="OSRRefD22_4x_0" localSheetId="82">'415'!$D$42</definedName>
    <definedName name="OSRRefD22_4x_0" localSheetId="83">'418'!$D$44</definedName>
    <definedName name="OSRRefD22_4x_0" localSheetId="85">'423'!$D$35</definedName>
    <definedName name="OSRRefD22_4x_0" localSheetId="86">'424'!$D$33</definedName>
    <definedName name="OSRRefD22_4x_0" localSheetId="87">'425'!$D$43</definedName>
    <definedName name="OSRRefD22_4x_0" localSheetId="90">'430'!$D$35:$D$36</definedName>
    <definedName name="OSRRefD22_4x_0" localSheetId="91">'433'!$D$46</definedName>
    <definedName name="OSRRefD22_4x_0" localSheetId="93">'444'!$D$46</definedName>
    <definedName name="OSRRefD22_4x_0" localSheetId="95">'450'!$D$45</definedName>
    <definedName name="OSRRefD22_4x_0" localSheetId="75">'491'!$D$53</definedName>
    <definedName name="OSRRefD22_4x_0" localSheetId="89">'492'!$D$47</definedName>
    <definedName name="OSRRefD22_4x_0" localSheetId="97">'501'!$D$41</definedName>
    <definedName name="OSRRefD22_4x_0" localSheetId="39">'Div 2'!$D$43</definedName>
    <definedName name="OSRRefD22_4x_0" localSheetId="47">'Div 3'!$D$164</definedName>
    <definedName name="OSRRefD22_4x_0" localSheetId="73">'Div 4'!$D$54</definedName>
    <definedName name="OSRRefD22_4x_0" localSheetId="96">'Div 5'!$D$41</definedName>
    <definedName name="OSRRefD22_4x_0" localSheetId="64">'Div 6'!$D$66</definedName>
    <definedName name="OSRRefD22_4x_0" localSheetId="2">Summary!$D$191</definedName>
    <definedName name="OSRRefD22_5x_0" localSheetId="41">'201'!$D$39</definedName>
    <definedName name="OSRRefD22_5x_0" localSheetId="42">'202'!$D$40</definedName>
    <definedName name="OSRRefD22_5x_0" localSheetId="43">'203'!$D$41</definedName>
    <definedName name="OSRRefD22_5x_0" localSheetId="44">'204'!$D$43</definedName>
    <definedName name="OSRRefD22_5x_0" localSheetId="45">'205'!$D$37</definedName>
    <definedName name="OSRRefD22_5x_0" localSheetId="46">'206'!$D$41</definedName>
    <definedName name="OSRRefD22_5x_0" localSheetId="48">'300'!$D$161:$D$162</definedName>
    <definedName name="OSRRefD22_5x_0" localSheetId="49">'300 &amp; 317'!$D$181:$D$182</definedName>
    <definedName name="OSRRefD22_5x_0" localSheetId="50">'301'!$D$41:$D$42</definedName>
    <definedName name="OSRRefD22_5x_0" localSheetId="51">'306'!$D$42:$D$43</definedName>
    <definedName name="OSRRefD22_5x_0" localSheetId="53">'307'!$D$73</definedName>
    <definedName name="OSRRefD22_5x_0" localSheetId="55">'308'!$D$78</definedName>
    <definedName name="OSRRefD22_5x_0" localSheetId="67">'309'!$D$45</definedName>
    <definedName name="OSRRefD22_5x_0" localSheetId="66">'310'!$D$51:$D$52</definedName>
    <definedName name="OSRRefD22_5x_0" localSheetId="74">'310 &amp; 491'!$D$61:$D$63</definedName>
    <definedName name="OSRRefD22_5x_0" localSheetId="56">'311'!$D$77</definedName>
    <definedName name="OSRRefD22_5x_0" localSheetId="68">'313'!$D$47</definedName>
    <definedName name="OSRRefD22_5x_0" localSheetId="59">'315'!$D$70</definedName>
    <definedName name="OSRRefD22_5x_0" localSheetId="62">'316'!$D$50</definedName>
    <definedName name="OSRRefD22_5x_0" localSheetId="65">'317'!$D$68</definedName>
    <definedName name="OSRRefD22_5x_0" localSheetId="63">'320'!$D$46:$D$47</definedName>
    <definedName name="OSRRefD22_5x_0" localSheetId="69">'321'!$D$41</definedName>
    <definedName name="OSRRefD22_5x_0" localSheetId="70">'322'!$D$44</definedName>
    <definedName name="OSRRefD22_5x_0" localSheetId="71">'325'!$D$44:$D$45</definedName>
    <definedName name="OSRRefD22_5x_0" localSheetId="60">'326'!$D$69</definedName>
    <definedName name="OSRRefD22_5x_0" localSheetId="52">'330'!$D$87</definedName>
    <definedName name="OSRRefD22_5x_0" localSheetId="58">'331'!$D$81</definedName>
    <definedName name="OSRRefD22_5x_0" localSheetId="61">'332'!$D$58:$D$59</definedName>
    <definedName name="OSRRefD22_5x_0" localSheetId="76">'405'!$D$42:$D$43</definedName>
    <definedName name="OSRRefD22_5x_0" localSheetId="77">'406'!$D$41</definedName>
    <definedName name="OSRRefD22_5x_0" localSheetId="78">'411'!$D$45</definedName>
    <definedName name="OSRRefD22_5x_0" localSheetId="79">'412'!$D$45</definedName>
    <definedName name="OSRRefD22_5x_0" localSheetId="80">'413'!$D$44</definedName>
    <definedName name="OSRRefD22_5x_0" localSheetId="81">'414'!$D$44</definedName>
    <definedName name="OSRRefD22_5x_0" localSheetId="82">'415'!$D$44:$D$45</definedName>
    <definedName name="OSRRefD22_5x_0" localSheetId="83">'418'!$D$46:$D$47</definedName>
    <definedName name="OSRRefD22_5x_0" localSheetId="85">'423'!$D$37</definedName>
    <definedName name="OSRRefD22_5x_0" localSheetId="86">'424'!$D$35</definedName>
    <definedName name="OSRRefD22_5x_0" localSheetId="87">'425'!$D$45</definedName>
    <definedName name="OSRRefD22_5x_0" localSheetId="90">'430'!$D$38</definedName>
    <definedName name="OSRRefD22_5x_0" localSheetId="91">'433'!$D$48</definedName>
    <definedName name="OSRRefD22_5x_0" localSheetId="93">'444'!$D$48</definedName>
    <definedName name="OSRRefD22_5x_0" localSheetId="95">'450'!$D$47</definedName>
    <definedName name="OSRRefD22_5x_0" localSheetId="75">'491'!$D$55:$D$57</definedName>
    <definedName name="OSRRefD22_5x_0" localSheetId="89">'492'!$D$49</definedName>
    <definedName name="OSRRefD22_5x_0" localSheetId="97">'501'!$D$43</definedName>
    <definedName name="OSRRefD22_5x_0" localSheetId="39">'Div 2'!$D$45:$D$46</definedName>
    <definedName name="OSRRefD22_5x_0" localSheetId="47">'Div 3'!$D$166:$D$167</definedName>
    <definedName name="OSRRefD22_5x_0" localSheetId="73">'Div 4'!$D$56:$D$58</definedName>
    <definedName name="OSRRefD22_5x_0" localSheetId="96">'Div 5'!$D$43</definedName>
    <definedName name="OSRRefD22_5x_0" localSheetId="64">'Div 6'!$D$68</definedName>
    <definedName name="OSRRefD22_5x_0" localSheetId="2">Summary!$D$193:$D$195</definedName>
    <definedName name="OSRRefD22_6x_0" localSheetId="41">'201'!$D$41</definedName>
    <definedName name="OSRRefD22_6x_0" localSheetId="42">'202'!$D$42</definedName>
    <definedName name="OSRRefD22_6x_0" localSheetId="43">'203'!$D$43</definedName>
    <definedName name="OSRRefD22_6x_0" localSheetId="44">'204'!$D$45:$D$47</definedName>
    <definedName name="OSRRefD22_6x_0" localSheetId="45">'205'!$D$39:$D$40</definedName>
    <definedName name="OSRRefD22_6x_0" localSheetId="46">'206'!$D$43</definedName>
    <definedName name="OSRRefD22_6x_0" localSheetId="48">'300'!$D$164:$D$165</definedName>
    <definedName name="OSRRefD22_6x_0" localSheetId="49">'300 &amp; 317'!$D$184:$D$185</definedName>
    <definedName name="OSRRefD22_6x_0" localSheetId="50">'301'!$D$44:$D$45</definedName>
    <definedName name="OSRRefD22_6x_0" localSheetId="51">'306'!$D$45</definedName>
    <definedName name="OSRRefD22_6x_0" localSheetId="53">'307'!$D$75</definedName>
    <definedName name="OSRRefD22_6x_0" localSheetId="55">'308'!$D$80</definedName>
    <definedName name="OSRRefD22_6x_0" localSheetId="67">'309'!$D$47</definedName>
    <definedName name="OSRRefD22_6x_0" localSheetId="66">'310'!$D$54</definedName>
    <definedName name="OSRRefD22_6x_0" localSheetId="74">'310 &amp; 491'!$D$65</definedName>
    <definedName name="OSRRefD22_6x_0" localSheetId="56">'311'!$D$79</definedName>
    <definedName name="OSRRefD22_6x_0" localSheetId="68">'313'!$D$49</definedName>
    <definedName name="OSRRefD22_6x_0" localSheetId="59">'315'!$D$72</definedName>
    <definedName name="OSRRefD22_6x_0" localSheetId="62">'316'!$D$52</definedName>
    <definedName name="OSRRefD22_6x_0" localSheetId="65">'317'!$D$70</definedName>
    <definedName name="OSRRefD22_6x_0" localSheetId="63">'320'!$D$49</definedName>
    <definedName name="OSRRefD22_6x_0" localSheetId="69">'321'!$D$43</definedName>
    <definedName name="OSRRefD22_6x_0" localSheetId="70">'322'!$D$46</definedName>
    <definedName name="OSRRefD22_6x_0" localSheetId="71">'325'!$D$47</definedName>
    <definedName name="OSRRefD22_6x_0" localSheetId="60">'326'!$D$71</definedName>
    <definedName name="OSRRefD22_6x_0" localSheetId="52">'330'!$D$89</definedName>
    <definedName name="OSRRefD22_6x_0" localSheetId="58">'331'!$D$83</definedName>
    <definedName name="OSRRefD22_6x_0" localSheetId="61">'332'!$D$61</definedName>
    <definedName name="OSRRefD22_6x_0" localSheetId="76">'405'!$D$45</definedName>
    <definedName name="OSRRefD22_6x_0" localSheetId="77">'406'!$D$43:$D$45</definedName>
    <definedName name="OSRRefD22_6x_0" localSheetId="78">'411'!$D$47</definedName>
    <definedName name="OSRRefD22_6x_0" localSheetId="79">'412'!$D$47</definedName>
    <definedName name="OSRRefD22_6x_0" localSheetId="80">'413'!$D$46</definedName>
    <definedName name="OSRRefD22_6x_0" localSheetId="81">'414'!$D$46</definedName>
    <definedName name="OSRRefD22_6x_0" localSheetId="82">'415'!$D$47</definedName>
    <definedName name="OSRRefD22_6x_0" localSheetId="83">'418'!$D$49</definedName>
    <definedName name="OSRRefD22_6x_0" localSheetId="86">'424'!$D$37</definedName>
    <definedName name="OSRRefD22_6x_0" localSheetId="87">'425'!$D$47</definedName>
    <definedName name="OSRRefD22_6x_0" localSheetId="90">'430'!$D$40</definedName>
    <definedName name="OSRRefD22_6x_0" localSheetId="91">'433'!$D$50</definedName>
    <definedName name="OSRRefD22_6x_0" localSheetId="93">'444'!$D$50</definedName>
    <definedName name="OSRRefD22_6x_0" localSheetId="95">'450'!$D$49</definedName>
    <definedName name="OSRRefD22_6x_0" localSheetId="75">'491'!$D$59</definedName>
    <definedName name="OSRRefD22_6x_0" localSheetId="89">'492'!$D$51</definedName>
    <definedName name="OSRRefD22_6x_0" localSheetId="97">'501'!$D$45</definedName>
    <definedName name="OSRRefD22_6x_0" localSheetId="39">'Div 2'!$D$48</definedName>
    <definedName name="OSRRefD22_6x_0" localSheetId="47">'Div 3'!$D$169:$D$170</definedName>
    <definedName name="OSRRefD22_6x_0" localSheetId="73">'Div 4'!$D$60</definedName>
    <definedName name="OSRRefD22_6x_0" localSheetId="96">'Div 5'!$D$45</definedName>
    <definedName name="OSRRefD22_6x_0" localSheetId="64">'Div 6'!$D$70</definedName>
    <definedName name="OSRRefD22_6x_0" localSheetId="2">Summary!$D$197:$D$198</definedName>
    <definedName name="OSRRefD22_7x_0" localSheetId="41">'201'!$D$43</definedName>
    <definedName name="OSRRefD22_7x_0" localSheetId="42">'202'!$D$44</definedName>
    <definedName name="OSRRefD22_7x_0" localSheetId="43">'203'!$D$45</definedName>
    <definedName name="OSRRefD22_7x_0" localSheetId="44">'204'!$D$49:$D$50</definedName>
    <definedName name="OSRRefD22_7x_0" localSheetId="45">'205'!$D$42</definedName>
    <definedName name="OSRRefD22_7x_0" localSheetId="48">'300'!$D$167</definedName>
    <definedName name="OSRRefD22_7x_0" localSheetId="49">'300 &amp; 317'!$D$187</definedName>
    <definedName name="OSRRefD22_7x_0" localSheetId="50">'301'!$D$47</definedName>
    <definedName name="OSRRefD22_7x_0" localSheetId="51">'306'!$D$47</definedName>
    <definedName name="OSRRefD22_7x_0" localSheetId="53">'307'!$D$77:$D$78</definedName>
    <definedName name="OSRRefD22_7x_0" localSheetId="55">'308'!$D$82</definedName>
    <definedName name="OSRRefD22_7x_0" localSheetId="67">'309'!$D$49</definedName>
    <definedName name="OSRRefD22_7x_0" localSheetId="66">'310'!$D$56</definedName>
    <definedName name="OSRRefD22_7x_0" localSheetId="74">'310 &amp; 491'!$D$67</definedName>
    <definedName name="OSRRefD22_7x_0" localSheetId="56">'311'!$D$81</definedName>
    <definedName name="OSRRefD22_7x_0" localSheetId="68">'313'!$D$51</definedName>
    <definedName name="OSRRefD22_7x_0" localSheetId="59">'315'!$D$74:$D$75</definedName>
    <definedName name="OSRRefD22_7x_0" localSheetId="62">'316'!$D$54:$D$57</definedName>
    <definedName name="OSRRefD22_7x_0" localSheetId="65">'317'!$D$72</definedName>
    <definedName name="OSRRefD22_7x_0" localSheetId="69">'321'!$D$45</definedName>
    <definedName name="OSRRefD22_7x_0" localSheetId="70">'322'!$D$48</definedName>
    <definedName name="OSRRefD22_7x_0" localSheetId="71">'325'!$D$49</definedName>
    <definedName name="OSRRefD22_7x_0" localSheetId="60">'326'!$D$73</definedName>
    <definedName name="OSRRefD22_7x_0" localSheetId="52">'330'!$D$91:$D$92</definedName>
    <definedName name="OSRRefD22_7x_0" localSheetId="58">'331'!$D$85</definedName>
    <definedName name="OSRRefD22_7x_0" localSheetId="61">'332'!$D$63</definedName>
    <definedName name="OSRRefD22_7x_0" localSheetId="76">'405'!$D$47</definedName>
    <definedName name="OSRRefD22_7x_0" localSheetId="77">'406'!$D$47</definedName>
    <definedName name="OSRRefD22_7x_0" localSheetId="78">'411'!$D$49:$D$50</definedName>
    <definedName name="OSRRefD22_7x_0" localSheetId="79">'412'!$D$49</definedName>
    <definedName name="OSRRefD22_7x_0" localSheetId="80">'413'!$D$48</definedName>
    <definedName name="OSRRefD22_7x_0" localSheetId="81">'414'!$D$48</definedName>
    <definedName name="OSRRefD22_7x_0" localSheetId="82">'415'!$D$49</definedName>
    <definedName name="OSRRefD22_7x_0" localSheetId="83">'418'!$D$51</definedName>
    <definedName name="OSRRefD22_7x_0" localSheetId="86">'424'!$D$39</definedName>
    <definedName name="OSRRefD22_7x_0" localSheetId="87">'425'!$D$49</definedName>
    <definedName name="OSRRefD22_7x_0" localSheetId="90">'430'!$D$42</definedName>
    <definedName name="OSRRefD22_7x_0" localSheetId="91">'433'!$D$52</definedName>
    <definedName name="OSRRefD22_7x_0" localSheetId="93">'444'!$D$52</definedName>
    <definedName name="OSRRefD22_7x_0" localSheetId="95">'450'!$D$51</definedName>
    <definedName name="OSRRefD22_7x_0" localSheetId="75">'491'!$D$61</definedName>
    <definedName name="OSRRefD22_7x_0" localSheetId="89">'492'!$D$53</definedName>
    <definedName name="OSRRefD22_7x_0" localSheetId="97">'501'!$D$47</definedName>
    <definedName name="OSRRefD22_7x_0" localSheetId="39">'Div 2'!$D$50</definedName>
    <definedName name="OSRRefD22_7x_0" localSheetId="47">'Div 3'!$D$172</definedName>
    <definedName name="OSRRefD22_7x_0" localSheetId="73">'Div 4'!$D$62</definedName>
    <definedName name="OSRRefD22_7x_0" localSheetId="96">'Div 5'!$D$47</definedName>
    <definedName name="OSRRefD22_7x_0" localSheetId="64">'Div 6'!$D$72</definedName>
    <definedName name="OSRRefD22_7x_0" localSheetId="2">Summary!$D$200</definedName>
    <definedName name="OSRRefD22_8x_0" localSheetId="41">'201'!$D$45</definedName>
    <definedName name="OSRRefD22_8x_0" localSheetId="42">'202'!$D$46</definedName>
    <definedName name="OSRRefD22_8x_0" localSheetId="43">'203'!$D$47</definedName>
    <definedName name="OSRRefD22_8x_0" localSheetId="44">'204'!$D$52:$D$53</definedName>
    <definedName name="OSRRefD22_8x_0" localSheetId="48">'300'!$D$169</definedName>
    <definedName name="OSRRefD22_8x_0" localSheetId="49">'300 &amp; 317'!$D$189</definedName>
    <definedName name="OSRRefD22_8x_0" localSheetId="50">'301'!$D$49</definedName>
    <definedName name="OSRRefD22_8x_0" localSheetId="53">'307'!$D$80</definedName>
    <definedName name="OSRRefD22_8x_0" localSheetId="55">'308'!$D$84:$D$85</definedName>
    <definedName name="OSRRefD22_8x_0" localSheetId="67">'309'!$D$51:$D$52</definedName>
    <definedName name="OSRRefD22_8x_0" localSheetId="66">'310'!$D$58</definedName>
    <definedName name="OSRRefD22_8x_0" localSheetId="74">'310 &amp; 491'!$D$69</definedName>
    <definedName name="OSRRefD22_8x_0" localSheetId="56">'311'!$D$83:$D$84</definedName>
    <definedName name="OSRRefD22_8x_0" localSheetId="68">'313'!$D$53</definedName>
    <definedName name="OSRRefD22_8x_0" localSheetId="59">'315'!$D$77:$D$79</definedName>
    <definedName name="OSRRefD22_8x_0" localSheetId="62">'316'!$D$59</definedName>
    <definedName name="OSRRefD22_8x_0" localSheetId="65">'317'!$D$74:$D$75</definedName>
    <definedName name="OSRRefD22_8x_0" localSheetId="69">'321'!$D$47:$D$48</definedName>
    <definedName name="OSRRefD22_8x_0" localSheetId="70">'322'!$D$50</definedName>
    <definedName name="OSRRefD22_8x_0" localSheetId="71">'325'!$D$51</definedName>
    <definedName name="OSRRefD22_8x_0" localSheetId="60">'326'!$D$75</definedName>
    <definedName name="OSRRefD22_8x_0" localSheetId="52">'330'!$D$94</definedName>
    <definedName name="OSRRefD22_8x_0" localSheetId="58">'331'!$D$87</definedName>
    <definedName name="OSRRefD22_8x_0" localSheetId="61">'332'!$D$65</definedName>
    <definedName name="OSRRefD22_8x_0" localSheetId="76">'405'!$D$49</definedName>
    <definedName name="OSRRefD22_8x_0" localSheetId="77">'406'!$D$49</definedName>
    <definedName name="OSRRefD22_8x_0" localSheetId="78">'411'!$D$52:$D$56</definedName>
    <definedName name="OSRRefD22_8x_0" localSheetId="79">'412'!$D$51</definedName>
    <definedName name="OSRRefD22_8x_0" localSheetId="80">'413'!$D$50</definedName>
    <definedName name="OSRRefD22_8x_0" localSheetId="81">'414'!$D$50</definedName>
    <definedName name="OSRRefD22_8x_0" localSheetId="82">'415'!$D$51</definedName>
    <definedName name="OSRRefD22_8x_0" localSheetId="83">'418'!$D$53:$D$54</definedName>
    <definedName name="OSRRefD22_8x_0" localSheetId="86">'424'!$D$41</definedName>
    <definedName name="OSRRefD22_8x_0" localSheetId="87">'425'!$D$51</definedName>
    <definedName name="OSRRefD22_8x_0" localSheetId="91">'433'!$D$54:$D$56</definedName>
    <definedName name="OSRRefD22_8x_0" localSheetId="93">'444'!$D$54:$D$55</definedName>
    <definedName name="OSRRefD22_8x_0" localSheetId="95">'450'!$D$53:$D$55</definedName>
    <definedName name="OSRRefD22_8x_0" localSheetId="75">'491'!$D$63</definedName>
    <definedName name="OSRRefD22_8x_0" localSheetId="89">'492'!$D$55</definedName>
    <definedName name="OSRRefD22_8x_0" localSheetId="97">'501'!$D$49:$D$50</definedName>
    <definedName name="OSRRefD22_8x_0" localSheetId="39">'Div 2'!$D$52</definedName>
    <definedName name="OSRRefD22_8x_0" localSheetId="47">'Div 3'!$D$174</definedName>
    <definedName name="OSRRefD22_8x_0" localSheetId="73">'Div 4'!$D$64</definedName>
    <definedName name="OSRRefD22_8x_0" localSheetId="96">'Div 5'!$D$49:$D$50</definedName>
    <definedName name="OSRRefD22_8x_0" localSheetId="64">'Div 6'!$D$74:$D$75</definedName>
    <definedName name="OSRRefD22_8x_0" localSheetId="2">Summary!$D$202</definedName>
    <definedName name="OSRRefD22_9x_0" localSheetId="41">'201'!$D$47:$D$48</definedName>
    <definedName name="OSRRefD22_9x_0" localSheetId="42">'202'!$D$48</definedName>
    <definedName name="OSRRefD22_9x_0" localSheetId="43">'203'!$D$49:$D$50</definedName>
    <definedName name="OSRRefD22_9x_0" localSheetId="44">'204'!$D$55</definedName>
    <definedName name="OSRRefD22_9x_0" localSheetId="48">'300'!$D$171</definedName>
    <definedName name="OSRRefD22_9x_0" localSheetId="49">'300 &amp; 317'!$D$191</definedName>
    <definedName name="OSRRefD22_9x_0" localSheetId="50">'301'!$D$51</definedName>
    <definedName name="OSRRefD22_9x_0" localSheetId="53">'307'!$D$82</definedName>
    <definedName name="OSRRefD22_9x_0" localSheetId="55">'308'!$D$87</definedName>
    <definedName name="OSRRefD22_9x_0" localSheetId="67">'309'!$D$54</definedName>
    <definedName name="OSRRefD22_9x_0" localSheetId="66">'310'!$D$60</definedName>
    <definedName name="OSRRefD22_9x_0" localSheetId="74">'310 &amp; 491'!$D$71</definedName>
    <definedName name="OSRRefD22_9x_0" localSheetId="56">'311'!$D$86</definedName>
    <definedName name="OSRRefD22_9x_0" localSheetId="68">'313'!$D$55</definedName>
    <definedName name="OSRRefD22_9x_0" localSheetId="59">'315'!$D$81</definedName>
    <definedName name="OSRRefD22_9x_0" localSheetId="65">'317'!$D$77</definedName>
    <definedName name="OSRRefD22_9x_0" localSheetId="69">'321'!$D$50:$D$52</definedName>
    <definedName name="OSRRefD22_9x_0" localSheetId="70">'322'!$D$52</definedName>
    <definedName name="OSRRefD22_9x_0" localSheetId="71">'325'!$D$53</definedName>
    <definedName name="OSRRefD22_9x_0" localSheetId="60">'326'!$D$77</definedName>
    <definedName name="OSRRefD22_9x_0" localSheetId="52">'330'!$D$96</definedName>
    <definedName name="OSRRefD22_9x_0" localSheetId="58">'331'!$D$89</definedName>
    <definedName name="OSRRefD22_9x_0" localSheetId="61">'332'!$D$67:$D$71</definedName>
    <definedName name="OSRRefD22_9x_0" localSheetId="76">'405'!$D$51:$D$52</definedName>
    <definedName name="OSRRefD22_9x_0" localSheetId="78">'411'!$D$58:$D$62</definedName>
    <definedName name="OSRRefD22_9x_0" localSheetId="79">'412'!$D$53:$D$54</definedName>
    <definedName name="OSRRefD22_9x_0" localSheetId="80">'413'!$D$52:$D$54</definedName>
    <definedName name="OSRRefD22_9x_0" localSheetId="81">'414'!$D$52</definedName>
    <definedName name="OSRRefD22_9x_0" localSheetId="82">'415'!$D$53</definedName>
    <definedName name="OSRRefD22_9x_0" localSheetId="83">'418'!$D$56</definedName>
    <definedName name="OSRRefD22_9x_0" localSheetId="86">'424'!$D$43</definedName>
    <definedName name="OSRRefD22_9x_0" localSheetId="87">'425'!$D$53:$D$54</definedName>
    <definedName name="OSRRefD22_9x_0" localSheetId="91">'433'!$D$58:$D$62</definedName>
    <definedName name="OSRRefD22_9x_0" localSheetId="93">'444'!$D$57:$D$59</definedName>
    <definedName name="OSRRefD22_9x_0" localSheetId="95">'450'!$D$57:$D$60</definedName>
    <definedName name="OSRRefD22_9x_0" localSheetId="75">'491'!$D$65</definedName>
    <definedName name="OSRRefD22_9x_0" localSheetId="89">'492'!$D$57</definedName>
    <definedName name="OSRRefD22_9x_0" localSheetId="97">'501'!$D$52</definedName>
    <definedName name="OSRRefD22_9x_0" localSheetId="39">'Div 2'!$D$54</definedName>
    <definedName name="OSRRefD22_9x_0" localSheetId="47">'Div 3'!$D$176</definedName>
    <definedName name="OSRRefD22_9x_0" localSheetId="73">'Div 4'!$D$66</definedName>
    <definedName name="OSRRefD22_9x_0" localSheetId="96">'Div 5'!$D$52</definedName>
    <definedName name="OSRRefD22_9x_0" localSheetId="64">'Div 6'!$D$77</definedName>
    <definedName name="OSRRefD22_9x_0" localSheetId="2">Summary!$D$204</definedName>
    <definedName name="OSRRefD22x_0" localSheetId="40">'200'!$D$20,'200'!$D$22,'200'!$D$24,'200'!$D$26</definedName>
    <definedName name="OSRRefD22x_0" localSheetId="41">'201'!$D$20:$D$27,'201'!$D$29:$D$31,'201'!$D$33,'201'!$D$35,'201'!$D$37,'201'!$D$39,'201'!$D$41,'201'!$D$43,'201'!$D$45,'201'!$D$47:$D$48,'201'!$D$50:$D$51,'201'!$D$53,'201'!$D$55:$D$56,'201'!$D$58,'201'!$D$60:$D$61</definedName>
    <definedName name="OSRRefD22x_0" localSheetId="42">'202'!$D$20:$D$27,'202'!$D$29:$D$32,'202'!$D$34,'202'!$D$36,'202'!$D$38,'202'!$D$40,'202'!$D$42,'202'!$D$44,'202'!$D$46,'202'!$D$48,'202'!$D$50,'202'!$D$52</definedName>
    <definedName name="OSRRefD22x_0" localSheetId="43">'203'!$D$20:$D$28,'203'!$D$30:$D$33,'203'!$D$35,'203'!$D$37,'203'!$D$39,'203'!$D$41,'203'!$D$43,'203'!$D$45,'203'!$D$47,'203'!$D$49:$D$50,'203'!$D$52:$D$54,'203'!$D$56,'203'!$D$58,'203'!$D$60</definedName>
    <definedName name="OSRRefD22x_0" localSheetId="44">'204'!$D$20:$D$28,'204'!$D$30:$D$34,'204'!$D$36,'204'!$D$38:$D$39,'204'!$D$41,'204'!$D$43,'204'!$D$45:$D$47,'204'!$D$49:$D$50,'204'!$D$52:$D$53,'204'!$D$55</definedName>
    <definedName name="OSRRefD22x_0" localSheetId="45">'205'!$D$20:$D$27,'205'!$D$29,'205'!$D$31,'205'!$D$33,'205'!$D$35,'205'!$D$37,'205'!$D$39:$D$40,'205'!$D$42</definedName>
    <definedName name="OSRRefD22x_0" localSheetId="46">'206'!$D$20:$D$27,'206'!$D$29:$D$32,'206'!$D$34,'206'!$D$36,'206'!$D$38:$D$39,'206'!$D$41,'206'!$D$43</definedName>
    <definedName name="OSRRefD22x_0" localSheetId="48">'300'!$D$137:$D$145,'300'!$D$147:$D$153,'300'!$D$155,'300'!$D$157,'300'!$D$159,'300'!$D$161:$D$162,'300'!$D$164:$D$165,'300'!$D$167,'300'!$D$169,'300'!$D$171,'300'!$D$173:$D$174,'300'!$D$176,'300'!$D$178,'300'!$D$180,'300'!$D$182,'300'!$D$184,'300'!$D$186:$D$188,'300'!$D$190:$D$192,'300'!$D$194:$D$197,'300'!$D$199:$D$200,'300'!$D$202:$D$207,'300'!$D$209:$D$210,'300'!$D$212,'300'!$D$214:$D$216,'300'!$D$218</definedName>
    <definedName name="OSRRefD22x_0" localSheetId="49">'300 &amp; 317'!$D$157:$D$165,'300 &amp; 317'!$D$167:$D$173,'300 &amp; 317'!$D$175,'300 &amp; 317'!$D$177,'300 &amp; 317'!$D$179,'300 &amp; 317'!$D$181:$D$182,'300 &amp; 317'!$D$184:$D$185,'300 &amp; 317'!$D$187,'300 &amp; 317'!$D$189,'300 &amp; 317'!$D$191,'300 &amp; 317'!$D$193:$D$194,'300 &amp; 317'!$D$196,'300 &amp; 317'!$D$198,'300 &amp; 317'!$D$200,'300 &amp; 317'!$D$202,'300 &amp; 317'!$D$204,'300 &amp; 317'!$D$206:$D$208,'300 &amp; 317'!$D$210:$D$212,'300 &amp; 317'!$D$214:$D$217,'300 &amp; 317'!$D$219:$D$220,'300 &amp; 317'!$D$222:$D$227,'300 &amp; 317'!$D$229:$D$230,'300 &amp; 317'!$D$232,'300 &amp; 317'!$D$234:$D$236,'300 &amp; 317'!$D$238</definedName>
    <definedName name="OSRRefD22x_0" localSheetId="50">'301'!$D$20:$D$27,'301'!$D$29:$D$33,'301'!$D$35,'301'!$D$37,'301'!$D$39,'301'!$D$41:$D$42,'301'!$D$44:$D$45,'301'!$D$47,'301'!$D$49,'301'!$D$51,'301'!$D$53,'301'!$D$55,'301'!$D$57,'301'!$D$59,'301'!$D$61:$D$63,'301'!$D$65:$D$67,'301'!$D$69,'301'!$D$71:$D$75,'301'!$D$77,'301'!$D$79,'301'!$D$81:$D$82,'301'!$D$84</definedName>
    <definedName name="OSRRefD22x_0" localSheetId="51">'306'!$D$20:$D$28,'306'!$D$30:$D$34,'306'!$D$36,'306'!$D$38,'306'!$D$40,'306'!$D$42:$D$43,'306'!$D$45,'306'!$D$47</definedName>
    <definedName name="OSRRefD22x_0" localSheetId="53">'307'!$D$54:$D$61,'307'!$D$63:$D$65,'307'!$D$67,'307'!$D$69,'307'!$D$71,'307'!$D$73,'307'!$D$75,'307'!$D$77:$D$78,'307'!$D$80,'307'!$D$82</definedName>
    <definedName name="OSRRefD22x_0" localSheetId="55">'308'!$D$55:$D$63,'308'!$D$65:$D$69,'308'!$D$71,'308'!$D$73:$D$74,'308'!$D$76,'308'!$D$78,'308'!$D$80,'308'!$D$82,'308'!$D$84:$D$85,'308'!$D$87,'308'!$D$89:$D$91,'308'!$D$93:$D$94,'308'!$D$96</definedName>
    <definedName name="OSRRefD22x_0" localSheetId="67">'309'!$D$24:$D$31,'309'!$D$33:$D$37,'309'!$D$39,'309'!$D$41,'309'!$D$43,'309'!$D$45,'309'!$D$47,'309'!$D$49,'309'!$D$51:$D$52,'309'!$D$54,'309'!$D$56:$D$59,'309'!$D$61</definedName>
    <definedName name="OSRRefD22x_0" localSheetId="66">'310'!$D$30:$D$37,'310'!$D$39:$D$43,'310'!$D$45,'310'!$D$47,'310'!$D$49,'310'!$D$51:$D$52,'310'!$D$54,'310'!$D$56,'310'!$D$58,'310'!$D$60,'310'!$D$62,'310'!$D$64,'310'!$D$66,'310'!$D$68,'310'!$D$70,'310'!$D$72,'310'!$D$74:$D$77,'310'!$D$79:$D$80,'310'!$D$82:$D$86,'310'!$D$88,'310'!$D$90,'310'!$D$92</definedName>
    <definedName name="OSRRefD22x_0" localSheetId="74">'310 &amp; 491'!$D$37:$D$45,'310 &amp; 491'!$D$47:$D$53,'310 &amp; 491'!$D$55,'310 &amp; 491'!$D$57,'310 &amp; 491'!$D$59,'310 &amp; 491'!$D$61:$D$63,'310 &amp; 491'!$D$65,'310 &amp; 491'!$D$67,'310 &amp; 491'!$D$69,'310 &amp; 491'!$D$71,'310 &amp; 491'!$D$73,'310 &amp; 491'!$D$75,'310 &amp; 491'!$D$77,'310 &amp; 491'!$D$79,'310 &amp; 491'!$D$81:$D$82,'310 &amp; 491'!$D$84:$D$85,'310 &amp; 491'!$D$87:$D$91,'310 &amp; 491'!$D$93:$D$94,'310 &amp; 491'!$D$96:$D$103,'310 &amp; 491'!$D$105,'310 &amp; 491'!$D$107,'310 &amp; 491'!$D$109:$D$111,'310 &amp; 491'!$D$113</definedName>
    <definedName name="OSRRefD22x_0" localSheetId="56">'311'!$D$54:$D$62,'311'!$D$64:$D$68,'311'!$D$70,'311'!$D$72:$D$73,'311'!$D$75,'311'!$D$77,'311'!$D$79,'311'!$D$81,'311'!$D$83:$D$84,'311'!$D$86,'311'!$D$88:$D$90,'311'!$D$92:$D$93,'311'!$D$95</definedName>
    <definedName name="OSRRefD22x_0" localSheetId="68">'313'!$D$27:$D$34,'313'!$D$36:$D$39,'313'!$D$41,'313'!$D$43,'313'!$D$45,'313'!$D$47,'313'!$D$49,'313'!$D$51,'313'!$D$53,'313'!$D$55,'313'!$D$57:$D$59,'313'!$D$61,'313'!$D$63</definedName>
    <definedName name="OSRRefD22x_0" localSheetId="54">'314'!$D$49:$D$55,'314'!$D$57:$D$59,'314'!$D$61,'314'!$D$63,'314'!$D$65</definedName>
    <definedName name="OSRRefD22x_0" localSheetId="59">'315'!$D$50:$D$57,'315'!$D$59:$D$62,'315'!$D$64,'315'!$D$66,'315'!$D$68,'315'!$D$70,'315'!$D$72,'315'!$D$74:$D$75,'315'!$D$77:$D$79,'315'!$D$81,'315'!$D$83,'315'!$D$85</definedName>
    <definedName name="OSRRefD22x_0" localSheetId="62">'316'!$D$30:$D$37,'316'!$D$39:$D$42,'316'!$D$44,'316'!$D$46,'316'!$D$48,'316'!$D$50,'316'!$D$52,'316'!$D$54:$D$57,'316'!$D$59</definedName>
    <definedName name="OSRRefD22x_0" localSheetId="65">'317'!$D$47:$D$55,'317'!$D$57:$D$60,'317'!$D$62,'317'!$D$64,'317'!$D$66,'317'!$D$68,'317'!$D$70,'317'!$D$72,'317'!$D$74:$D$75,'317'!$D$77</definedName>
    <definedName name="OSRRefD22x_0" localSheetId="63">'320'!$D$28:$D$34,'320'!$D$36:$D$37,'320'!$D$39,'320'!$D$41:$D$42,'320'!$D$44,'320'!$D$46:$D$47,'320'!$D$49</definedName>
    <definedName name="OSRRefD22x_0" localSheetId="69">'321'!$D$24:$D$28,'321'!$D$30:$D$33,'321'!$D$35,'321'!$D$37,'321'!$D$39,'321'!$D$41,'321'!$D$43,'321'!$D$45,'321'!$D$47:$D$48,'321'!$D$50:$D$52,'321'!$D$54,'321'!$D$56</definedName>
    <definedName name="OSRRefD22x_0" localSheetId="70">'322'!$D$24:$D$31,'322'!$D$33:$D$36,'322'!$D$38,'322'!$D$40,'322'!$D$42,'322'!$D$44,'322'!$D$46,'322'!$D$48,'322'!$D$50,'322'!$D$52,'322'!$D$54:$D$56,'322'!$D$58:$D$61,'322'!$D$63,'322'!$D$65</definedName>
    <definedName name="OSRRefD22x_0" localSheetId="71">'325'!$D$24:$D$31,'325'!$D$33:$D$36,'325'!$D$38,'325'!$D$40,'325'!$D$42,'325'!$D$44:$D$45,'325'!$D$47,'325'!$D$49,'325'!$D$51,'325'!$D$53,'325'!$D$55,'325'!$D$57:$D$59,'325'!$D$61,'325'!$D$63:$D$65,'325'!$D$67,'325'!$D$69</definedName>
    <definedName name="OSRRefD22x_0" localSheetId="60">'326'!$D$49:$D$56,'326'!$D$58:$D$61,'326'!$D$63,'326'!$D$65,'326'!$D$67,'326'!$D$69,'326'!$D$71,'326'!$D$73,'326'!$D$75,'326'!$D$77,'326'!$D$79,'326'!$D$81,'326'!$D$83:$D$85,'326'!$D$87,'326'!$D$89:$D$92,'326'!$D$94,'326'!$D$96,'326'!$D$98</definedName>
    <definedName name="OSRRefD22x_0" localSheetId="72">'327'!$D$22</definedName>
    <definedName name="OSRRefD22x_0" localSheetId="52">'330'!$D$68:$D$75,'330'!$D$77:$D$79,'330'!$D$81,'330'!$D$83,'330'!$D$85,'330'!$D$87,'330'!$D$89,'330'!$D$91:$D$92,'330'!$D$94,'330'!$D$96</definedName>
    <definedName name="OSRRefD22x_0" localSheetId="58">'331'!$D$61:$D$68,'331'!$D$70:$D$73,'331'!$D$75,'331'!$D$77,'331'!$D$79,'331'!$D$81,'331'!$D$83,'331'!$D$85,'331'!$D$87,'331'!$D$89,'331'!$D$91,'331'!$D$93,'331'!$D$95,'331'!$D$97:$D$98,'331'!$D$100:$D$102,'331'!$D$104,'331'!$D$106:$D$110,'331'!$D$112,'331'!$D$114,'331'!$D$116,'331'!$D$118</definedName>
    <definedName name="OSRRefD22x_0" localSheetId="61">'332'!$D$38:$D$45,'332'!$D$47:$D$50,'332'!$D$52,'332'!$D$54,'332'!$D$56,'332'!$D$58:$D$59,'332'!$D$61,'332'!$D$63,'332'!$D$65,'332'!$D$67:$D$71,'332'!$D$73</definedName>
    <definedName name="OSRRefD22x_0" localSheetId="76">'405'!$D$24:$D$31,'405'!$D$33:$D$34,'405'!$D$36,'405'!$D$38,'405'!$D$40,'405'!$D$42:$D$43,'405'!$D$45,'405'!$D$47,'405'!$D$49,'405'!$D$51:$D$52,'405'!$D$54,'405'!$D$56:$D$58,'405'!$D$60,'405'!$D$62:$D$66,'405'!$D$68,'405'!$D$70,'405'!$D$72</definedName>
    <definedName name="OSRRefD22x_0" localSheetId="77">'406'!$D$22:$D$29,'406'!$D$31:$D$33,'406'!$D$35,'406'!$D$37,'406'!$D$39,'406'!$D$41,'406'!$D$43:$D$45,'406'!$D$47,'406'!$D$49</definedName>
    <definedName name="OSRRefD22x_0" localSheetId="78">'411'!$D$20:$D$28,'411'!$D$30:$D$35,'411'!$D$37,'411'!$D$39:$D$41,'411'!$D$43,'411'!$D$45,'411'!$D$47,'411'!$D$49:$D$50,'411'!$D$52:$D$56,'411'!$D$58:$D$62,'411'!$D$64,'411'!$D$66,'411'!$D$68:$D$70,'411'!$D$72</definedName>
    <definedName name="OSRRefD22x_0" localSheetId="79">'412'!$D$23:$D$30,'412'!$D$32:$D$37,'412'!$D$39,'412'!$D$41,'412'!$D$43,'412'!$D$45,'412'!$D$47,'412'!$D$49,'412'!$D$51,'412'!$D$53:$D$54,'412'!$D$56:$D$62,'412'!$D$64</definedName>
    <definedName name="OSRRefD22x_0" localSheetId="80">'413'!$D$24:$D$31,'413'!$D$33:$D$36,'413'!$D$38,'413'!$D$40,'413'!$D$42,'413'!$D$44,'413'!$D$46,'413'!$D$48,'413'!$D$50,'413'!$D$52:$D$54,'413'!$D$56</definedName>
    <definedName name="OSRRefD22x_0" localSheetId="81">'414'!$D$24:$D$31,'414'!$D$33:$D$36,'414'!$D$38,'414'!$D$40,'414'!$D$42,'414'!$D$44,'414'!$D$46,'414'!$D$48,'414'!$D$50,'414'!$D$52,'414'!$D$54,'414'!$D$56,'414'!$D$58:$D$62,'414'!$D$64</definedName>
    <definedName name="OSRRefD22x_0" localSheetId="82">'415'!$D$24:$D$31,'415'!$D$33:$D$36,'415'!$D$38,'415'!$D$40,'415'!$D$42,'415'!$D$44:$D$45,'415'!$D$47,'415'!$D$49,'415'!$D$51,'415'!$D$53,'415'!$D$55,'415'!$D$57,'415'!$D$59:$D$63,'415'!$D$65,'415'!$D$67:$D$72,'415'!$D$74,'415'!$D$76,'415'!$D$78</definedName>
    <definedName name="OSRRefD22x_0" localSheetId="83">'418'!$D$24:$D$31,'418'!$D$33:$D$38,'418'!$D$40,'418'!$D$42,'418'!$D$44,'418'!$D$46:$D$47,'418'!$D$49,'418'!$D$51,'418'!$D$53:$D$54,'418'!$D$56,'418'!$D$58:$D$61,'418'!$D$63,'418'!$D$65</definedName>
    <definedName name="OSRRefD22x_0" localSheetId="85">'423'!$D$20:$D$27,'423'!$D$29,'423'!$D$31,'423'!$D$33,'423'!$D$35,'423'!$D$37</definedName>
    <definedName name="OSRRefD22x_0" localSheetId="86">'424'!$D$23:$D$25,'424'!$D$27,'424'!$D$29,'424'!$D$31,'424'!$D$33,'424'!$D$35,'424'!$D$37,'424'!$D$39,'424'!$D$41,'424'!$D$43</definedName>
    <definedName name="OSRRefD22x_0" localSheetId="87">'425'!$D$24:$D$31,'425'!$D$33:$D$37,'425'!$D$39,'425'!$D$41,'425'!$D$43,'425'!$D$45,'425'!$D$47,'425'!$D$49,'425'!$D$51,'425'!$D$53:$D$54,'425'!$D$56:$D$58,'425'!$D$60,'425'!$D$62,'425'!$D$64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'433'!$D$25:$D$33,'433'!$D$35:$D$40,'433'!$D$42,'433'!$D$44,'433'!$D$46,'433'!$D$48,'433'!$D$50,'433'!$D$52,'433'!$D$54:$D$56,'433'!$D$58:$D$62,'433'!$D$64,'433'!$D$66,'433'!$D$68:$D$69</definedName>
    <definedName name="OSRRefD22x_0" localSheetId="92">'435'!$D$20:$D$21,'435'!$D$23,'435'!$D$25,'435'!$D$27</definedName>
    <definedName name="OSRRefD22x_0" localSheetId="93">'444'!$D$25:$D$33,'444'!$D$35:$D$40,'444'!$D$42,'444'!$D$44,'444'!$D$46,'444'!$D$48,'444'!$D$50,'444'!$D$52,'444'!$D$54:$D$55,'444'!$D$57:$D$59,'444'!$D$61:$D$65,'444'!$D$67,'444'!$D$69,'444'!$D$71</definedName>
    <definedName name="OSRRefD22x_0" localSheetId="94">'445'!$D$20</definedName>
    <definedName name="OSRRefD22x_0" localSheetId="95">'450'!$D$24:$D$32,'450'!$D$34:$D$39,'450'!$D$41,'450'!$D$43,'450'!$D$45,'450'!$D$47,'450'!$D$49,'450'!$D$51,'450'!$D$53:$D$55,'450'!$D$57:$D$60,'450'!$D$62,'450'!$D$64,'450'!$D$66</definedName>
    <definedName name="OSRRefD22x_0" localSheetId="88">'455'!$D$20:$D$26,'455'!$D$28:$D$29</definedName>
    <definedName name="OSRRefD22x_0" localSheetId="75">'491'!$D$31:$D$39,'491'!$D$41:$D$47,'491'!$D$49,'491'!$D$51,'491'!$D$53,'491'!$D$55:$D$57,'491'!$D$59,'491'!$D$61,'491'!$D$63,'491'!$D$65,'491'!$D$67,'491'!$D$69,'491'!$D$71:$D$72,'491'!$D$74:$D$75,'491'!$D$77:$D$81,'491'!$D$83,'491'!$D$85:$D$92,'491'!$D$94,'491'!$D$96,'491'!$D$98:$D$100,'491'!$D$102</definedName>
    <definedName name="OSRRefD22x_0" localSheetId="89">'492'!$D$25:$D$33,'492'!$D$35:$D$41,'492'!$D$43,'492'!$D$45,'492'!$D$47,'492'!$D$49,'492'!$D$51,'492'!$D$53,'492'!$D$55,'492'!$D$57,'492'!$D$59:$D$60,'492'!$D$62:$D$64,'492'!$D$66:$D$72,'492'!$D$74,'492'!$D$76,'492'!$D$78:$D$79</definedName>
    <definedName name="OSRRefD22x_0" localSheetId="97">'501'!$D$21:$D$28,'501'!$D$30:$D$35,'501'!$D$37,'501'!$D$39,'501'!$D$41,'501'!$D$43,'501'!$D$45,'501'!$D$47,'501'!$D$49:$D$50,'501'!$D$52</definedName>
    <definedName name="OSRRefD22x_0" localSheetId="39">'Div 2'!$D$20:$D$29,'Div 2'!$D$31:$D$37,'Div 2'!$D$39,'Div 2'!$D$41,'Div 2'!$D$43,'Div 2'!$D$45:$D$46,'Div 2'!$D$48,'Div 2'!$D$50,'Div 2'!$D$52,'Div 2'!$D$54,'Div 2'!$D$56,'Div 2'!$D$58,'Div 2'!$D$60:$D$63,'Div 2'!$D$65:$D$67,'Div 2'!$D$69:$D$70,'Div 2'!$D$72,'Div 2'!$D$74:$D$77,'Div 2'!$D$79:$D$80,'Div 2'!$D$82,'Div 2'!$D$84:$D$85</definedName>
    <definedName name="OSRRefD22x_0" localSheetId="47">'Div 3'!$D$142:$D$150,'Div 3'!$D$152:$D$158,'Div 3'!$D$160,'Div 3'!$D$162,'Div 3'!$D$164,'Div 3'!$D$166:$D$167,'Div 3'!$D$169:$D$170,'Div 3'!$D$172,'Div 3'!$D$174,'Div 3'!$D$176,'Div 3'!$D$178:$D$179,'Div 3'!$D$181,'Div 3'!$D$183,'Div 3'!$D$185,'Div 3'!$D$187,'Div 3'!$D$189,'Div 3'!$D$191,'Div 3'!$D$193:$D$195,'Div 3'!$D$197:$D$199,'Div 3'!$D$201:$D$205,'Div 3'!$D$207:$D$208,'Div 3'!$D$210:$D$215,'Div 3'!$D$217:$D$218,'Div 3'!$D$220,'Div 3'!$D$222:$D$224,'Div 3'!$D$226</definedName>
    <definedName name="OSRRefD22x_0" localSheetId="73">'Div 4'!$D$32:$D$40,'Div 4'!$D$42:$D$48,'Div 4'!$D$50,'Div 4'!$D$52,'Div 4'!$D$54,'Div 4'!$D$56:$D$58,'Div 4'!$D$60,'Div 4'!$D$62,'Div 4'!$D$64,'Div 4'!$D$66,'Div 4'!$D$68,'Div 4'!$D$70,'Div 4'!$D$72,'Div 4'!$D$74:$D$75,'Div 4'!$D$77:$D$78,'Div 4'!$D$80:$D$84,'Div 4'!$D$86,'Div 4'!$D$88:$D$95,'Div 4'!$D$97,'Div 4'!$D$99,'Div 4'!$D$101:$D$103,'Div 4'!$D$105</definedName>
    <definedName name="OSRRefD22x_0" localSheetId="96">'Div 5'!$D$21:$D$28,'Div 5'!$D$30:$D$35,'Div 5'!$D$37,'Div 5'!$D$39,'Div 5'!$D$41,'Div 5'!$D$43,'Div 5'!$D$45,'Div 5'!$D$47,'Div 5'!$D$49:$D$50,'Div 5'!$D$52</definedName>
    <definedName name="OSRRefD22x_0" localSheetId="64">'Div 6'!$D$47:$D$55,'Div 6'!$D$57:$D$60,'Div 6'!$D$62,'Div 6'!$D$64,'Div 6'!$D$66,'Div 6'!$D$68,'Div 6'!$D$70,'Div 6'!$D$72,'Div 6'!$D$74:$D$75,'Div 6'!$D$77</definedName>
    <definedName name="OSRRefD22x_0" localSheetId="2">Summary!$D$169:$D$177,Summary!$D$179:$D$185,Summary!$D$187,Summary!$D$189,Summary!$D$191,Summary!$D$193:$D$195,Summary!$D$197:$D$198,Summary!$D$200,Summary!$D$202,Summary!$D$204,Summary!$D$206:$D$207,Summary!$D$209,Summary!$D$211,Summary!$D$213,Summary!$D$215,Summary!$D$217,Summary!$D$219,Summary!$D$221,Summary!$D$223:$D$225,Summary!$D$227:$D$229,Summary!$D$231:$D$235,Summary!$D$237:$D$238,Summary!$D$240:$D$247,Summary!$D$249:$D$250,Summary!$D$252,Summary!$D$254:$D$256,Summary!$D$258</definedName>
    <definedName name="OSRRefD25x_0" localSheetId="48">'300'!$D$221:$D$225</definedName>
    <definedName name="OSRRefD25x_0" localSheetId="49">'300 &amp; 317'!$D$241:$D$247</definedName>
    <definedName name="OSRRefD25x_0" localSheetId="50">'301'!$D$87:$D$88</definedName>
    <definedName name="OSRRefD25x_0" localSheetId="55">'308'!$D$99:$D$100</definedName>
    <definedName name="OSRRefD25x_0" localSheetId="74">'310 &amp; 491'!$D$116:$D$118</definedName>
    <definedName name="OSRRefD25x_0" localSheetId="56">'311'!$D$98:$D$99</definedName>
    <definedName name="OSRRefD25x_0" localSheetId="59">'315'!$D$88</definedName>
    <definedName name="OSRRefD25x_0" localSheetId="62">'316'!$D$62</definedName>
    <definedName name="OSRRefD25x_0" localSheetId="65">'317'!$D$80:$D$82</definedName>
    <definedName name="OSRRefD25x_0" localSheetId="63">'320'!$D$52:$D$53</definedName>
    <definedName name="OSRRefD25x_0" localSheetId="58">'331'!$D$121</definedName>
    <definedName name="OSRRefD25x_0" localSheetId="61">'332'!$D$76:$D$78</definedName>
    <definedName name="OSRRefD25x_0" localSheetId="78">'411'!$D$75:$D$76</definedName>
    <definedName name="OSRRefD25x_0" localSheetId="80">'413'!$D$59</definedName>
    <definedName name="OSRRefD25x_0" localSheetId="85">'423'!$D$40</definedName>
    <definedName name="OSRRefD25x_0" localSheetId="86">'424'!$D$46</definedName>
    <definedName name="OSRRefD25x_0" localSheetId="87">'425'!$D$67</definedName>
    <definedName name="OSRRefD25x_0" localSheetId="88">'455'!$D$32:$D$33</definedName>
    <definedName name="OSRRefD25x_0" localSheetId="75">'491'!$D$105:$D$107</definedName>
    <definedName name="OSRRefD25x_0" localSheetId="97">'501'!$D$55</definedName>
    <definedName name="OSRRefD25x_0" localSheetId="47">'Div 3'!$D$229:$D$233</definedName>
    <definedName name="OSRRefD25x_0" localSheetId="73">'Div 4'!$D$108:$D$110</definedName>
    <definedName name="OSRRefD25x_0" localSheetId="96">'Div 5'!$D$55</definedName>
    <definedName name="OSRRefD25x_0" localSheetId="64">'Div 6'!$D$80:$D$82</definedName>
    <definedName name="OSRRefD25x_0" localSheetId="2">Summary!$D$261:$D$269</definedName>
    <definedName name="OSRRefH13x_0" localSheetId="48">'300'!$H$13:$H$89</definedName>
    <definedName name="OSRRefH13x_0" localSheetId="49">'300 &amp; 317'!$H$13:$H$102</definedName>
    <definedName name="OSRRefH13x_0" localSheetId="53">'307'!$H$13:$H$36</definedName>
    <definedName name="OSRRefH13x_0" localSheetId="55">'308'!$H$13:$H$34</definedName>
    <definedName name="OSRRefH13x_0" localSheetId="67">'309'!$H$13:$H$14</definedName>
    <definedName name="OSRRefH13x_0" localSheetId="66">'310'!$H$13:$H$20</definedName>
    <definedName name="OSRRefH13x_0" localSheetId="74">'310 &amp; 491'!$H$13:$H$27</definedName>
    <definedName name="OSRRefH13x_0" localSheetId="56">'311'!$H$13:$H$33</definedName>
    <definedName name="OSRRefH13x_0" localSheetId="68">'313'!$H$13:$H$17</definedName>
    <definedName name="OSRRefH13x_0" localSheetId="54">'314'!$H$13:$H$29</definedName>
    <definedName name="OSRRefH13x_0" localSheetId="59">'315'!$H$13:$H$29</definedName>
    <definedName name="OSRRefH13x_0" localSheetId="62">'316'!$H$13:$H$22</definedName>
    <definedName name="OSRRefH13x_0" localSheetId="65">'317'!$H$13:$H$30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'326'!$H$13:$H$28</definedName>
    <definedName name="OSRRefH13x_0" localSheetId="72">'327'!$H$13</definedName>
    <definedName name="OSRRefH13x_0" localSheetId="52">'330'!$H$13:$H$45</definedName>
    <definedName name="OSRRefH13x_0" localSheetId="58">'331'!$H$13:$H$34</definedName>
    <definedName name="OSRRefH13x_0" localSheetId="61">'332'!$H$13:$H$25</definedName>
    <definedName name="OSRRefH13x_0" localSheetId="76">'405'!$H$13:$H$14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6">'424'!$H$13</definedName>
    <definedName name="OSRRefH13x_0" localSheetId="87">'425'!$H$13:$H$14</definedName>
    <definedName name="OSRRefH13x_0" localSheetId="91">'433'!$H$13:$H$15</definedName>
    <definedName name="OSRRefH13x_0" localSheetId="93">'444'!$H$13:$H$15</definedName>
    <definedName name="OSRRefH13x_0" localSheetId="95">'450'!$H$13:$H$14</definedName>
    <definedName name="OSRRefH13x_0" localSheetId="75">'491'!$H$13:$H$21</definedName>
    <definedName name="OSRRefH13x_0" localSheetId="89">'492'!$H$13:$H$15</definedName>
    <definedName name="OSRRefH13x_0" localSheetId="97">'501'!$H$13</definedName>
    <definedName name="OSRRefH13x_0" localSheetId="47">'Div 3'!$H$13:$H$92</definedName>
    <definedName name="OSRRefH13x_0" localSheetId="73">'Div 4'!$H$13:$H$22</definedName>
    <definedName name="OSRRefH13x_0" localSheetId="96">'Div 5'!$H$13</definedName>
    <definedName name="OSRRefH13x_0" localSheetId="64">'Div 6'!$H$13:$H$30</definedName>
    <definedName name="OSRRefH13x_0" localSheetId="2">Summary!$H$13:$H$112</definedName>
    <definedName name="OSRRefH16x_0" localSheetId="48">'300'!$H$92:$H$131</definedName>
    <definedName name="OSRRefH16x_0" localSheetId="49">'300 &amp; 317'!$H$105:$H$151</definedName>
    <definedName name="OSRRefH16x_0" localSheetId="53">'307'!$H$39:$H$48</definedName>
    <definedName name="OSRRefH16x_0" localSheetId="55">'308'!$H$37:$H$49</definedName>
    <definedName name="OSRRefH16x_0" localSheetId="67">'309'!$H$17:$H$18</definedName>
    <definedName name="OSRRefH16x_0" localSheetId="66">'310'!$H$23:$H$24</definedName>
    <definedName name="OSRRefH16x_0" localSheetId="74">'310 &amp; 491'!$H$30:$H$31</definedName>
    <definedName name="OSRRefH16x_0" localSheetId="56">'311'!$H$36:$H$48</definedName>
    <definedName name="OSRRefH16x_0" localSheetId="68">'313'!$H$20:$H$21</definedName>
    <definedName name="OSRRefH16x_0" localSheetId="54">'314'!$H$32:$H$43</definedName>
    <definedName name="OSRRefH16x_0" localSheetId="59">'315'!$H$32:$H$44</definedName>
    <definedName name="OSRRefH16x_0" localSheetId="65">'317'!$H$33:$H$41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'326'!$H$31:$H$43</definedName>
    <definedName name="OSRRefH16x_0" localSheetId="72">'327'!$H$16</definedName>
    <definedName name="OSRRefH16x_0" localSheetId="52">'330'!$H$48:$H$62</definedName>
    <definedName name="OSRRefH16x_0" localSheetId="58">'331'!$H$37:$H$55</definedName>
    <definedName name="OSRRefH16x_0" localSheetId="61">'332'!$H$28:$H$32</definedName>
    <definedName name="OSRRefH16x_0" localSheetId="76">'405'!$H$17:$H$18</definedName>
    <definedName name="OSRRefH16x_0" localSheetId="77">'406'!$H$15:$H$16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6">'424'!$H$16:$H$17</definedName>
    <definedName name="OSRRefH16x_0" localSheetId="87">'425'!$H$17:$H$18</definedName>
    <definedName name="OSRRefH16x_0" localSheetId="91">'433'!$H$18:$H$19</definedName>
    <definedName name="OSRRefH16x_0" localSheetId="93">'444'!$H$18:$H$19</definedName>
    <definedName name="OSRRefH16x_0" localSheetId="95">'450'!$H$17:$H$18</definedName>
    <definedName name="OSRRefH16x_0" localSheetId="75">'491'!$H$24:$H$25</definedName>
    <definedName name="OSRRefH16x_0" localSheetId="89">'492'!$H$18:$H$19</definedName>
    <definedName name="OSRRefH16x_0" localSheetId="47">'Div 3'!$H$95:$H$136</definedName>
    <definedName name="OSRRefH16x_0" localSheetId="73">'Div 4'!$H$25:$H$26</definedName>
    <definedName name="OSRRefH16x_0" localSheetId="64">'Div 6'!$H$33:$H$41</definedName>
    <definedName name="OSRRefH16x_0" localSheetId="2">Summary!$H$115:$H$163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'300'!$H$137:$H$145</definedName>
    <definedName name="OSRRefH22_0x_0" localSheetId="49">'300 &amp; 317'!$H$157:$H$165</definedName>
    <definedName name="OSRRefH22_0x_0" localSheetId="50">'301'!$H$20:$H$27</definedName>
    <definedName name="OSRRefH22_0x_0" localSheetId="51">'306'!$H$20:$H$28</definedName>
    <definedName name="OSRRefH22_0x_0" localSheetId="53">'307'!$H$54:$H$61</definedName>
    <definedName name="OSRRefH22_0x_0" localSheetId="55">'308'!$H$55:$H$63</definedName>
    <definedName name="OSRRefH22_0x_0" localSheetId="67">'309'!$H$24:$H$31</definedName>
    <definedName name="OSRRefH22_0x_0" localSheetId="66">'310'!$H$30:$H$37</definedName>
    <definedName name="OSRRefH22_0x_0" localSheetId="74">'310 &amp; 491'!$H$37:$H$45</definedName>
    <definedName name="OSRRefH22_0x_0" localSheetId="56">'311'!$H$54:$H$62</definedName>
    <definedName name="OSRRefH22_0x_0" localSheetId="68">'313'!$H$27:$H$34</definedName>
    <definedName name="OSRRefH22_0x_0" localSheetId="54">'314'!$H$49:$H$55</definedName>
    <definedName name="OSRRefH22_0x_0" localSheetId="59">'315'!$H$50:$H$57</definedName>
    <definedName name="OSRRefH22_0x_0" localSheetId="62">'316'!$H$30:$H$37</definedName>
    <definedName name="OSRRefH22_0x_0" localSheetId="65">'317'!$H$47:$H$55</definedName>
    <definedName name="OSRRefH22_0x_0" localSheetId="63">'320'!$H$28:$H$34</definedName>
    <definedName name="OSRRefH22_0x_0" localSheetId="69">'321'!$H$24:$H$28</definedName>
    <definedName name="OSRRefH22_0x_0" localSheetId="70">'322'!$H$24:$H$31</definedName>
    <definedName name="OSRRefH22_0x_0" localSheetId="71">'325'!$H$24:$H$31</definedName>
    <definedName name="OSRRefH22_0x_0" localSheetId="60">'326'!$H$49:$H$56</definedName>
    <definedName name="OSRRefH22_0x_0" localSheetId="72">'327'!$H$22</definedName>
    <definedName name="OSRRefH22_0x_0" localSheetId="52">'330'!$H$68:$H$75</definedName>
    <definedName name="OSRRefH22_0x_0" localSheetId="58">'331'!$H$61:$H$68</definedName>
    <definedName name="OSRRefH22_0x_0" localSheetId="61">'332'!$H$38:$H$45</definedName>
    <definedName name="OSRRefH22_0x_0" localSheetId="76">'405'!$H$24:$H$31</definedName>
    <definedName name="OSRRefH22_0x_0" localSheetId="77">'406'!$H$22:$H$29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5">'423'!$H$20:$H$27</definedName>
    <definedName name="OSRRefH22_0x_0" localSheetId="86">'424'!$H$23:$H$25</definedName>
    <definedName name="OSRRefH22_0x_0" localSheetId="87">'425'!$H$24:$H$31</definedName>
    <definedName name="OSRRefH22_0x_0" localSheetId="90">'430'!$H$20:$H$27</definedName>
    <definedName name="OSRRefH22_0x_0" localSheetId="91">'433'!$H$25:$H$33</definedName>
    <definedName name="OSRRefH22_0x_0" localSheetId="92">'435'!$H$20:$H$21</definedName>
    <definedName name="OSRRefH22_0x_0" localSheetId="93">'444'!$H$25:$H$33</definedName>
    <definedName name="OSRRefH22_0x_0" localSheetId="94">'445'!$H$20</definedName>
    <definedName name="OSRRefH22_0x_0" localSheetId="95">'450'!$H$24:$H$32</definedName>
    <definedName name="OSRRefH22_0x_0" localSheetId="88">'455'!$H$20:$H$26</definedName>
    <definedName name="OSRRefH22_0x_0" localSheetId="75">'491'!$H$31:$H$39</definedName>
    <definedName name="OSRRefH22_0x_0" localSheetId="89">'492'!$H$25:$H$33</definedName>
    <definedName name="OSRRefH22_0x_0" localSheetId="97">'501'!$H$21:$H$28</definedName>
    <definedName name="OSRRefH22_0x_0" localSheetId="39">'Div 2'!$H$20:$H$29</definedName>
    <definedName name="OSRRefH22_0x_0" localSheetId="47">'Div 3'!$H$142:$H$150</definedName>
    <definedName name="OSRRefH22_0x_0" localSheetId="73">'Div 4'!$H$32:$H$40</definedName>
    <definedName name="OSRRefH22_0x_0" localSheetId="96">'Div 5'!$H$21:$H$28</definedName>
    <definedName name="OSRRefH22_0x_0" localSheetId="64">'Div 6'!$H$47:$H$55</definedName>
    <definedName name="OSRRefH22_0x_0" localSheetId="2">Summary!$H$169:$H$177</definedName>
    <definedName name="OSRRefH22_10x_0" localSheetId="41">'201'!$H$50:$H$51</definedName>
    <definedName name="OSRRefH22_10x_0" localSheetId="42">'202'!$H$50</definedName>
    <definedName name="OSRRefH22_10x_0" localSheetId="43">'203'!$H$52:$H$54</definedName>
    <definedName name="OSRRefH22_10x_0" localSheetId="48">'300'!$H$173:$H$174</definedName>
    <definedName name="OSRRefH22_10x_0" localSheetId="49">'300 &amp; 317'!$H$193:$H$194</definedName>
    <definedName name="OSRRefH22_10x_0" localSheetId="50">'301'!$H$53</definedName>
    <definedName name="OSRRefH22_10x_0" localSheetId="55">'308'!$H$89:$H$91</definedName>
    <definedName name="OSRRefH22_10x_0" localSheetId="67">'309'!$H$56:$H$59</definedName>
    <definedName name="OSRRefH22_10x_0" localSheetId="66">'310'!$H$62</definedName>
    <definedName name="OSRRefH22_10x_0" localSheetId="74">'310 &amp; 491'!$H$73</definedName>
    <definedName name="OSRRefH22_10x_0" localSheetId="56">'311'!$H$88:$H$90</definedName>
    <definedName name="OSRRefH22_10x_0" localSheetId="68">'313'!$H$57:$H$59</definedName>
    <definedName name="OSRRefH22_10x_0" localSheetId="59">'315'!$H$83</definedName>
    <definedName name="OSRRefH22_10x_0" localSheetId="69">'321'!$H$54</definedName>
    <definedName name="OSRRefH22_10x_0" localSheetId="70">'322'!$H$54:$H$56</definedName>
    <definedName name="OSRRefH22_10x_0" localSheetId="71">'325'!$H$55</definedName>
    <definedName name="OSRRefH22_10x_0" localSheetId="60">'326'!$H$79</definedName>
    <definedName name="OSRRefH22_10x_0" localSheetId="58">'331'!$H$91</definedName>
    <definedName name="OSRRefH22_10x_0" localSheetId="61">'332'!$H$73</definedName>
    <definedName name="OSRRefH22_10x_0" localSheetId="76">'405'!$H$54</definedName>
    <definedName name="OSRRefH22_10x_0" localSheetId="78">'411'!$H$64</definedName>
    <definedName name="OSRRefH22_10x_0" localSheetId="79">'412'!$H$56:$H$62</definedName>
    <definedName name="OSRRefH22_10x_0" localSheetId="80">'413'!$H$56</definedName>
    <definedName name="OSRRefH22_10x_0" localSheetId="81">'414'!$H$54</definedName>
    <definedName name="OSRRefH22_10x_0" localSheetId="82">'415'!$H$55</definedName>
    <definedName name="OSRRefH22_10x_0" localSheetId="83">'418'!$H$58:$H$61</definedName>
    <definedName name="OSRRefH22_10x_0" localSheetId="87">'425'!$H$56:$H$58</definedName>
    <definedName name="OSRRefH22_10x_0" localSheetId="91">'433'!$H$64</definedName>
    <definedName name="OSRRefH22_10x_0" localSheetId="93">'444'!$H$61:$H$65</definedName>
    <definedName name="OSRRefH22_10x_0" localSheetId="95">'450'!$H$62</definedName>
    <definedName name="OSRRefH22_10x_0" localSheetId="75">'491'!$H$67</definedName>
    <definedName name="OSRRefH22_10x_0" localSheetId="89">'492'!$H$59:$H$60</definedName>
    <definedName name="OSRRefH22_10x_0" localSheetId="39">'Div 2'!$H$56</definedName>
    <definedName name="OSRRefH22_10x_0" localSheetId="47">'Div 3'!$H$178:$H$179</definedName>
    <definedName name="OSRRefH22_10x_0" localSheetId="73">'Div 4'!$H$68</definedName>
    <definedName name="OSRRefH22_10x_0" localSheetId="2">Summary!$H$206:$H$207</definedName>
    <definedName name="OSRRefH22_11x_0" localSheetId="41">'201'!$H$53</definedName>
    <definedName name="OSRRefH22_11x_0" localSheetId="42">'202'!$H$52</definedName>
    <definedName name="OSRRefH22_11x_0" localSheetId="43">'203'!$H$56</definedName>
    <definedName name="OSRRefH22_11x_0" localSheetId="48">'300'!$H$176</definedName>
    <definedName name="OSRRefH22_11x_0" localSheetId="49">'300 &amp; 317'!$H$196</definedName>
    <definedName name="OSRRefH22_11x_0" localSheetId="50">'301'!$H$55</definedName>
    <definedName name="OSRRefH22_11x_0" localSheetId="55">'308'!$H$93:$H$94</definedName>
    <definedName name="OSRRefH22_11x_0" localSheetId="67">'309'!$H$61</definedName>
    <definedName name="OSRRefH22_11x_0" localSheetId="66">'310'!$H$64</definedName>
    <definedName name="OSRRefH22_11x_0" localSheetId="74">'310 &amp; 491'!$H$75</definedName>
    <definedName name="OSRRefH22_11x_0" localSheetId="56">'311'!$H$92:$H$93</definedName>
    <definedName name="OSRRefH22_11x_0" localSheetId="68">'313'!$H$61</definedName>
    <definedName name="OSRRefH22_11x_0" localSheetId="59">'315'!$H$85</definedName>
    <definedName name="OSRRefH22_11x_0" localSheetId="69">'321'!$H$56</definedName>
    <definedName name="OSRRefH22_11x_0" localSheetId="70">'322'!$H$58:$H$61</definedName>
    <definedName name="OSRRefH22_11x_0" localSheetId="71">'325'!$H$57:$H$59</definedName>
    <definedName name="OSRRefH22_11x_0" localSheetId="60">'326'!$H$81</definedName>
    <definedName name="OSRRefH22_11x_0" localSheetId="58">'331'!$H$93</definedName>
    <definedName name="OSRRefH22_11x_0" localSheetId="76">'405'!$H$56:$H$58</definedName>
    <definedName name="OSRRefH22_11x_0" localSheetId="78">'411'!$H$66</definedName>
    <definedName name="OSRRefH22_11x_0" localSheetId="79">'412'!$H$64</definedName>
    <definedName name="OSRRefH22_11x_0" localSheetId="81">'414'!$H$56</definedName>
    <definedName name="OSRRefH22_11x_0" localSheetId="82">'415'!$H$57</definedName>
    <definedName name="OSRRefH22_11x_0" localSheetId="83">'418'!$H$63</definedName>
    <definedName name="OSRRefH22_11x_0" localSheetId="87">'425'!$H$60</definedName>
    <definedName name="OSRRefH22_11x_0" localSheetId="91">'433'!$H$66</definedName>
    <definedName name="OSRRefH22_11x_0" localSheetId="93">'444'!$H$67</definedName>
    <definedName name="OSRRefH22_11x_0" localSheetId="95">'450'!$H$64</definedName>
    <definedName name="OSRRefH22_11x_0" localSheetId="75">'491'!$H$69</definedName>
    <definedName name="OSRRefH22_11x_0" localSheetId="89">'492'!$H$62:$H$64</definedName>
    <definedName name="OSRRefH22_11x_0" localSheetId="39">'Div 2'!$H$58</definedName>
    <definedName name="OSRRefH22_11x_0" localSheetId="47">'Div 3'!$H$181</definedName>
    <definedName name="OSRRefH22_11x_0" localSheetId="73">'Div 4'!$H$70</definedName>
    <definedName name="OSRRefH22_11x_0" localSheetId="2">Summary!$H$209</definedName>
    <definedName name="OSRRefH22_12x_0" localSheetId="41">'201'!$H$55:$H$56</definedName>
    <definedName name="OSRRefH22_12x_0" localSheetId="43">'203'!$H$58</definedName>
    <definedName name="OSRRefH22_12x_0" localSheetId="48">'300'!$H$178</definedName>
    <definedName name="OSRRefH22_12x_0" localSheetId="49">'300 &amp; 317'!$H$198</definedName>
    <definedName name="OSRRefH22_12x_0" localSheetId="50">'301'!$H$57</definedName>
    <definedName name="OSRRefH22_12x_0" localSheetId="55">'308'!$H$96</definedName>
    <definedName name="OSRRefH22_12x_0" localSheetId="66">'310'!$H$66</definedName>
    <definedName name="OSRRefH22_12x_0" localSheetId="74">'310 &amp; 491'!$H$77</definedName>
    <definedName name="OSRRefH22_12x_0" localSheetId="56">'311'!$H$95</definedName>
    <definedName name="OSRRefH22_12x_0" localSheetId="68">'313'!$H$63</definedName>
    <definedName name="OSRRefH22_12x_0" localSheetId="70">'322'!$H$63</definedName>
    <definedName name="OSRRefH22_12x_0" localSheetId="71">'325'!$H$61</definedName>
    <definedName name="OSRRefH22_12x_0" localSheetId="60">'326'!$H$83:$H$85</definedName>
    <definedName name="OSRRefH22_12x_0" localSheetId="58">'331'!$H$95</definedName>
    <definedName name="OSRRefH22_12x_0" localSheetId="76">'405'!$H$60</definedName>
    <definedName name="OSRRefH22_12x_0" localSheetId="78">'411'!$H$68:$H$70</definedName>
    <definedName name="OSRRefH22_12x_0" localSheetId="81">'414'!$H$58:$H$62</definedName>
    <definedName name="OSRRefH22_12x_0" localSheetId="82">'415'!$H$59:$H$63</definedName>
    <definedName name="OSRRefH22_12x_0" localSheetId="83">'418'!$H$65</definedName>
    <definedName name="OSRRefH22_12x_0" localSheetId="87">'425'!$H$62</definedName>
    <definedName name="OSRRefH22_12x_0" localSheetId="91">'433'!$H$68:$H$69</definedName>
    <definedName name="OSRRefH22_12x_0" localSheetId="93">'444'!$H$69</definedName>
    <definedName name="OSRRefH22_12x_0" localSheetId="95">'450'!$H$66</definedName>
    <definedName name="OSRRefH22_12x_0" localSheetId="75">'491'!$H$71:$H$72</definedName>
    <definedName name="OSRRefH22_12x_0" localSheetId="89">'492'!$H$66:$H$72</definedName>
    <definedName name="OSRRefH22_12x_0" localSheetId="39">'Div 2'!$H$60:$H$63</definedName>
    <definedName name="OSRRefH22_12x_0" localSheetId="47">'Div 3'!$H$183</definedName>
    <definedName name="OSRRefH22_12x_0" localSheetId="73">'Div 4'!$H$72</definedName>
    <definedName name="OSRRefH22_12x_0" localSheetId="2">Summary!$H$211</definedName>
    <definedName name="OSRRefH22_13x_0" localSheetId="41">'201'!$H$58</definedName>
    <definedName name="OSRRefH22_13x_0" localSheetId="43">'203'!$H$60</definedName>
    <definedName name="OSRRefH22_13x_0" localSheetId="48">'300'!$H$180</definedName>
    <definedName name="OSRRefH22_13x_0" localSheetId="49">'300 &amp; 317'!$H$200</definedName>
    <definedName name="OSRRefH22_13x_0" localSheetId="50">'301'!$H$59</definedName>
    <definedName name="OSRRefH22_13x_0" localSheetId="66">'310'!$H$68</definedName>
    <definedName name="OSRRefH22_13x_0" localSheetId="74">'310 &amp; 491'!$H$79</definedName>
    <definedName name="OSRRefH22_13x_0" localSheetId="70">'322'!$H$65</definedName>
    <definedName name="OSRRefH22_13x_0" localSheetId="71">'325'!$H$63:$H$65</definedName>
    <definedName name="OSRRefH22_13x_0" localSheetId="60">'326'!$H$87</definedName>
    <definedName name="OSRRefH22_13x_0" localSheetId="58">'331'!$H$97:$H$98</definedName>
    <definedName name="OSRRefH22_13x_0" localSheetId="76">'405'!$H$62:$H$66</definedName>
    <definedName name="OSRRefH22_13x_0" localSheetId="78">'411'!$H$72</definedName>
    <definedName name="OSRRefH22_13x_0" localSheetId="81">'414'!$H$64</definedName>
    <definedName name="OSRRefH22_13x_0" localSheetId="82">'415'!$H$65</definedName>
    <definedName name="OSRRefH22_13x_0" localSheetId="87">'425'!$H$64</definedName>
    <definedName name="OSRRefH22_13x_0" localSheetId="93">'444'!$H$71</definedName>
    <definedName name="OSRRefH22_13x_0" localSheetId="75">'491'!$H$74:$H$75</definedName>
    <definedName name="OSRRefH22_13x_0" localSheetId="89">'492'!$H$74</definedName>
    <definedName name="OSRRefH22_13x_0" localSheetId="39">'Div 2'!$H$65:$H$67</definedName>
    <definedName name="OSRRefH22_13x_0" localSheetId="47">'Div 3'!$H$185</definedName>
    <definedName name="OSRRefH22_13x_0" localSheetId="73">'Div 4'!$H$74:$H$75</definedName>
    <definedName name="OSRRefH22_13x_0" localSheetId="2">Summary!$H$213</definedName>
    <definedName name="OSRRefH22_14x_0" localSheetId="41">'201'!$H$60:$H$61</definedName>
    <definedName name="OSRRefH22_14x_0" localSheetId="48">'300'!$H$182</definedName>
    <definedName name="OSRRefH22_14x_0" localSheetId="49">'300 &amp; 317'!$H$202</definedName>
    <definedName name="OSRRefH22_14x_0" localSheetId="50">'301'!$H$61:$H$63</definedName>
    <definedName name="OSRRefH22_14x_0" localSheetId="66">'310'!$H$70</definedName>
    <definedName name="OSRRefH22_14x_0" localSheetId="74">'310 &amp; 491'!$H$81:$H$82</definedName>
    <definedName name="OSRRefH22_14x_0" localSheetId="71">'325'!$H$67</definedName>
    <definedName name="OSRRefH22_14x_0" localSheetId="60">'326'!$H$89:$H$92</definedName>
    <definedName name="OSRRefH22_14x_0" localSheetId="58">'331'!$H$100:$H$102</definedName>
    <definedName name="OSRRefH22_14x_0" localSheetId="76">'405'!$H$68</definedName>
    <definedName name="OSRRefH22_14x_0" localSheetId="82">'415'!$H$67:$H$72</definedName>
    <definedName name="OSRRefH22_14x_0" localSheetId="75">'491'!$H$77:$H$81</definedName>
    <definedName name="OSRRefH22_14x_0" localSheetId="89">'492'!$H$76</definedName>
    <definedName name="OSRRefH22_14x_0" localSheetId="39">'Div 2'!$H$69:$H$70</definedName>
    <definedName name="OSRRefH22_14x_0" localSheetId="47">'Div 3'!$H$187</definedName>
    <definedName name="OSRRefH22_14x_0" localSheetId="73">'Div 4'!$H$77:$H$78</definedName>
    <definedName name="OSRRefH22_14x_0" localSheetId="2">Summary!$H$215</definedName>
    <definedName name="OSRRefH22_15x_0" localSheetId="48">'300'!$H$184</definedName>
    <definedName name="OSRRefH22_15x_0" localSheetId="49">'300 &amp; 317'!$H$204</definedName>
    <definedName name="OSRRefH22_15x_0" localSheetId="50">'301'!$H$65:$H$67</definedName>
    <definedName name="OSRRefH22_15x_0" localSheetId="66">'310'!$H$72</definedName>
    <definedName name="OSRRefH22_15x_0" localSheetId="74">'310 &amp; 491'!$H$84:$H$85</definedName>
    <definedName name="OSRRefH22_15x_0" localSheetId="71">'325'!$H$69</definedName>
    <definedName name="OSRRefH22_15x_0" localSheetId="60">'326'!$H$94</definedName>
    <definedName name="OSRRefH22_15x_0" localSheetId="58">'331'!$H$104</definedName>
    <definedName name="OSRRefH22_15x_0" localSheetId="76">'405'!$H$70</definedName>
    <definedName name="OSRRefH22_15x_0" localSheetId="82">'415'!$H$74</definedName>
    <definedName name="OSRRefH22_15x_0" localSheetId="75">'491'!$H$83</definedName>
    <definedName name="OSRRefH22_15x_0" localSheetId="89">'492'!$H$78:$H$79</definedName>
    <definedName name="OSRRefH22_15x_0" localSheetId="39">'Div 2'!$H$72</definedName>
    <definedName name="OSRRefH22_15x_0" localSheetId="47">'Div 3'!$H$189</definedName>
    <definedName name="OSRRefH22_15x_0" localSheetId="73">'Div 4'!$H$80:$H$84</definedName>
    <definedName name="OSRRefH22_15x_0" localSheetId="2">Summary!$H$217</definedName>
    <definedName name="OSRRefH22_16x_0" localSheetId="48">'300'!$H$186:$H$188</definedName>
    <definedName name="OSRRefH22_16x_0" localSheetId="49">'300 &amp; 317'!$H$206:$H$208</definedName>
    <definedName name="OSRRefH22_16x_0" localSheetId="50">'301'!$H$69</definedName>
    <definedName name="OSRRefH22_16x_0" localSheetId="66">'310'!$H$74:$H$77</definedName>
    <definedName name="OSRRefH22_16x_0" localSheetId="74">'310 &amp; 491'!$H$87:$H$91</definedName>
    <definedName name="OSRRefH22_16x_0" localSheetId="60">'326'!$H$96</definedName>
    <definedName name="OSRRefH22_16x_0" localSheetId="58">'331'!$H$106:$H$110</definedName>
    <definedName name="OSRRefH22_16x_0" localSheetId="76">'405'!$H$72</definedName>
    <definedName name="OSRRefH22_16x_0" localSheetId="82">'415'!$H$76</definedName>
    <definedName name="OSRRefH22_16x_0" localSheetId="75">'491'!$H$85:$H$92</definedName>
    <definedName name="OSRRefH22_16x_0" localSheetId="39">'Div 2'!$H$74:$H$77</definedName>
    <definedName name="OSRRefH22_16x_0" localSheetId="47">'Div 3'!$H$191</definedName>
    <definedName name="OSRRefH22_16x_0" localSheetId="73">'Div 4'!$H$86</definedName>
    <definedName name="OSRRefH22_16x_0" localSheetId="2">Summary!$H$219</definedName>
    <definedName name="OSRRefH22_17x_0" localSheetId="48">'300'!$H$190:$H$192</definedName>
    <definedName name="OSRRefH22_17x_0" localSheetId="49">'300 &amp; 317'!$H$210:$H$212</definedName>
    <definedName name="OSRRefH22_17x_0" localSheetId="50">'301'!$H$71:$H$75</definedName>
    <definedName name="OSRRefH22_17x_0" localSheetId="66">'310'!$H$79:$H$80</definedName>
    <definedName name="OSRRefH22_17x_0" localSheetId="74">'310 &amp; 491'!$H$93:$H$94</definedName>
    <definedName name="OSRRefH22_17x_0" localSheetId="60">'326'!$H$98</definedName>
    <definedName name="OSRRefH22_17x_0" localSheetId="58">'331'!$H$112</definedName>
    <definedName name="OSRRefH22_17x_0" localSheetId="82">'415'!$H$78</definedName>
    <definedName name="OSRRefH22_17x_0" localSheetId="75">'491'!$H$94</definedName>
    <definedName name="OSRRefH22_17x_0" localSheetId="39">'Div 2'!$H$79:$H$80</definedName>
    <definedName name="OSRRefH22_17x_0" localSheetId="47">'Div 3'!$H$193:$H$195</definedName>
    <definedName name="OSRRefH22_17x_0" localSheetId="73">'Div 4'!$H$88:$H$95</definedName>
    <definedName name="OSRRefH22_17x_0" localSheetId="2">Summary!$H$221</definedName>
    <definedName name="OSRRefH22_18x_0" localSheetId="48">'300'!$H$194:$H$197</definedName>
    <definedName name="OSRRefH22_18x_0" localSheetId="49">'300 &amp; 317'!$H$214:$H$217</definedName>
    <definedName name="OSRRefH22_18x_0" localSheetId="50">'301'!$H$77</definedName>
    <definedName name="OSRRefH22_18x_0" localSheetId="66">'310'!$H$82:$H$86</definedName>
    <definedName name="OSRRefH22_18x_0" localSheetId="74">'310 &amp; 491'!$H$96:$H$103</definedName>
    <definedName name="OSRRefH22_18x_0" localSheetId="58">'331'!$H$114</definedName>
    <definedName name="OSRRefH22_18x_0" localSheetId="75">'491'!$H$96</definedName>
    <definedName name="OSRRefH22_18x_0" localSheetId="39">'Div 2'!$H$82</definedName>
    <definedName name="OSRRefH22_18x_0" localSheetId="47">'Div 3'!$H$197:$H$199</definedName>
    <definedName name="OSRRefH22_18x_0" localSheetId="73">'Div 4'!$H$97</definedName>
    <definedName name="OSRRefH22_18x_0" localSheetId="2">Summary!$H$223:$H$225</definedName>
    <definedName name="OSRRefH22_19x_0" localSheetId="48">'300'!$H$199:$H$200</definedName>
    <definedName name="OSRRefH22_19x_0" localSheetId="49">'300 &amp; 317'!$H$219:$H$220</definedName>
    <definedName name="OSRRefH22_19x_0" localSheetId="50">'301'!$H$79</definedName>
    <definedName name="OSRRefH22_19x_0" localSheetId="66">'310'!$H$88</definedName>
    <definedName name="OSRRefH22_19x_0" localSheetId="74">'310 &amp; 491'!$H$105</definedName>
    <definedName name="OSRRefH22_19x_0" localSheetId="58">'331'!$H$116</definedName>
    <definedName name="OSRRefH22_19x_0" localSheetId="75">'491'!$H$98:$H$100</definedName>
    <definedName name="OSRRefH22_19x_0" localSheetId="39">'Div 2'!$H$84:$H$85</definedName>
    <definedName name="OSRRefH22_19x_0" localSheetId="47">'Div 3'!$H$201:$H$205</definedName>
    <definedName name="OSRRefH22_19x_0" localSheetId="73">'Div 4'!$H$99</definedName>
    <definedName name="OSRRefH22_19x_0" localSheetId="2">Summary!$H$227:$H$229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'203'!$H$30:$H$33</definedName>
    <definedName name="OSRRefH22_1x_0" localSheetId="44">'204'!$H$30:$H$34</definedName>
    <definedName name="OSRRefH22_1x_0" localSheetId="45">'205'!$H$29</definedName>
    <definedName name="OSRRefH22_1x_0" localSheetId="46">'206'!$H$29:$H$32</definedName>
    <definedName name="OSRRefH22_1x_0" localSheetId="48">'300'!$H$147:$H$153</definedName>
    <definedName name="OSRRefH22_1x_0" localSheetId="49">'300 &amp; 317'!$H$167:$H$173</definedName>
    <definedName name="OSRRefH22_1x_0" localSheetId="50">'301'!$H$29:$H$33</definedName>
    <definedName name="OSRRefH22_1x_0" localSheetId="51">'306'!$H$30:$H$34</definedName>
    <definedName name="OSRRefH22_1x_0" localSheetId="53">'307'!$H$63:$H$65</definedName>
    <definedName name="OSRRefH22_1x_0" localSheetId="55">'308'!$H$65:$H$69</definedName>
    <definedName name="OSRRefH22_1x_0" localSheetId="67">'309'!$H$33:$H$37</definedName>
    <definedName name="OSRRefH22_1x_0" localSheetId="66">'310'!$H$39:$H$43</definedName>
    <definedName name="OSRRefH22_1x_0" localSheetId="74">'310 &amp; 491'!$H$47:$H$53</definedName>
    <definedName name="OSRRefH22_1x_0" localSheetId="56">'311'!$H$64:$H$68</definedName>
    <definedName name="OSRRefH22_1x_0" localSheetId="68">'313'!$H$36:$H$39</definedName>
    <definedName name="OSRRefH22_1x_0" localSheetId="54">'314'!$H$57:$H$59</definedName>
    <definedName name="OSRRefH22_1x_0" localSheetId="59">'315'!$H$59:$H$62</definedName>
    <definedName name="OSRRefH22_1x_0" localSheetId="62">'316'!$H$39:$H$42</definedName>
    <definedName name="OSRRefH22_1x_0" localSheetId="65">'317'!$H$57:$H$60</definedName>
    <definedName name="OSRRefH22_1x_0" localSheetId="63">'320'!$H$36:$H$37</definedName>
    <definedName name="OSRRefH22_1x_0" localSheetId="69">'321'!$H$30:$H$33</definedName>
    <definedName name="OSRRefH22_1x_0" localSheetId="70">'322'!$H$33:$H$36</definedName>
    <definedName name="OSRRefH22_1x_0" localSheetId="71">'325'!$H$33:$H$36</definedName>
    <definedName name="OSRRefH22_1x_0" localSheetId="60">'326'!$H$58:$H$61</definedName>
    <definedName name="OSRRefH22_1x_0" localSheetId="52">'330'!$H$77:$H$79</definedName>
    <definedName name="OSRRefH22_1x_0" localSheetId="58">'331'!$H$70:$H$73</definedName>
    <definedName name="OSRRefH22_1x_0" localSheetId="61">'332'!$H$47:$H$50</definedName>
    <definedName name="OSRRefH22_1x_0" localSheetId="76">'405'!$H$33:$H$34</definedName>
    <definedName name="OSRRefH22_1x_0" localSheetId="77">'406'!$H$31:$H$33</definedName>
    <definedName name="OSRRefH22_1x_0" localSheetId="78">'411'!$H$30:$H$35</definedName>
    <definedName name="OSRRefH22_1x_0" localSheetId="79">'412'!$H$32:$H$37</definedName>
    <definedName name="OSRRefH22_1x_0" localSheetId="80">'413'!$H$33:$H$36</definedName>
    <definedName name="OSRRefH22_1x_0" localSheetId="81">'414'!$H$33:$H$36</definedName>
    <definedName name="OSRRefH22_1x_0" localSheetId="82">'415'!$H$33:$H$36</definedName>
    <definedName name="OSRRefH22_1x_0" localSheetId="83">'418'!$H$33:$H$38</definedName>
    <definedName name="OSRRefH22_1x_0" localSheetId="85">'423'!$H$29</definedName>
    <definedName name="OSRRefH22_1x_0" localSheetId="86">'424'!$H$27</definedName>
    <definedName name="OSRRefH22_1x_0" localSheetId="87">'425'!$H$33:$H$37</definedName>
    <definedName name="OSRRefH22_1x_0" localSheetId="90">'430'!$H$29</definedName>
    <definedName name="OSRRefH22_1x_0" localSheetId="91">'433'!$H$35:$H$40</definedName>
    <definedName name="OSRRefH22_1x_0" localSheetId="92">'435'!$H$23</definedName>
    <definedName name="OSRRefH22_1x_0" localSheetId="93">'444'!$H$35:$H$40</definedName>
    <definedName name="OSRRefH22_1x_0" localSheetId="95">'450'!$H$34:$H$39</definedName>
    <definedName name="OSRRefH22_1x_0" localSheetId="88">'455'!$H$28:$H$29</definedName>
    <definedName name="OSRRefH22_1x_0" localSheetId="75">'491'!$H$41:$H$47</definedName>
    <definedName name="OSRRefH22_1x_0" localSheetId="89">'492'!$H$35:$H$41</definedName>
    <definedName name="OSRRefH22_1x_0" localSheetId="97">'501'!$H$30:$H$35</definedName>
    <definedName name="OSRRefH22_1x_0" localSheetId="39">'Div 2'!$H$31:$H$37</definedName>
    <definedName name="OSRRefH22_1x_0" localSheetId="47">'Div 3'!$H$152:$H$158</definedName>
    <definedName name="OSRRefH22_1x_0" localSheetId="73">'Div 4'!$H$42:$H$48</definedName>
    <definedName name="OSRRefH22_1x_0" localSheetId="96">'Div 5'!$H$30:$H$35</definedName>
    <definedName name="OSRRefH22_1x_0" localSheetId="64">'Div 6'!$H$57:$H$60</definedName>
    <definedName name="OSRRefH22_1x_0" localSheetId="2">Summary!$H$179:$H$185</definedName>
    <definedName name="OSRRefH22_20x_0" localSheetId="48">'300'!$H$202:$H$207</definedName>
    <definedName name="OSRRefH22_20x_0" localSheetId="49">'300 &amp; 317'!$H$222:$H$227</definedName>
    <definedName name="OSRRefH22_20x_0" localSheetId="50">'301'!$H$81:$H$82</definedName>
    <definedName name="OSRRefH22_20x_0" localSheetId="66">'310'!$H$90</definedName>
    <definedName name="OSRRefH22_20x_0" localSheetId="74">'310 &amp; 491'!$H$107</definedName>
    <definedName name="OSRRefH22_20x_0" localSheetId="58">'331'!$H$118</definedName>
    <definedName name="OSRRefH22_20x_0" localSheetId="75">'491'!$H$102</definedName>
    <definedName name="OSRRefH22_20x_0" localSheetId="47">'Div 3'!$H$207:$H$208</definedName>
    <definedName name="OSRRefH22_20x_0" localSheetId="73">'Div 4'!$H$101:$H$103</definedName>
    <definedName name="OSRRefH22_20x_0" localSheetId="2">Summary!$H$231:$H$235</definedName>
    <definedName name="OSRRefH22_21x_0" localSheetId="48">'300'!$H$209:$H$210</definedName>
    <definedName name="OSRRefH22_21x_0" localSheetId="49">'300 &amp; 317'!$H$229:$H$230</definedName>
    <definedName name="OSRRefH22_21x_0" localSheetId="50">'301'!$H$84</definedName>
    <definedName name="OSRRefH22_21x_0" localSheetId="66">'310'!$H$92</definedName>
    <definedName name="OSRRefH22_21x_0" localSheetId="74">'310 &amp; 491'!$H$109:$H$111</definedName>
    <definedName name="OSRRefH22_21x_0" localSheetId="47">'Div 3'!$H$210:$H$215</definedName>
    <definedName name="OSRRefH22_21x_0" localSheetId="73">'Div 4'!$H$105</definedName>
    <definedName name="OSRRefH22_21x_0" localSheetId="2">Summary!$H$237:$H$238</definedName>
    <definedName name="OSRRefH22_22x_0" localSheetId="48">'300'!$H$212</definedName>
    <definedName name="OSRRefH22_22x_0" localSheetId="49">'300 &amp; 317'!$H$232</definedName>
    <definedName name="OSRRefH22_22x_0" localSheetId="74">'310 &amp; 491'!$H$113</definedName>
    <definedName name="OSRRefH22_22x_0" localSheetId="47">'Div 3'!$H$217:$H$218</definedName>
    <definedName name="OSRRefH22_22x_0" localSheetId="2">Summary!$H$240:$H$247</definedName>
    <definedName name="OSRRefH22_23x_0" localSheetId="48">'300'!$H$214:$H$216</definedName>
    <definedName name="OSRRefH22_23x_0" localSheetId="49">'300 &amp; 317'!$H$234:$H$236</definedName>
    <definedName name="OSRRefH22_23x_0" localSheetId="47">'Div 3'!$H$220</definedName>
    <definedName name="OSRRefH22_23x_0" localSheetId="2">Summary!$H$249:$H$250</definedName>
    <definedName name="OSRRefH22_24x_0" localSheetId="48">'300'!$H$218</definedName>
    <definedName name="OSRRefH22_24x_0" localSheetId="49">'300 &amp; 317'!$H$238</definedName>
    <definedName name="OSRRefH22_24x_0" localSheetId="47">'Div 3'!$H$222:$H$224</definedName>
    <definedName name="OSRRefH22_24x_0" localSheetId="2">Summary!$H$252</definedName>
    <definedName name="OSRRefH22_25x_0" localSheetId="47">'Div 3'!$H$226</definedName>
    <definedName name="OSRRefH22_25x_0" localSheetId="2">Summary!$H$254:$H$256</definedName>
    <definedName name="OSRRefH22_26x_0" localSheetId="2">Summary!$H$258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'203'!$H$35</definedName>
    <definedName name="OSRRefH22_2x_0" localSheetId="44">'204'!$H$36</definedName>
    <definedName name="OSRRefH22_2x_0" localSheetId="45">'205'!$H$31</definedName>
    <definedName name="OSRRefH22_2x_0" localSheetId="46">'206'!$H$34</definedName>
    <definedName name="OSRRefH22_2x_0" localSheetId="48">'300'!$H$155</definedName>
    <definedName name="OSRRefH22_2x_0" localSheetId="49">'300 &amp; 317'!$H$175</definedName>
    <definedName name="OSRRefH22_2x_0" localSheetId="50">'301'!$H$35</definedName>
    <definedName name="OSRRefH22_2x_0" localSheetId="51">'306'!$H$36</definedName>
    <definedName name="OSRRefH22_2x_0" localSheetId="53">'307'!$H$67</definedName>
    <definedName name="OSRRefH22_2x_0" localSheetId="55">'308'!$H$71</definedName>
    <definedName name="OSRRefH22_2x_0" localSheetId="67">'309'!$H$39</definedName>
    <definedName name="OSRRefH22_2x_0" localSheetId="66">'310'!$H$45</definedName>
    <definedName name="OSRRefH22_2x_0" localSheetId="74">'310 &amp; 491'!$H$55</definedName>
    <definedName name="OSRRefH22_2x_0" localSheetId="56">'311'!$H$70</definedName>
    <definedName name="OSRRefH22_2x_0" localSheetId="68">'313'!$H$41</definedName>
    <definedName name="OSRRefH22_2x_0" localSheetId="54">'314'!$H$61</definedName>
    <definedName name="OSRRefH22_2x_0" localSheetId="59">'315'!$H$64</definedName>
    <definedName name="OSRRefH22_2x_0" localSheetId="62">'316'!$H$44</definedName>
    <definedName name="OSRRefH22_2x_0" localSheetId="65">'317'!$H$62</definedName>
    <definedName name="OSRRefH22_2x_0" localSheetId="63">'320'!$H$39</definedName>
    <definedName name="OSRRefH22_2x_0" localSheetId="69">'321'!$H$35</definedName>
    <definedName name="OSRRefH22_2x_0" localSheetId="70">'322'!$H$38</definedName>
    <definedName name="OSRRefH22_2x_0" localSheetId="71">'325'!$H$38</definedName>
    <definedName name="OSRRefH22_2x_0" localSheetId="60">'326'!$H$63</definedName>
    <definedName name="OSRRefH22_2x_0" localSheetId="52">'330'!$H$81</definedName>
    <definedName name="OSRRefH22_2x_0" localSheetId="58">'331'!$H$75</definedName>
    <definedName name="OSRRefH22_2x_0" localSheetId="61">'332'!$H$52</definedName>
    <definedName name="OSRRefH22_2x_0" localSheetId="76">'405'!$H$36</definedName>
    <definedName name="OSRRefH22_2x_0" localSheetId="77">'406'!$H$35</definedName>
    <definedName name="OSRRefH22_2x_0" localSheetId="78">'411'!$H$37</definedName>
    <definedName name="OSRRefH22_2x_0" localSheetId="79">'412'!$H$39</definedName>
    <definedName name="OSRRefH22_2x_0" localSheetId="80">'413'!$H$38</definedName>
    <definedName name="OSRRefH22_2x_0" localSheetId="81">'414'!$H$38</definedName>
    <definedName name="OSRRefH22_2x_0" localSheetId="82">'415'!$H$38</definedName>
    <definedName name="OSRRefH22_2x_0" localSheetId="83">'418'!$H$40</definedName>
    <definedName name="OSRRefH22_2x_0" localSheetId="85">'423'!$H$31</definedName>
    <definedName name="OSRRefH22_2x_0" localSheetId="86">'424'!$H$29</definedName>
    <definedName name="OSRRefH22_2x_0" localSheetId="87">'425'!$H$39</definedName>
    <definedName name="OSRRefH22_2x_0" localSheetId="90">'430'!$H$31</definedName>
    <definedName name="OSRRefH22_2x_0" localSheetId="91">'433'!$H$42</definedName>
    <definedName name="OSRRefH22_2x_0" localSheetId="92">'435'!$H$25</definedName>
    <definedName name="OSRRefH22_2x_0" localSheetId="93">'444'!$H$42</definedName>
    <definedName name="OSRRefH22_2x_0" localSheetId="95">'450'!$H$41</definedName>
    <definedName name="OSRRefH22_2x_0" localSheetId="75">'491'!$H$49</definedName>
    <definedName name="OSRRefH22_2x_0" localSheetId="89">'492'!$H$43</definedName>
    <definedName name="OSRRefH22_2x_0" localSheetId="97">'501'!$H$37</definedName>
    <definedName name="OSRRefH22_2x_0" localSheetId="39">'Div 2'!$H$39</definedName>
    <definedName name="OSRRefH22_2x_0" localSheetId="47">'Div 3'!$H$160</definedName>
    <definedName name="OSRRefH22_2x_0" localSheetId="73">'Div 4'!$H$50</definedName>
    <definedName name="OSRRefH22_2x_0" localSheetId="96">'Div 5'!$H$37</definedName>
    <definedName name="OSRRefH22_2x_0" localSheetId="64">'Div 6'!$H$62</definedName>
    <definedName name="OSRRefH22_2x_0" localSheetId="2">Summary!$H$187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'203'!$H$37</definedName>
    <definedName name="OSRRefH22_3x_0" localSheetId="44">'204'!$H$38:$H$39</definedName>
    <definedName name="OSRRefH22_3x_0" localSheetId="45">'205'!$H$33</definedName>
    <definedName name="OSRRefH22_3x_0" localSheetId="46">'206'!$H$36</definedName>
    <definedName name="OSRRefH22_3x_0" localSheetId="48">'300'!$H$157</definedName>
    <definedName name="OSRRefH22_3x_0" localSheetId="49">'300 &amp; 317'!$H$177</definedName>
    <definedName name="OSRRefH22_3x_0" localSheetId="50">'301'!$H$37</definedName>
    <definedName name="OSRRefH22_3x_0" localSheetId="51">'306'!$H$38</definedName>
    <definedName name="OSRRefH22_3x_0" localSheetId="53">'307'!$H$69</definedName>
    <definedName name="OSRRefH22_3x_0" localSheetId="55">'308'!$H$73:$H$74</definedName>
    <definedName name="OSRRefH22_3x_0" localSheetId="67">'309'!$H$41</definedName>
    <definedName name="OSRRefH22_3x_0" localSheetId="66">'310'!$H$47</definedName>
    <definedName name="OSRRefH22_3x_0" localSheetId="74">'310 &amp; 491'!$H$57</definedName>
    <definedName name="OSRRefH22_3x_0" localSheetId="56">'311'!$H$72:$H$73</definedName>
    <definedName name="OSRRefH22_3x_0" localSheetId="68">'313'!$H$43</definedName>
    <definedName name="OSRRefH22_3x_0" localSheetId="54">'314'!$H$63</definedName>
    <definedName name="OSRRefH22_3x_0" localSheetId="59">'315'!$H$66</definedName>
    <definedName name="OSRRefH22_3x_0" localSheetId="62">'316'!$H$46</definedName>
    <definedName name="OSRRefH22_3x_0" localSheetId="65">'317'!$H$64</definedName>
    <definedName name="OSRRefH22_3x_0" localSheetId="63">'320'!$H$41:$H$42</definedName>
    <definedName name="OSRRefH22_3x_0" localSheetId="69">'321'!$H$37</definedName>
    <definedName name="OSRRefH22_3x_0" localSheetId="70">'322'!$H$40</definedName>
    <definedName name="OSRRefH22_3x_0" localSheetId="71">'325'!$H$40</definedName>
    <definedName name="OSRRefH22_3x_0" localSheetId="60">'326'!$H$65</definedName>
    <definedName name="OSRRefH22_3x_0" localSheetId="52">'330'!$H$83</definedName>
    <definedName name="OSRRefH22_3x_0" localSheetId="58">'331'!$H$77</definedName>
    <definedName name="OSRRefH22_3x_0" localSheetId="61">'332'!$H$54</definedName>
    <definedName name="OSRRefH22_3x_0" localSheetId="76">'405'!$H$38</definedName>
    <definedName name="OSRRefH22_3x_0" localSheetId="77">'406'!$H$37</definedName>
    <definedName name="OSRRefH22_3x_0" localSheetId="78">'411'!$H$39:$H$41</definedName>
    <definedName name="OSRRefH22_3x_0" localSheetId="79">'412'!$H$41</definedName>
    <definedName name="OSRRefH22_3x_0" localSheetId="80">'413'!$H$40</definedName>
    <definedName name="OSRRefH22_3x_0" localSheetId="81">'414'!$H$40</definedName>
    <definedName name="OSRRefH22_3x_0" localSheetId="82">'415'!$H$40</definedName>
    <definedName name="OSRRefH22_3x_0" localSheetId="83">'418'!$H$42</definedName>
    <definedName name="OSRRefH22_3x_0" localSheetId="85">'423'!$H$33</definedName>
    <definedName name="OSRRefH22_3x_0" localSheetId="86">'424'!$H$31</definedName>
    <definedName name="OSRRefH22_3x_0" localSheetId="87">'425'!$H$41</definedName>
    <definedName name="OSRRefH22_3x_0" localSheetId="90">'430'!$H$33</definedName>
    <definedName name="OSRRefH22_3x_0" localSheetId="91">'433'!$H$44</definedName>
    <definedName name="OSRRefH22_3x_0" localSheetId="92">'435'!$H$27</definedName>
    <definedName name="OSRRefH22_3x_0" localSheetId="93">'444'!$H$44</definedName>
    <definedName name="OSRRefH22_3x_0" localSheetId="95">'450'!$H$43</definedName>
    <definedName name="OSRRefH22_3x_0" localSheetId="75">'491'!$H$51</definedName>
    <definedName name="OSRRefH22_3x_0" localSheetId="89">'492'!$H$45</definedName>
    <definedName name="OSRRefH22_3x_0" localSheetId="97">'501'!$H$39</definedName>
    <definedName name="OSRRefH22_3x_0" localSheetId="39">'Div 2'!$H$41</definedName>
    <definedName name="OSRRefH22_3x_0" localSheetId="47">'Div 3'!$H$162</definedName>
    <definedName name="OSRRefH22_3x_0" localSheetId="73">'Div 4'!$H$52</definedName>
    <definedName name="OSRRefH22_3x_0" localSheetId="96">'Div 5'!$H$39</definedName>
    <definedName name="OSRRefH22_3x_0" localSheetId="64">'Div 6'!$H$64</definedName>
    <definedName name="OSRRefH22_3x_0" localSheetId="2">Summary!$H$189</definedName>
    <definedName name="OSRRefH22_4x_0" localSheetId="41">'201'!$H$37</definedName>
    <definedName name="OSRRefH22_4x_0" localSheetId="42">'202'!$H$38</definedName>
    <definedName name="OSRRefH22_4x_0" localSheetId="43">'203'!$H$39</definedName>
    <definedName name="OSRRefH22_4x_0" localSheetId="44">'204'!$H$41</definedName>
    <definedName name="OSRRefH22_4x_0" localSheetId="45">'205'!$H$35</definedName>
    <definedName name="OSRRefH22_4x_0" localSheetId="46">'206'!$H$38:$H$39</definedName>
    <definedName name="OSRRefH22_4x_0" localSheetId="48">'300'!$H$159</definedName>
    <definedName name="OSRRefH22_4x_0" localSheetId="49">'300 &amp; 317'!$H$179</definedName>
    <definedName name="OSRRefH22_4x_0" localSheetId="50">'301'!$H$39</definedName>
    <definedName name="OSRRefH22_4x_0" localSheetId="51">'306'!$H$40</definedName>
    <definedName name="OSRRefH22_4x_0" localSheetId="53">'307'!$H$71</definedName>
    <definedName name="OSRRefH22_4x_0" localSheetId="55">'308'!$H$76</definedName>
    <definedName name="OSRRefH22_4x_0" localSheetId="67">'309'!$H$43</definedName>
    <definedName name="OSRRefH22_4x_0" localSheetId="66">'310'!$H$49</definedName>
    <definedName name="OSRRefH22_4x_0" localSheetId="74">'310 &amp; 491'!$H$59</definedName>
    <definedName name="OSRRefH22_4x_0" localSheetId="56">'311'!$H$75</definedName>
    <definedName name="OSRRefH22_4x_0" localSheetId="68">'313'!$H$45</definedName>
    <definedName name="OSRRefH22_4x_0" localSheetId="54">'314'!$H$65</definedName>
    <definedName name="OSRRefH22_4x_0" localSheetId="59">'315'!$H$68</definedName>
    <definedName name="OSRRefH22_4x_0" localSheetId="62">'316'!$H$48</definedName>
    <definedName name="OSRRefH22_4x_0" localSheetId="65">'317'!$H$66</definedName>
    <definedName name="OSRRefH22_4x_0" localSheetId="63">'320'!$H$44</definedName>
    <definedName name="OSRRefH22_4x_0" localSheetId="69">'321'!$H$39</definedName>
    <definedName name="OSRRefH22_4x_0" localSheetId="70">'322'!$H$42</definedName>
    <definedName name="OSRRefH22_4x_0" localSheetId="71">'325'!$H$42</definedName>
    <definedName name="OSRRefH22_4x_0" localSheetId="60">'326'!$H$67</definedName>
    <definedName name="OSRRefH22_4x_0" localSheetId="52">'330'!$H$85</definedName>
    <definedName name="OSRRefH22_4x_0" localSheetId="58">'331'!$H$79</definedName>
    <definedName name="OSRRefH22_4x_0" localSheetId="61">'332'!$H$56</definedName>
    <definedName name="OSRRefH22_4x_0" localSheetId="76">'405'!$H$40</definedName>
    <definedName name="OSRRefH22_4x_0" localSheetId="77">'406'!$H$39</definedName>
    <definedName name="OSRRefH22_4x_0" localSheetId="78">'411'!$H$43</definedName>
    <definedName name="OSRRefH22_4x_0" localSheetId="79">'412'!$H$43</definedName>
    <definedName name="OSRRefH22_4x_0" localSheetId="80">'413'!$H$42</definedName>
    <definedName name="OSRRefH22_4x_0" localSheetId="81">'414'!$H$42</definedName>
    <definedName name="OSRRefH22_4x_0" localSheetId="82">'415'!$H$42</definedName>
    <definedName name="OSRRefH22_4x_0" localSheetId="83">'418'!$H$44</definedName>
    <definedName name="OSRRefH22_4x_0" localSheetId="85">'423'!$H$35</definedName>
    <definedName name="OSRRefH22_4x_0" localSheetId="86">'424'!$H$33</definedName>
    <definedName name="OSRRefH22_4x_0" localSheetId="87">'425'!$H$43</definedName>
    <definedName name="OSRRefH22_4x_0" localSheetId="90">'430'!$H$35:$H$36</definedName>
    <definedName name="OSRRefH22_4x_0" localSheetId="91">'433'!$H$46</definedName>
    <definedName name="OSRRefH22_4x_0" localSheetId="93">'444'!$H$46</definedName>
    <definedName name="OSRRefH22_4x_0" localSheetId="95">'450'!$H$45</definedName>
    <definedName name="OSRRefH22_4x_0" localSheetId="75">'491'!$H$53</definedName>
    <definedName name="OSRRefH22_4x_0" localSheetId="89">'492'!$H$47</definedName>
    <definedName name="OSRRefH22_4x_0" localSheetId="97">'501'!$H$41</definedName>
    <definedName name="OSRRefH22_4x_0" localSheetId="39">'Div 2'!$H$43</definedName>
    <definedName name="OSRRefH22_4x_0" localSheetId="47">'Div 3'!$H$164</definedName>
    <definedName name="OSRRefH22_4x_0" localSheetId="73">'Div 4'!$H$54</definedName>
    <definedName name="OSRRefH22_4x_0" localSheetId="96">'Div 5'!$H$41</definedName>
    <definedName name="OSRRefH22_4x_0" localSheetId="64">'Div 6'!$H$66</definedName>
    <definedName name="OSRRefH22_4x_0" localSheetId="2">Summary!$H$191</definedName>
    <definedName name="OSRRefH22_5x_0" localSheetId="41">'201'!$H$39</definedName>
    <definedName name="OSRRefH22_5x_0" localSheetId="42">'202'!$H$40</definedName>
    <definedName name="OSRRefH22_5x_0" localSheetId="43">'203'!$H$41</definedName>
    <definedName name="OSRRefH22_5x_0" localSheetId="44">'204'!$H$43</definedName>
    <definedName name="OSRRefH22_5x_0" localSheetId="45">'205'!$H$37</definedName>
    <definedName name="OSRRefH22_5x_0" localSheetId="46">'206'!$H$41</definedName>
    <definedName name="OSRRefH22_5x_0" localSheetId="48">'300'!$H$161:$H$162</definedName>
    <definedName name="OSRRefH22_5x_0" localSheetId="49">'300 &amp; 317'!$H$181:$H$182</definedName>
    <definedName name="OSRRefH22_5x_0" localSheetId="50">'301'!$H$41:$H$42</definedName>
    <definedName name="OSRRefH22_5x_0" localSheetId="51">'306'!$H$42:$H$43</definedName>
    <definedName name="OSRRefH22_5x_0" localSheetId="53">'307'!$H$73</definedName>
    <definedName name="OSRRefH22_5x_0" localSheetId="55">'308'!$H$78</definedName>
    <definedName name="OSRRefH22_5x_0" localSheetId="67">'309'!$H$45</definedName>
    <definedName name="OSRRefH22_5x_0" localSheetId="66">'310'!$H$51:$H$52</definedName>
    <definedName name="OSRRefH22_5x_0" localSheetId="74">'310 &amp; 491'!$H$61:$H$63</definedName>
    <definedName name="OSRRefH22_5x_0" localSheetId="56">'311'!$H$77</definedName>
    <definedName name="OSRRefH22_5x_0" localSheetId="68">'313'!$H$47</definedName>
    <definedName name="OSRRefH22_5x_0" localSheetId="59">'315'!$H$70</definedName>
    <definedName name="OSRRefH22_5x_0" localSheetId="62">'316'!$H$50</definedName>
    <definedName name="OSRRefH22_5x_0" localSheetId="65">'317'!$H$68</definedName>
    <definedName name="OSRRefH22_5x_0" localSheetId="63">'320'!$H$46:$H$47</definedName>
    <definedName name="OSRRefH22_5x_0" localSheetId="69">'321'!$H$41</definedName>
    <definedName name="OSRRefH22_5x_0" localSheetId="70">'322'!$H$44</definedName>
    <definedName name="OSRRefH22_5x_0" localSheetId="71">'325'!$H$44:$H$45</definedName>
    <definedName name="OSRRefH22_5x_0" localSheetId="60">'326'!$H$69</definedName>
    <definedName name="OSRRefH22_5x_0" localSheetId="52">'330'!$H$87</definedName>
    <definedName name="OSRRefH22_5x_0" localSheetId="58">'331'!$H$81</definedName>
    <definedName name="OSRRefH22_5x_0" localSheetId="61">'332'!$H$58:$H$59</definedName>
    <definedName name="OSRRefH22_5x_0" localSheetId="76">'405'!$H$42:$H$43</definedName>
    <definedName name="OSRRefH22_5x_0" localSheetId="77">'406'!$H$41</definedName>
    <definedName name="OSRRefH22_5x_0" localSheetId="78">'411'!$H$45</definedName>
    <definedName name="OSRRefH22_5x_0" localSheetId="79">'412'!$H$45</definedName>
    <definedName name="OSRRefH22_5x_0" localSheetId="80">'413'!$H$44</definedName>
    <definedName name="OSRRefH22_5x_0" localSheetId="81">'414'!$H$44</definedName>
    <definedName name="OSRRefH22_5x_0" localSheetId="82">'415'!$H$44:$H$45</definedName>
    <definedName name="OSRRefH22_5x_0" localSheetId="83">'418'!$H$46:$H$47</definedName>
    <definedName name="OSRRefH22_5x_0" localSheetId="85">'423'!$H$37</definedName>
    <definedName name="OSRRefH22_5x_0" localSheetId="86">'424'!$H$35</definedName>
    <definedName name="OSRRefH22_5x_0" localSheetId="87">'425'!$H$45</definedName>
    <definedName name="OSRRefH22_5x_0" localSheetId="90">'430'!$H$38</definedName>
    <definedName name="OSRRefH22_5x_0" localSheetId="91">'433'!$H$48</definedName>
    <definedName name="OSRRefH22_5x_0" localSheetId="93">'444'!$H$48</definedName>
    <definedName name="OSRRefH22_5x_0" localSheetId="95">'450'!$H$47</definedName>
    <definedName name="OSRRefH22_5x_0" localSheetId="75">'491'!$H$55:$H$57</definedName>
    <definedName name="OSRRefH22_5x_0" localSheetId="89">'492'!$H$49</definedName>
    <definedName name="OSRRefH22_5x_0" localSheetId="97">'501'!$H$43</definedName>
    <definedName name="OSRRefH22_5x_0" localSheetId="39">'Div 2'!$H$45:$H$46</definedName>
    <definedName name="OSRRefH22_5x_0" localSheetId="47">'Div 3'!$H$166:$H$167</definedName>
    <definedName name="OSRRefH22_5x_0" localSheetId="73">'Div 4'!$H$56:$H$58</definedName>
    <definedName name="OSRRefH22_5x_0" localSheetId="96">'Div 5'!$H$43</definedName>
    <definedName name="OSRRefH22_5x_0" localSheetId="64">'Div 6'!$H$68</definedName>
    <definedName name="OSRRefH22_5x_0" localSheetId="2">Summary!$H$193:$H$195</definedName>
    <definedName name="OSRRefH22_6x_0" localSheetId="41">'201'!$H$41</definedName>
    <definedName name="OSRRefH22_6x_0" localSheetId="42">'202'!$H$42</definedName>
    <definedName name="OSRRefH22_6x_0" localSheetId="43">'203'!$H$43</definedName>
    <definedName name="OSRRefH22_6x_0" localSheetId="44">'204'!$H$45:$H$47</definedName>
    <definedName name="OSRRefH22_6x_0" localSheetId="45">'205'!$H$39:$H$40</definedName>
    <definedName name="OSRRefH22_6x_0" localSheetId="46">'206'!$H$43</definedName>
    <definedName name="OSRRefH22_6x_0" localSheetId="48">'300'!$H$164:$H$165</definedName>
    <definedName name="OSRRefH22_6x_0" localSheetId="49">'300 &amp; 317'!$H$184:$H$185</definedName>
    <definedName name="OSRRefH22_6x_0" localSheetId="50">'301'!$H$44:$H$45</definedName>
    <definedName name="OSRRefH22_6x_0" localSheetId="51">'306'!$H$45</definedName>
    <definedName name="OSRRefH22_6x_0" localSheetId="53">'307'!$H$75</definedName>
    <definedName name="OSRRefH22_6x_0" localSheetId="55">'308'!$H$80</definedName>
    <definedName name="OSRRefH22_6x_0" localSheetId="67">'309'!$H$47</definedName>
    <definedName name="OSRRefH22_6x_0" localSheetId="66">'310'!$H$54</definedName>
    <definedName name="OSRRefH22_6x_0" localSheetId="74">'310 &amp; 491'!$H$65</definedName>
    <definedName name="OSRRefH22_6x_0" localSheetId="56">'311'!$H$79</definedName>
    <definedName name="OSRRefH22_6x_0" localSheetId="68">'313'!$H$49</definedName>
    <definedName name="OSRRefH22_6x_0" localSheetId="59">'315'!$H$72</definedName>
    <definedName name="OSRRefH22_6x_0" localSheetId="62">'316'!$H$52</definedName>
    <definedName name="OSRRefH22_6x_0" localSheetId="65">'317'!$H$70</definedName>
    <definedName name="OSRRefH22_6x_0" localSheetId="63">'320'!$H$49</definedName>
    <definedName name="OSRRefH22_6x_0" localSheetId="69">'321'!$H$43</definedName>
    <definedName name="OSRRefH22_6x_0" localSheetId="70">'322'!$H$46</definedName>
    <definedName name="OSRRefH22_6x_0" localSheetId="71">'325'!$H$47</definedName>
    <definedName name="OSRRefH22_6x_0" localSheetId="60">'326'!$H$71</definedName>
    <definedName name="OSRRefH22_6x_0" localSheetId="52">'330'!$H$89</definedName>
    <definedName name="OSRRefH22_6x_0" localSheetId="58">'331'!$H$83</definedName>
    <definedName name="OSRRefH22_6x_0" localSheetId="61">'332'!$H$61</definedName>
    <definedName name="OSRRefH22_6x_0" localSheetId="76">'405'!$H$45</definedName>
    <definedName name="OSRRefH22_6x_0" localSheetId="77">'406'!$H$43:$H$45</definedName>
    <definedName name="OSRRefH22_6x_0" localSheetId="78">'411'!$H$47</definedName>
    <definedName name="OSRRefH22_6x_0" localSheetId="79">'412'!$H$47</definedName>
    <definedName name="OSRRefH22_6x_0" localSheetId="80">'413'!$H$46</definedName>
    <definedName name="OSRRefH22_6x_0" localSheetId="81">'414'!$H$46</definedName>
    <definedName name="OSRRefH22_6x_0" localSheetId="82">'415'!$H$47</definedName>
    <definedName name="OSRRefH22_6x_0" localSheetId="83">'418'!$H$49</definedName>
    <definedName name="OSRRefH22_6x_0" localSheetId="86">'424'!$H$37</definedName>
    <definedName name="OSRRefH22_6x_0" localSheetId="87">'425'!$H$47</definedName>
    <definedName name="OSRRefH22_6x_0" localSheetId="90">'430'!$H$40</definedName>
    <definedName name="OSRRefH22_6x_0" localSheetId="91">'433'!$H$50</definedName>
    <definedName name="OSRRefH22_6x_0" localSheetId="93">'444'!$H$50</definedName>
    <definedName name="OSRRefH22_6x_0" localSheetId="95">'450'!$H$49</definedName>
    <definedName name="OSRRefH22_6x_0" localSheetId="75">'491'!$H$59</definedName>
    <definedName name="OSRRefH22_6x_0" localSheetId="89">'492'!$H$51</definedName>
    <definedName name="OSRRefH22_6x_0" localSheetId="97">'501'!$H$45</definedName>
    <definedName name="OSRRefH22_6x_0" localSheetId="39">'Div 2'!$H$48</definedName>
    <definedName name="OSRRefH22_6x_0" localSheetId="47">'Div 3'!$H$169:$H$170</definedName>
    <definedName name="OSRRefH22_6x_0" localSheetId="73">'Div 4'!$H$60</definedName>
    <definedName name="OSRRefH22_6x_0" localSheetId="96">'Div 5'!$H$45</definedName>
    <definedName name="OSRRefH22_6x_0" localSheetId="64">'Div 6'!$H$70</definedName>
    <definedName name="OSRRefH22_6x_0" localSheetId="2">Summary!$H$197:$H$198</definedName>
    <definedName name="OSRRefH22_7x_0" localSheetId="41">'201'!$H$43</definedName>
    <definedName name="OSRRefH22_7x_0" localSheetId="42">'202'!$H$44</definedName>
    <definedName name="OSRRefH22_7x_0" localSheetId="43">'203'!$H$45</definedName>
    <definedName name="OSRRefH22_7x_0" localSheetId="44">'204'!$H$49:$H$50</definedName>
    <definedName name="OSRRefH22_7x_0" localSheetId="45">'205'!$H$42</definedName>
    <definedName name="OSRRefH22_7x_0" localSheetId="48">'300'!$H$167</definedName>
    <definedName name="OSRRefH22_7x_0" localSheetId="49">'300 &amp; 317'!$H$187</definedName>
    <definedName name="OSRRefH22_7x_0" localSheetId="50">'301'!$H$47</definedName>
    <definedName name="OSRRefH22_7x_0" localSheetId="51">'306'!$H$47</definedName>
    <definedName name="OSRRefH22_7x_0" localSheetId="53">'307'!$H$77:$H$78</definedName>
    <definedName name="OSRRefH22_7x_0" localSheetId="55">'308'!$H$82</definedName>
    <definedName name="OSRRefH22_7x_0" localSheetId="67">'309'!$H$49</definedName>
    <definedName name="OSRRefH22_7x_0" localSheetId="66">'310'!$H$56</definedName>
    <definedName name="OSRRefH22_7x_0" localSheetId="74">'310 &amp; 491'!$H$67</definedName>
    <definedName name="OSRRefH22_7x_0" localSheetId="56">'311'!$H$81</definedName>
    <definedName name="OSRRefH22_7x_0" localSheetId="68">'313'!$H$51</definedName>
    <definedName name="OSRRefH22_7x_0" localSheetId="59">'315'!$H$74:$H$75</definedName>
    <definedName name="OSRRefH22_7x_0" localSheetId="62">'316'!$H$54:$H$57</definedName>
    <definedName name="OSRRefH22_7x_0" localSheetId="65">'317'!$H$72</definedName>
    <definedName name="OSRRefH22_7x_0" localSheetId="69">'321'!$H$45</definedName>
    <definedName name="OSRRefH22_7x_0" localSheetId="70">'322'!$H$48</definedName>
    <definedName name="OSRRefH22_7x_0" localSheetId="71">'325'!$H$49</definedName>
    <definedName name="OSRRefH22_7x_0" localSheetId="60">'326'!$H$73</definedName>
    <definedName name="OSRRefH22_7x_0" localSheetId="52">'330'!$H$91:$H$92</definedName>
    <definedName name="OSRRefH22_7x_0" localSheetId="58">'331'!$H$85</definedName>
    <definedName name="OSRRefH22_7x_0" localSheetId="61">'332'!$H$63</definedName>
    <definedName name="OSRRefH22_7x_0" localSheetId="76">'405'!$H$47</definedName>
    <definedName name="OSRRefH22_7x_0" localSheetId="77">'406'!$H$47</definedName>
    <definedName name="OSRRefH22_7x_0" localSheetId="78">'411'!$H$49:$H$50</definedName>
    <definedName name="OSRRefH22_7x_0" localSheetId="79">'412'!$H$49</definedName>
    <definedName name="OSRRefH22_7x_0" localSheetId="80">'413'!$H$48</definedName>
    <definedName name="OSRRefH22_7x_0" localSheetId="81">'414'!$H$48</definedName>
    <definedName name="OSRRefH22_7x_0" localSheetId="82">'415'!$H$49</definedName>
    <definedName name="OSRRefH22_7x_0" localSheetId="83">'418'!$H$51</definedName>
    <definedName name="OSRRefH22_7x_0" localSheetId="86">'424'!$H$39</definedName>
    <definedName name="OSRRefH22_7x_0" localSheetId="87">'425'!$H$49</definedName>
    <definedName name="OSRRefH22_7x_0" localSheetId="90">'430'!$H$42</definedName>
    <definedName name="OSRRefH22_7x_0" localSheetId="91">'433'!$H$52</definedName>
    <definedName name="OSRRefH22_7x_0" localSheetId="93">'444'!$H$52</definedName>
    <definedName name="OSRRefH22_7x_0" localSheetId="95">'450'!$H$51</definedName>
    <definedName name="OSRRefH22_7x_0" localSheetId="75">'491'!$H$61</definedName>
    <definedName name="OSRRefH22_7x_0" localSheetId="89">'492'!$H$53</definedName>
    <definedName name="OSRRefH22_7x_0" localSheetId="97">'501'!$H$47</definedName>
    <definedName name="OSRRefH22_7x_0" localSheetId="39">'Div 2'!$H$50</definedName>
    <definedName name="OSRRefH22_7x_0" localSheetId="47">'Div 3'!$H$172</definedName>
    <definedName name="OSRRefH22_7x_0" localSheetId="73">'Div 4'!$H$62</definedName>
    <definedName name="OSRRefH22_7x_0" localSheetId="96">'Div 5'!$H$47</definedName>
    <definedName name="OSRRefH22_7x_0" localSheetId="64">'Div 6'!$H$72</definedName>
    <definedName name="OSRRefH22_7x_0" localSheetId="2">Summary!$H$200</definedName>
    <definedName name="OSRRefH22_8x_0" localSheetId="41">'201'!$H$45</definedName>
    <definedName name="OSRRefH22_8x_0" localSheetId="42">'202'!$H$46</definedName>
    <definedName name="OSRRefH22_8x_0" localSheetId="43">'203'!$H$47</definedName>
    <definedName name="OSRRefH22_8x_0" localSheetId="44">'204'!$H$52:$H$53</definedName>
    <definedName name="OSRRefH22_8x_0" localSheetId="48">'300'!$H$169</definedName>
    <definedName name="OSRRefH22_8x_0" localSheetId="49">'300 &amp; 317'!$H$189</definedName>
    <definedName name="OSRRefH22_8x_0" localSheetId="50">'301'!$H$49</definedName>
    <definedName name="OSRRefH22_8x_0" localSheetId="53">'307'!$H$80</definedName>
    <definedName name="OSRRefH22_8x_0" localSheetId="55">'308'!$H$84:$H$85</definedName>
    <definedName name="OSRRefH22_8x_0" localSheetId="67">'309'!$H$51:$H$52</definedName>
    <definedName name="OSRRefH22_8x_0" localSheetId="66">'310'!$H$58</definedName>
    <definedName name="OSRRefH22_8x_0" localSheetId="74">'310 &amp; 491'!$H$69</definedName>
    <definedName name="OSRRefH22_8x_0" localSheetId="56">'311'!$H$83:$H$84</definedName>
    <definedName name="OSRRefH22_8x_0" localSheetId="68">'313'!$H$53</definedName>
    <definedName name="OSRRefH22_8x_0" localSheetId="59">'315'!$H$77:$H$79</definedName>
    <definedName name="OSRRefH22_8x_0" localSheetId="62">'316'!$H$59</definedName>
    <definedName name="OSRRefH22_8x_0" localSheetId="65">'317'!$H$74:$H$75</definedName>
    <definedName name="OSRRefH22_8x_0" localSheetId="69">'321'!$H$47:$H$48</definedName>
    <definedName name="OSRRefH22_8x_0" localSheetId="70">'322'!$H$50</definedName>
    <definedName name="OSRRefH22_8x_0" localSheetId="71">'325'!$H$51</definedName>
    <definedName name="OSRRefH22_8x_0" localSheetId="60">'326'!$H$75</definedName>
    <definedName name="OSRRefH22_8x_0" localSheetId="52">'330'!$H$94</definedName>
    <definedName name="OSRRefH22_8x_0" localSheetId="58">'331'!$H$87</definedName>
    <definedName name="OSRRefH22_8x_0" localSheetId="61">'332'!$H$65</definedName>
    <definedName name="OSRRefH22_8x_0" localSheetId="76">'405'!$H$49</definedName>
    <definedName name="OSRRefH22_8x_0" localSheetId="77">'406'!$H$49</definedName>
    <definedName name="OSRRefH22_8x_0" localSheetId="78">'411'!$H$52:$H$56</definedName>
    <definedName name="OSRRefH22_8x_0" localSheetId="79">'412'!$H$51</definedName>
    <definedName name="OSRRefH22_8x_0" localSheetId="80">'413'!$H$50</definedName>
    <definedName name="OSRRefH22_8x_0" localSheetId="81">'414'!$H$50</definedName>
    <definedName name="OSRRefH22_8x_0" localSheetId="82">'415'!$H$51</definedName>
    <definedName name="OSRRefH22_8x_0" localSheetId="83">'418'!$H$53:$H$54</definedName>
    <definedName name="OSRRefH22_8x_0" localSheetId="86">'424'!$H$41</definedName>
    <definedName name="OSRRefH22_8x_0" localSheetId="87">'425'!$H$51</definedName>
    <definedName name="OSRRefH22_8x_0" localSheetId="91">'433'!$H$54:$H$56</definedName>
    <definedName name="OSRRefH22_8x_0" localSheetId="93">'444'!$H$54:$H$55</definedName>
    <definedName name="OSRRefH22_8x_0" localSheetId="95">'450'!$H$53:$H$55</definedName>
    <definedName name="OSRRefH22_8x_0" localSheetId="75">'491'!$H$63</definedName>
    <definedName name="OSRRefH22_8x_0" localSheetId="89">'492'!$H$55</definedName>
    <definedName name="OSRRefH22_8x_0" localSheetId="97">'501'!$H$49:$H$50</definedName>
    <definedName name="OSRRefH22_8x_0" localSheetId="39">'Div 2'!$H$52</definedName>
    <definedName name="OSRRefH22_8x_0" localSheetId="47">'Div 3'!$H$174</definedName>
    <definedName name="OSRRefH22_8x_0" localSheetId="73">'Div 4'!$H$64</definedName>
    <definedName name="OSRRefH22_8x_0" localSheetId="96">'Div 5'!$H$49:$H$50</definedName>
    <definedName name="OSRRefH22_8x_0" localSheetId="64">'Div 6'!$H$74:$H$75</definedName>
    <definedName name="OSRRefH22_8x_0" localSheetId="2">Summary!$H$202</definedName>
    <definedName name="OSRRefH22_9x_0" localSheetId="41">'201'!$H$47:$H$48</definedName>
    <definedName name="OSRRefH22_9x_0" localSheetId="42">'202'!$H$48</definedName>
    <definedName name="OSRRefH22_9x_0" localSheetId="43">'203'!$H$49:$H$50</definedName>
    <definedName name="OSRRefH22_9x_0" localSheetId="44">'204'!$H$55</definedName>
    <definedName name="OSRRefH22_9x_0" localSheetId="48">'300'!$H$171</definedName>
    <definedName name="OSRRefH22_9x_0" localSheetId="49">'300 &amp; 317'!$H$191</definedName>
    <definedName name="OSRRefH22_9x_0" localSheetId="50">'301'!$H$51</definedName>
    <definedName name="OSRRefH22_9x_0" localSheetId="53">'307'!$H$82</definedName>
    <definedName name="OSRRefH22_9x_0" localSheetId="55">'308'!$H$87</definedName>
    <definedName name="OSRRefH22_9x_0" localSheetId="67">'309'!$H$54</definedName>
    <definedName name="OSRRefH22_9x_0" localSheetId="66">'310'!$H$60</definedName>
    <definedName name="OSRRefH22_9x_0" localSheetId="74">'310 &amp; 491'!$H$71</definedName>
    <definedName name="OSRRefH22_9x_0" localSheetId="56">'311'!$H$86</definedName>
    <definedName name="OSRRefH22_9x_0" localSheetId="68">'313'!$H$55</definedName>
    <definedName name="OSRRefH22_9x_0" localSheetId="59">'315'!$H$81</definedName>
    <definedName name="OSRRefH22_9x_0" localSheetId="65">'317'!$H$77</definedName>
    <definedName name="OSRRefH22_9x_0" localSheetId="69">'321'!$H$50:$H$52</definedName>
    <definedName name="OSRRefH22_9x_0" localSheetId="70">'322'!$H$52</definedName>
    <definedName name="OSRRefH22_9x_0" localSheetId="71">'325'!$H$53</definedName>
    <definedName name="OSRRefH22_9x_0" localSheetId="60">'326'!$H$77</definedName>
    <definedName name="OSRRefH22_9x_0" localSheetId="52">'330'!$H$96</definedName>
    <definedName name="OSRRefH22_9x_0" localSheetId="58">'331'!$H$89</definedName>
    <definedName name="OSRRefH22_9x_0" localSheetId="61">'332'!$H$67:$H$71</definedName>
    <definedName name="OSRRefH22_9x_0" localSheetId="76">'405'!$H$51:$H$52</definedName>
    <definedName name="OSRRefH22_9x_0" localSheetId="78">'411'!$H$58:$H$62</definedName>
    <definedName name="OSRRefH22_9x_0" localSheetId="79">'412'!$H$53:$H$54</definedName>
    <definedName name="OSRRefH22_9x_0" localSheetId="80">'413'!$H$52:$H$54</definedName>
    <definedName name="OSRRefH22_9x_0" localSheetId="81">'414'!$H$52</definedName>
    <definedName name="OSRRefH22_9x_0" localSheetId="82">'415'!$H$53</definedName>
    <definedName name="OSRRefH22_9x_0" localSheetId="83">'418'!$H$56</definedName>
    <definedName name="OSRRefH22_9x_0" localSheetId="86">'424'!$H$43</definedName>
    <definedName name="OSRRefH22_9x_0" localSheetId="87">'425'!$H$53:$H$54</definedName>
    <definedName name="OSRRefH22_9x_0" localSheetId="91">'433'!$H$58:$H$62</definedName>
    <definedName name="OSRRefH22_9x_0" localSheetId="93">'444'!$H$57:$H$59</definedName>
    <definedName name="OSRRefH22_9x_0" localSheetId="95">'450'!$H$57:$H$60</definedName>
    <definedName name="OSRRefH22_9x_0" localSheetId="75">'491'!$H$65</definedName>
    <definedName name="OSRRefH22_9x_0" localSheetId="89">'492'!$H$57</definedName>
    <definedName name="OSRRefH22_9x_0" localSheetId="97">'501'!$H$52</definedName>
    <definedName name="OSRRefH22_9x_0" localSheetId="39">'Div 2'!$H$54</definedName>
    <definedName name="OSRRefH22_9x_0" localSheetId="47">'Div 3'!$H$176</definedName>
    <definedName name="OSRRefH22_9x_0" localSheetId="73">'Div 4'!$H$66</definedName>
    <definedName name="OSRRefH22_9x_0" localSheetId="96">'Div 5'!$H$52</definedName>
    <definedName name="OSRRefH22_9x_0" localSheetId="64">'Div 6'!$H$77</definedName>
    <definedName name="OSRRefH22_9x_0" localSheetId="2">Summary!$H$204</definedName>
    <definedName name="OSRRefH22x_0" localSheetId="40">'200'!$H$20,'200'!$H$22,'200'!$H$24,'200'!$H$26</definedName>
    <definedName name="OSRRefH22x_0" localSheetId="41">'201'!$H$20:$H$27,'201'!$H$29:$H$31,'201'!$H$33,'201'!$H$35,'201'!$H$37,'201'!$H$39,'201'!$H$41,'201'!$H$43,'201'!$H$45,'201'!$H$47:$H$48,'201'!$H$50:$H$51,'201'!$H$53,'201'!$H$55:$H$56,'201'!$H$58,'201'!$H$60:$H$61</definedName>
    <definedName name="OSRRefH22x_0" localSheetId="42">'202'!$H$20:$H$27,'202'!$H$29:$H$32,'202'!$H$34,'202'!$H$36,'202'!$H$38,'202'!$H$40,'202'!$H$42,'202'!$H$44,'202'!$H$46,'202'!$H$48,'202'!$H$50,'202'!$H$52</definedName>
    <definedName name="OSRRefH22x_0" localSheetId="43">'203'!$H$20:$H$28,'203'!$H$30:$H$33,'203'!$H$35,'203'!$H$37,'203'!$H$39,'203'!$H$41,'203'!$H$43,'203'!$H$45,'203'!$H$47,'203'!$H$49:$H$50,'203'!$H$52:$H$54,'203'!$H$56,'203'!$H$58,'203'!$H$60</definedName>
    <definedName name="OSRRefH22x_0" localSheetId="44">'204'!$H$20:$H$28,'204'!$H$30:$H$34,'204'!$H$36,'204'!$H$38:$H$39,'204'!$H$41,'204'!$H$43,'204'!$H$45:$H$47,'204'!$H$49:$H$50,'204'!$H$52:$H$53,'204'!$H$55</definedName>
    <definedName name="OSRRefH22x_0" localSheetId="45">'205'!$H$20:$H$27,'205'!$H$29,'205'!$H$31,'205'!$H$33,'205'!$H$35,'205'!$H$37,'205'!$H$39:$H$40,'205'!$H$42</definedName>
    <definedName name="OSRRefH22x_0" localSheetId="46">'206'!$H$20:$H$27,'206'!$H$29:$H$32,'206'!$H$34,'206'!$H$36,'206'!$H$38:$H$39,'206'!$H$41,'206'!$H$43</definedName>
    <definedName name="OSRRefH22x_0" localSheetId="48">'300'!$H$137:$H$145,'300'!$H$147:$H$153,'300'!$H$155,'300'!$H$157,'300'!$H$159,'300'!$H$161:$H$162,'300'!$H$164:$H$165,'300'!$H$167,'300'!$H$169,'300'!$H$171,'300'!$H$173:$H$174,'300'!$H$176,'300'!$H$178,'300'!$H$180,'300'!$H$182,'300'!$H$184,'300'!$H$186:$H$188,'300'!$H$190:$H$192,'300'!$H$194:$H$197,'300'!$H$199:$H$200,'300'!$H$202:$H$207,'300'!$H$209:$H$210,'300'!$H$212,'300'!$H$214:$H$216,'300'!$H$218</definedName>
    <definedName name="OSRRefH22x_0" localSheetId="49">'300 &amp; 317'!$H$157:$H$165,'300 &amp; 317'!$H$167:$H$173,'300 &amp; 317'!$H$175,'300 &amp; 317'!$H$177,'300 &amp; 317'!$H$179,'300 &amp; 317'!$H$181:$H$182,'300 &amp; 317'!$H$184:$H$185,'300 &amp; 317'!$H$187,'300 &amp; 317'!$H$189,'300 &amp; 317'!$H$191,'300 &amp; 317'!$H$193:$H$194,'300 &amp; 317'!$H$196,'300 &amp; 317'!$H$198,'300 &amp; 317'!$H$200,'300 &amp; 317'!$H$202,'300 &amp; 317'!$H$204,'300 &amp; 317'!$H$206:$H$208,'300 &amp; 317'!$H$210:$H$212,'300 &amp; 317'!$H$214:$H$217,'300 &amp; 317'!$H$219:$H$220,'300 &amp; 317'!$H$222:$H$227,'300 &amp; 317'!$H$229:$H$230,'300 &amp; 317'!$H$232,'300 &amp; 317'!$H$234:$H$236,'300 &amp; 317'!$H$238</definedName>
    <definedName name="OSRRefH22x_0" localSheetId="50">'301'!$H$20:$H$27,'301'!$H$29:$H$33,'301'!$H$35,'301'!$H$37,'301'!$H$39,'301'!$H$41:$H$42,'301'!$H$44:$H$45,'301'!$H$47,'301'!$H$49,'301'!$H$51,'301'!$H$53,'301'!$H$55,'301'!$H$57,'301'!$H$59,'301'!$H$61:$H$63,'301'!$H$65:$H$67,'301'!$H$69,'301'!$H$71:$H$75,'301'!$H$77,'301'!$H$79,'301'!$H$81:$H$82,'301'!$H$84</definedName>
    <definedName name="OSRRefH22x_0" localSheetId="51">'306'!$H$20:$H$28,'306'!$H$30:$H$34,'306'!$H$36,'306'!$H$38,'306'!$H$40,'306'!$H$42:$H$43,'306'!$H$45,'306'!$H$47</definedName>
    <definedName name="OSRRefH22x_0" localSheetId="53">'307'!$H$54:$H$61,'307'!$H$63:$H$65,'307'!$H$67,'307'!$H$69,'307'!$H$71,'307'!$H$73,'307'!$H$75,'307'!$H$77:$H$78,'307'!$H$80,'307'!$H$82</definedName>
    <definedName name="OSRRefH22x_0" localSheetId="55">'308'!$H$55:$H$63,'308'!$H$65:$H$69,'308'!$H$71,'308'!$H$73:$H$74,'308'!$H$76,'308'!$H$78,'308'!$H$80,'308'!$H$82,'308'!$H$84:$H$85,'308'!$H$87,'308'!$H$89:$H$91,'308'!$H$93:$H$94,'308'!$H$96</definedName>
    <definedName name="OSRRefH22x_0" localSheetId="67">'309'!$H$24:$H$31,'309'!$H$33:$H$37,'309'!$H$39,'309'!$H$41,'309'!$H$43,'309'!$H$45,'309'!$H$47,'309'!$H$49,'309'!$H$51:$H$52,'309'!$H$54,'309'!$H$56:$H$59,'309'!$H$61</definedName>
    <definedName name="OSRRefH22x_0" localSheetId="66">'310'!$H$30:$H$37,'310'!$H$39:$H$43,'310'!$H$45,'310'!$H$47,'310'!$H$49,'310'!$H$51:$H$52,'310'!$H$54,'310'!$H$56,'310'!$H$58,'310'!$H$60,'310'!$H$62,'310'!$H$64,'310'!$H$66,'310'!$H$68,'310'!$H$70,'310'!$H$72,'310'!$H$74:$H$77,'310'!$H$79:$H$80,'310'!$H$82:$H$86,'310'!$H$88,'310'!$H$90,'310'!$H$92</definedName>
    <definedName name="OSRRefH22x_0" localSheetId="74">'310 &amp; 491'!$H$37:$H$45,'310 &amp; 491'!$H$47:$H$53,'310 &amp; 491'!$H$55,'310 &amp; 491'!$H$57,'310 &amp; 491'!$H$59,'310 &amp; 491'!$H$61:$H$63,'310 &amp; 491'!$H$65,'310 &amp; 491'!$H$67,'310 &amp; 491'!$H$69,'310 &amp; 491'!$H$71,'310 &amp; 491'!$H$73,'310 &amp; 491'!$H$75,'310 &amp; 491'!$H$77,'310 &amp; 491'!$H$79,'310 &amp; 491'!$H$81:$H$82,'310 &amp; 491'!$H$84:$H$85,'310 &amp; 491'!$H$87:$H$91,'310 &amp; 491'!$H$93:$H$94,'310 &amp; 491'!$H$96:$H$103,'310 &amp; 491'!$H$105,'310 &amp; 491'!$H$107,'310 &amp; 491'!$H$109:$H$111,'310 &amp; 491'!$H$113</definedName>
    <definedName name="OSRRefH22x_0" localSheetId="56">'311'!$H$54:$H$62,'311'!$H$64:$H$68,'311'!$H$70,'311'!$H$72:$H$73,'311'!$H$75,'311'!$H$77,'311'!$H$79,'311'!$H$81,'311'!$H$83:$H$84,'311'!$H$86,'311'!$H$88:$H$90,'311'!$H$92:$H$93,'311'!$H$95</definedName>
    <definedName name="OSRRefH22x_0" localSheetId="68">'313'!$H$27:$H$34,'313'!$H$36:$H$39,'313'!$H$41,'313'!$H$43,'313'!$H$45,'313'!$H$47,'313'!$H$49,'313'!$H$51,'313'!$H$53,'313'!$H$55,'313'!$H$57:$H$59,'313'!$H$61,'313'!$H$63</definedName>
    <definedName name="OSRRefH22x_0" localSheetId="54">'314'!$H$49:$H$55,'314'!$H$57:$H$59,'314'!$H$61,'314'!$H$63,'314'!$H$65</definedName>
    <definedName name="OSRRefH22x_0" localSheetId="59">'315'!$H$50:$H$57,'315'!$H$59:$H$62,'315'!$H$64,'315'!$H$66,'315'!$H$68,'315'!$H$70,'315'!$H$72,'315'!$H$74:$H$75,'315'!$H$77:$H$79,'315'!$H$81,'315'!$H$83,'315'!$H$85</definedName>
    <definedName name="OSRRefH22x_0" localSheetId="62">'316'!$H$30:$H$37,'316'!$H$39:$H$42,'316'!$H$44,'316'!$H$46,'316'!$H$48,'316'!$H$50,'316'!$H$52,'316'!$H$54:$H$57,'316'!$H$59</definedName>
    <definedName name="OSRRefH22x_0" localSheetId="65">'317'!$H$47:$H$55,'317'!$H$57:$H$60,'317'!$H$62,'317'!$H$64,'317'!$H$66,'317'!$H$68,'317'!$H$70,'317'!$H$72,'317'!$H$74:$H$75,'317'!$H$77</definedName>
    <definedName name="OSRRefH22x_0" localSheetId="63">'320'!$H$28:$H$34,'320'!$H$36:$H$37,'320'!$H$39,'320'!$H$41:$H$42,'320'!$H$44,'320'!$H$46:$H$47,'320'!$H$49</definedName>
    <definedName name="OSRRefH22x_0" localSheetId="69">'321'!$H$24:$H$28,'321'!$H$30:$H$33,'321'!$H$35,'321'!$H$37,'321'!$H$39,'321'!$H$41,'321'!$H$43,'321'!$H$45,'321'!$H$47:$H$48,'321'!$H$50:$H$52,'321'!$H$54,'321'!$H$56</definedName>
    <definedName name="OSRRefH22x_0" localSheetId="70">'322'!$H$24:$H$31,'322'!$H$33:$H$36,'322'!$H$38,'322'!$H$40,'322'!$H$42,'322'!$H$44,'322'!$H$46,'322'!$H$48,'322'!$H$50,'322'!$H$52,'322'!$H$54:$H$56,'322'!$H$58:$H$61,'322'!$H$63,'322'!$H$65</definedName>
    <definedName name="OSRRefH22x_0" localSheetId="71">'325'!$H$24:$H$31,'325'!$H$33:$H$36,'325'!$H$38,'325'!$H$40,'325'!$H$42,'325'!$H$44:$H$45,'325'!$H$47,'325'!$H$49,'325'!$H$51,'325'!$H$53,'325'!$H$55,'325'!$H$57:$H$59,'325'!$H$61,'325'!$H$63:$H$65,'325'!$H$67,'325'!$H$69</definedName>
    <definedName name="OSRRefH22x_0" localSheetId="60">'326'!$H$49:$H$56,'326'!$H$58:$H$61,'326'!$H$63,'326'!$H$65,'326'!$H$67,'326'!$H$69,'326'!$H$71,'326'!$H$73,'326'!$H$75,'326'!$H$77,'326'!$H$79,'326'!$H$81,'326'!$H$83:$H$85,'326'!$H$87,'326'!$H$89:$H$92,'326'!$H$94,'326'!$H$96,'326'!$H$98</definedName>
    <definedName name="OSRRefH22x_0" localSheetId="72">'327'!$H$22</definedName>
    <definedName name="OSRRefH22x_0" localSheetId="52">'330'!$H$68:$H$75,'330'!$H$77:$H$79,'330'!$H$81,'330'!$H$83,'330'!$H$85,'330'!$H$87,'330'!$H$89,'330'!$H$91:$H$92,'330'!$H$94,'330'!$H$96</definedName>
    <definedName name="OSRRefH22x_0" localSheetId="58">'331'!$H$61:$H$68,'331'!$H$70:$H$73,'331'!$H$75,'331'!$H$77,'331'!$H$79,'331'!$H$81,'331'!$H$83,'331'!$H$85,'331'!$H$87,'331'!$H$89,'331'!$H$91,'331'!$H$93,'331'!$H$95,'331'!$H$97:$H$98,'331'!$H$100:$H$102,'331'!$H$104,'331'!$H$106:$H$110,'331'!$H$112,'331'!$H$114,'331'!$H$116,'331'!$H$118</definedName>
    <definedName name="OSRRefH22x_0" localSheetId="61">'332'!$H$38:$H$45,'332'!$H$47:$H$50,'332'!$H$52,'332'!$H$54,'332'!$H$56,'332'!$H$58:$H$59,'332'!$H$61,'332'!$H$63,'332'!$H$65,'332'!$H$67:$H$71,'332'!$H$73</definedName>
    <definedName name="OSRRefH22x_0" localSheetId="76">'405'!$H$24:$H$31,'405'!$H$33:$H$34,'405'!$H$36,'405'!$H$38,'405'!$H$40,'405'!$H$42:$H$43,'405'!$H$45,'405'!$H$47,'405'!$H$49,'405'!$H$51:$H$52,'405'!$H$54,'405'!$H$56:$H$58,'405'!$H$60,'405'!$H$62:$H$66,'405'!$H$68,'405'!$H$70,'405'!$H$72</definedName>
    <definedName name="OSRRefH22x_0" localSheetId="77">'406'!$H$22:$H$29,'406'!$H$31:$H$33,'406'!$H$35,'406'!$H$37,'406'!$H$39,'406'!$H$41,'406'!$H$43:$H$45,'406'!$H$47,'406'!$H$49</definedName>
    <definedName name="OSRRefH22x_0" localSheetId="78">'411'!$H$20:$H$28,'411'!$H$30:$H$35,'411'!$H$37,'411'!$H$39:$H$41,'411'!$H$43,'411'!$H$45,'411'!$H$47,'411'!$H$49:$H$50,'411'!$H$52:$H$56,'411'!$H$58:$H$62,'411'!$H$64,'411'!$H$66,'411'!$H$68:$H$70,'411'!$H$72</definedName>
    <definedName name="OSRRefH22x_0" localSheetId="79">'412'!$H$23:$H$30,'412'!$H$32:$H$37,'412'!$H$39,'412'!$H$41,'412'!$H$43,'412'!$H$45,'412'!$H$47,'412'!$H$49,'412'!$H$51,'412'!$H$53:$H$54,'412'!$H$56:$H$62,'412'!$H$64</definedName>
    <definedName name="OSRRefH22x_0" localSheetId="80">'413'!$H$24:$H$31,'413'!$H$33:$H$36,'413'!$H$38,'413'!$H$40,'413'!$H$42,'413'!$H$44,'413'!$H$46,'413'!$H$48,'413'!$H$50,'413'!$H$52:$H$54,'413'!$H$56</definedName>
    <definedName name="OSRRefH22x_0" localSheetId="81">'414'!$H$24:$H$31,'414'!$H$33:$H$36,'414'!$H$38,'414'!$H$40,'414'!$H$42,'414'!$H$44,'414'!$H$46,'414'!$H$48,'414'!$H$50,'414'!$H$52,'414'!$H$54,'414'!$H$56,'414'!$H$58:$H$62,'414'!$H$64</definedName>
    <definedName name="OSRRefH22x_0" localSheetId="82">'415'!$H$24:$H$31,'415'!$H$33:$H$36,'415'!$H$38,'415'!$H$40,'415'!$H$42,'415'!$H$44:$H$45,'415'!$H$47,'415'!$H$49,'415'!$H$51,'415'!$H$53,'415'!$H$55,'415'!$H$57,'415'!$H$59:$H$63,'415'!$H$65,'415'!$H$67:$H$72,'415'!$H$74,'415'!$H$76,'415'!$H$78</definedName>
    <definedName name="OSRRefH22x_0" localSheetId="83">'418'!$H$24:$H$31,'418'!$H$33:$H$38,'418'!$H$40,'418'!$H$42,'418'!$H$44,'418'!$H$46:$H$47,'418'!$H$49,'418'!$H$51,'418'!$H$53:$H$54,'418'!$H$56,'418'!$H$58:$H$61,'418'!$H$63,'418'!$H$65</definedName>
    <definedName name="OSRRefH22x_0" localSheetId="85">'423'!$H$20:$H$27,'423'!$H$29,'423'!$H$31,'423'!$H$33,'423'!$H$35,'423'!$H$37</definedName>
    <definedName name="OSRRefH22x_0" localSheetId="86">'424'!$H$23:$H$25,'424'!$H$27,'424'!$H$29,'424'!$H$31,'424'!$H$33,'424'!$H$35,'424'!$H$37,'424'!$H$39,'424'!$H$41,'424'!$H$43</definedName>
    <definedName name="OSRRefH22x_0" localSheetId="87">'425'!$H$24:$H$31,'425'!$H$33:$H$37,'425'!$H$39,'425'!$H$41,'425'!$H$43,'425'!$H$45,'425'!$H$47,'425'!$H$49,'425'!$H$51,'425'!$H$53:$H$54,'425'!$H$56:$H$58,'425'!$H$60,'425'!$H$62,'425'!$H$64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'433'!$H$25:$H$33,'433'!$H$35:$H$40,'433'!$H$42,'433'!$H$44,'433'!$H$46,'433'!$H$48,'433'!$H$50,'433'!$H$52,'433'!$H$54:$H$56,'433'!$H$58:$H$62,'433'!$H$64,'433'!$H$66,'433'!$H$68:$H$69</definedName>
    <definedName name="OSRRefH22x_0" localSheetId="92">'435'!$H$20:$H$21,'435'!$H$23,'435'!$H$25,'435'!$H$27</definedName>
    <definedName name="OSRRefH22x_0" localSheetId="93">'444'!$H$25:$H$33,'444'!$H$35:$H$40,'444'!$H$42,'444'!$H$44,'444'!$H$46,'444'!$H$48,'444'!$H$50,'444'!$H$52,'444'!$H$54:$H$55,'444'!$H$57:$H$59,'444'!$H$61:$H$65,'444'!$H$67,'444'!$H$69,'444'!$H$71</definedName>
    <definedName name="OSRRefH22x_0" localSheetId="94">'445'!$H$20</definedName>
    <definedName name="OSRRefH22x_0" localSheetId="95">'450'!$H$24:$H$32,'450'!$H$34:$H$39,'450'!$H$41,'450'!$H$43,'450'!$H$45,'450'!$H$47,'450'!$H$49,'450'!$H$51,'450'!$H$53:$H$55,'450'!$H$57:$H$60,'450'!$H$62,'450'!$H$64,'450'!$H$66</definedName>
    <definedName name="OSRRefH22x_0" localSheetId="88">'455'!$H$20:$H$26,'455'!$H$28:$H$29</definedName>
    <definedName name="OSRRefH22x_0" localSheetId="75">'491'!$H$31:$H$39,'491'!$H$41:$H$47,'491'!$H$49,'491'!$H$51,'491'!$H$53,'491'!$H$55:$H$57,'491'!$H$59,'491'!$H$61,'491'!$H$63,'491'!$H$65,'491'!$H$67,'491'!$H$69,'491'!$H$71:$H$72,'491'!$H$74:$H$75,'491'!$H$77:$H$81,'491'!$H$83,'491'!$H$85:$H$92,'491'!$H$94,'491'!$H$96,'491'!$H$98:$H$100,'491'!$H$102</definedName>
    <definedName name="OSRRefH22x_0" localSheetId="89">'492'!$H$25:$H$33,'492'!$H$35:$H$41,'492'!$H$43,'492'!$H$45,'492'!$H$47,'492'!$H$49,'492'!$H$51,'492'!$H$53,'492'!$H$55,'492'!$H$57,'492'!$H$59:$H$60,'492'!$H$62:$H$64,'492'!$H$66:$H$72,'492'!$H$74,'492'!$H$76,'492'!$H$78:$H$79</definedName>
    <definedName name="OSRRefH22x_0" localSheetId="97">'501'!$H$21:$H$28,'501'!$H$30:$H$35,'501'!$H$37,'501'!$H$39,'501'!$H$41,'501'!$H$43,'501'!$H$45,'501'!$H$47,'501'!$H$49:$H$50,'501'!$H$52</definedName>
    <definedName name="OSRRefH22x_0" localSheetId="39">'Div 2'!$H$20:$H$29,'Div 2'!$H$31:$H$37,'Div 2'!$H$39,'Div 2'!$H$41,'Div 2'!$H$43,'Div 2'!$H$45:$H$46,'Div 2'!$H$48,'Div 2'!$H$50,'Div 2'!$H$52,'Div 2'!$H$54,'Div 2'!$H$56,'Div 2'!$H$58,'Div 2'!$H$60:$H$63,'Div 2'!$H$65:$H$67,'Div 2'!$H$69:$H$70,'Div 2'!$H$72,'Div 2'!$H$74:$H$77,'Div 2'!$H$79:$H$80,'Div 2'!$H$82,'Div 2'!$H$84:$H$85</definedName>
    <definedName name="OSRRefH22x_0" localSheetId="47">'Div 3'!$H$142:$H$150,'Div 3'!$H$152:$H$158,'Div 3'!$H$160,'Div 3'!$H$162,'Div 3'!$H$164,'Div 3'!$H$166:$H$167,'Div 3'!$H$169:$H$170,'Div 3'!$H$172,'Div 3'!$H$174,'Div 3'!$H$176,'Div 3'!$H$178:$H$179,'Div 3'!$H$181,'Div 3'!$H$183,'Div 3'!$H$185,'Div 3'!$H$187,'Div 3'!$H$189,'Div 3'!$H$191,'Div 3'!$H$193:$H$195,'Div 3'!$H$197:$H$199,'Div 3'!$H$201:$H$205,'Div 3'!$H$207:$H$208,'Div 3'!$H$210:$H$215,'Div 3'!$H$217:$H$218,'Div 3'!$H$220,'Div 3'!$H$222:$H$224,'Div 3'!$H$226</definedName>
    <definedName name="OSRRefH22x_0" localSheetId="73">'Div 4'!$H$32:$H$40,'Div 4'!$H$42:$H$48,'Div 4'!$H$50,'Div 4'!$H$52,'Div 4'!$H$54,'Div 4'!$H$56:$H$58,'Div 4'!$H$60,'Div 4'!$H$62,'Div 4'!$H$64,'Div 4'!$H$66,'Div 4'!$H$68,'Div 4'!$H$70,'Div 4'!$H$72,'Div 4'!$H$74:$H$75,'Div 4'!$H$77:$H$78,'Div 4'!$H$80:$H$84,'Div 4'!$H$86,'Div 4'!$H$88:$H$95,'Div 4'!$H$97,'Div 4'!$H$99,'Div 4'!$H$101:$H$103,'Div 4'!$H$105</definedName>
    <definedName name="OSRRefH22x_0" localSheetId="96">'Div 5'!$H$21:$H$28,'Div 5'!$H$30:$H$35,'Div 5'!$H$37,'Div 5'!$H$39,'Div 5'!$H$41,'Div 5'!$H$43,'Div 5'!$H$45,'Div 5'!$H$47,'Div 5'!$H$49:$H$50,'Div 5'!$H$52</definedName>
    <definedName name="OSRRefH22x_0" localSheetId="64">'Div 6'!$H$47:$H$55,'Div 6'!$H$57:$H$60,'Div 6'!$H$62,'Div 6'!$H$64,'Div 6'!$H$66,'Div 6'!$H$68,'Div 6'!$H$70,'Div 6'!$H$72,'Div 6'!$H$74:$H$75,'Div 6'!$H$77</definedName>
    <definedName name="OSRRefH22x_0" localSheetId="2">Summary!$H$169:$H$177,Summary!$H$179:$H$185,Summary!$H$187,Summary!$H$189,Summary!$H$191,Summary!$H$193:$H$195,Summary!$H$197:$H$198,Summary!$H$200,Summary!$H$202,Summary!$H$204,Summary!$H$206:$H$207,Summary!$H$209,Summary!$H$211,Summary!$H$213,Summary!$H$215,Summary!$H$217,Summary!$H$219,Summary!$H$221,Summary!$H$223:$H$225,Summary!$H$227:$H$229,Summary!$H$231:$H$235,Summary!$H$237:$H$238,Summary!$H$240:$H$247,Summary!$H$249:$H$250,Summary!$H$252,Summary!$H$254:$H$256,Summary!$H$258</definedName>
    <definedName name="OSRRefH25x_0" localSheetId="48">'300'!$H$221:$H$225</definedName>
    <definedName name="OSRRefH25x_0" localSheetId="49">'300 &amp; 317'!$H$241:$H$247</definedName>
    <definedName name="OSRRefH25x_0" localSheetId="50">'301'!$H$87:$H$88</definedName>
    <definedName name="OSRRefH25x_0" localSheetId="55">'308'!$H$99:$H$100</definedName>
    <definedName name="OSRRefH25x_0" localSheetId="74">'310 &amp; 491'!$H$116:$H$118</definedName>
    <definedName name="OSRRefH25x_0" localSheetId="56">'311'!$H$98:$H$99</definedName>
    <definedName name="OSRRefH25x_0" localSheetId="59">'315'!$H$88</definedName>
    <definedName name="OSRRefH25x_0" localSheetId="62">'316'!$H$62</definedName>
    <definedName name="OSRRefH25x_0" localSheetId="65">'317'!$H$80:$H$82</definedName>
    <definedName name="OSRRefH25x_0" localSheetId="63">'320'!$H$52:$H$53</definedName>
    <definedName name="OSRRefH25x_0" localSheetId="58">'331'!$H$121</definedName>
    <definedName name="OSRRefH25x_0" localSheetId="61">'332'!$H$76:$H$78</definedName>
    <definedName name="OSRRefH25x_0" localSheetId="78">'411'!$H$75:$H$76</definedName>
    <definedName name="OSRRefH25x_0" localSheetId="80">'413'!$H$59</definedName>
    <definedName name="OSRRefH25x_0" localSheetId="85">'423'!$H$40</definedName>
    <definedName name="OSRRefH25x_0" localSheetId="86">'424'!$H$46</definedName>
    <definedName name="OSRRefH25x_0" localSheetId="87">'425'!$H$67</definedName>
    <definedName name="OSRRefH25x_0" localSheetId="88">'455'!$H$32:$H$33</definedName>
    <definedName name="OSRRefH25x_0" localSheetId="75">'491'!$H$105:$H$107</definedName>
    <definedName name="OSRRefH25x_0" localSheetId="97">'501'!$H$55</definedName>
    <definedName name="OSRRefH25x_0" localSheetId="47">'Div 3'!$H$229:$H$233</definedName>
    <definedName name="OSRRefH25x_0" localSheetId="73">'Div 4'!$H$108:$H$110</definedName>
    <definedName name="OSRRefH25x_0" localSheetId="96">'Div 5'!$H$55</definedName>
    <definedName name="OSRRefH25x_0" localSheetId="64">'Div 6'!$H$80:$H$82</definedName>
    <definedName name="OSRRefH25x_0" localSheetId="2">Summary!$H$261:$H$269</definedName>
    <definedName name="OSRRefP13x_0" localSheetId="48">'300'!$P$13:$P$89</definedName>
    <definedName name="OSRRefP13x_0" localSheetId="49">'300 &amp; 317'!$P$13:$P$102</definedName>
    <definedName name="OSRRefP13x_0" localSheetId="53">'307'!$P$13:$P$36</definedName>
    <definedName name="OSRRefP13x_0" localSheetId="55">'308'!$P$13:$P$34</definedName>
    <definedName name="OSRRefP13x_0" localSheetId="67">'309'!$P$13:$P$14</definedName>
    <definedName name="OSRRefP13x_0" localSheetId="66">'310'!$P$13:$P$20</definedName>
    <definedName name="OSRRefP13x_0" localSheetId="74">'310 &amp; 491'!$P$13:$P$27</definedName>
    <definedName name="OSRRefP13x_0" localSheetId="56">'311'!$P$13:$P$33</definedName>
    <definedName name="OSRRefP13x_0" localSheetId="68">'313'!$P$13:$P$17</definedName>
    <definedName name="OSRRefP13x_0" localSheetId="54">'314'!$P$13:$P$29</definedName>
    <definedName name="OSRRefP13x_0" localSheetId="59">'315'!$P$13:$P$29</definedName>
    <definedName name="OSRRefP13x_0" localSheetId="62">'316'!$P$13:$P$22</definedName>
    <definedName name="OSRRefP13x_0" localSheetId="65">'317'!$P$13:$P$30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'326'!$P$13:$P$28</definedName>
    <definedName name="OSRRefP13x_0" localSheetId="72">'327'!$P$13</definedName>
    <definedName name="OSRRefP13x_0" localSheetId="52">'330'!$P$13:$P$45</definedName>
    <definedName name="OSRRefP13x_0" localSheetId="58">'331'!$P$13:$P$34</definedName>
    <definedName name="OSRRefP13x_0" localSheetId="61">'332'!$P$13:$P$25</definedName>
    <definedName name="OSRRefP13x_0" localSheetId="76">'405'!$P$13:$P$14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6">'424'!$P$13</definedName>
    <definedName name="OSRRefP13x_0" localSheetId="87">'425'!$P$13:$P$14</definedName>
    <definedName name="OSRRefP13x_0" localSheetId="91">'433'!$P$13:$P$15</definedName>
    <definedName name="OSRRefP13x_0" localSheetId="93">'444'!$P$13:$P$15</definedName>
    <definedName name="OSRRefP13x_0" localSheetId="95">'450'!$P$13:$P$14</definedName>
    <definedName name="OSRRefP13x_0" localSheetId="75">'491'!$P$13:$P$21</definedName>
    <definedName name="OSRRefP13x_0" localSheetId="89">'492'!$P$13:$P$15</definedName>
    <definedName name="OSRRefP13x_0" localSheetId="97">'501'!$P$13</definedName>
    <definedName name="OSRRefP13x_0" localSheetId="47">'Div 3'!$P$13:$P$92</definedName>
    <definedName name="OSRRefP13x_0" localSheetId="73">'Div 4'!$P$13:$P$22</definedName>
    <definedName name="OSRRefP13x_0" localSheetId="96">'Div 5'!$P$13</definedName>
    <definedName name="OSRRefP13x_0" localSheetId="64">'Div 6'!$P$13:$P$30</definedName>
    <definedName name="OSRRefP13x_0" localSheetId="2">Summary!$P$13:$P$112</definedName>
    <definedName name="OSRRefP16x_0" localSheetId="48">'300'!$P$92:$P$131</definedName>
    <definedName name="OSRRefP16x_0" localSheetId="49">'300 &amp; 317'!$P$105:$P$151</definedName>
    <definedName name="OSRRefP16x_0" localSheetId="53">'307'!$P$39:$P$48</definedName>
    <definedName name="OSRRefP16x_0" localSheetId="55">'308'!$P$37:$P$49</definedName>
    <definedName name="OSRRefP16x_0" localSheetId="67">'309'!$P$17:$P$18</definedName>
    <definedName name="OSRRefP16x_0" localSheetId="66">'310'!$P$23:$P$24</definedName>
    <definedName name="OSRRefP16x_0" localSheetId="74">'310 &amp; 491'!$P$30:$P$31</definedName>
    <definedName name="OSRRefP16x_0" localSheetId="56">'311'!$P$36:$P$48</definedName>
    <definedName name="OSRRefP16x_0" localSheetId="68">'313'!$P$20:$P$21</definedName>
    <definedName name="OSRRefP16x_0" localSheetId="54">'314'!$P$32:$P$43</definedName>
    <definedName name="OSRRefP16x_0" localSheetId="59">'315'!$P$32:$P$44</definedName>
    <definedName name="OSRRefP16x_0" localSheetId="65">'317'!$P$33:$P$41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'326'!$P$31:$P$43</definedName>
    <definedName name="OSRRefP16x_0" localSheetId="72">'327'!$P$16</definedName>
    <definedName name="OSRRefP16x_0" localSheetId="52">'330'!$P$48:$P$62</definedName>
    <definedName name="OSRRefP16x_0" localSheetId="58">'331'!$P$37:$P$55</definedName>
    <definedName name="OSRRefP16x_0" localSheetId="61">'332'!$P$28:$P$32</definedName>
    <definedName name="OSRRefP16x_0" localSheetId="76">'405'!$P$17:$P$18</definedName>
    <definedName name="OSRRefP16x_0" localSheetId="77">'406'!$P$15:$P$16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6">'424'!$P$16:$P$17</definedName>
    <definedName name="OSRRefP16x_0" localSheetId="87">'425'!$P$17:$P$18</definedName>
    <definedName name="OSRRefP16x_0" localSheetId="91">'433'!$P$18:$P$19</definedName>
    <definedName name="OSRRefP16x_0" localSheetId="93">'444'!$P$18:$P$19</definedName>
    <definedName name="OSRRefP16x_0" localSheetId="95">'450'!$P$17:$P$18</definedName>
    <definedName name="OSRRefP16x_0" localSheetId="75">'491'!$P$24:$P$25</definedName>
    <definedName name="OSRRefP16x_0" localSheetId="89">'492'!$P$18:$P$19</definedName>
    <definedName name="OSRRefP16x_0" localSheetId="47">'Div 3'!$P$95:$P$136</definedName>
    <definedName name="OSRRefP16x_0" localSheetId="73">'Div 4'!$P$25:$P$26</definedName>
    <definedName name="OSRRefP16x_0" localSheetId="64">'Div 6'!$P$33:$P$41</definedName>
    <definedName name="OSRRefP16x_0" localSheetId="2">Summary!$P$115:$P$163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'300'!$P$137:$P$145</definedName>
    <definedName name="OSRRefP22_0x_0" localSheetId="49">'300 &amp; 317'!$P$157:$P$165</definedName>
    <definedName name="OSRRefP22_0x_0" localSheetId="50">'301'!$P$20:$P$27</definedName>
    <definedName name="OSRRefP22_0x_0" localSheetId="51">'306'!$P$20:$P$28</definedName>
    <definedName name="OSRRefP22_0x_0" localSheetId="53">'307'!$P$54:$P$61</definedName>
    <definedName name="OSRRefP22_0x_0" localSheetId="55">'308'!$P$55:$P$63</definedName>
    <definedName name="OSRRefP22_0x_0" localSheetId="67">'309'!$P$24:$P$31</definedName>
    <definedName name="OSRRefP22_0x_0" localSheetId="66">'310'!$P$30:$P$37</definedName>
    <definedName name="OSRRefP22_0x_0" localSheetId="74">'310 &amp; 491'!$P$37:$P$45</definedName>
    <definedName name="OSRRefP22_0x_0" localSheetId="56">'311'!$P$54:$P$62</definedName>
    <definedName name="OSRRefP22_0x_0" localSheetId="68">'313'!$P$27:$P$34</definedName>
    <definedName name="OSRRefP22_0x_0" localSheetId="54">'314'!$P$49:$P$55</definedName>
    <definedName name="OSRRefP22_0x_0" localSheetId="59">'315'!$P$50:$P$57</definedName>
    <definedName name="OSRRefP22_0x_0" localSheetId="62">'316'!$P$30:$P$37</definedName>
    <definedName name="OSRRefP22_0x_0" localSheetId="65">'317'!$P$47:$P$55</definedName>
    <definedName name="OSRRefP22_0x_0" localSheetId="63">'320'!$P$28:$P$34</definedName>
    <definedName name="OSRRefP22_0x_0" localSheetId="69">'321'!$P$24:$P$28</definedName>
    <definedName name="OSRRefP22_0x_0" localSheetId="70">'322'!$P$24:$P$31</definedName>
    <definedName name="OSRRefP22_0x_0" localSheetId="71">'325'!$P$24:$P$31</definedName>
    <definedName name="OSRRefP22_0x_0" localSheetId="60">'326'!$P$49:$P$56</definedName>
    <definedName name="OSRRefP22_0x_0" localSheetId="72">'327'!$P$22</definedName>
    <definedName name="OSRRefP22_0x_0" localSheetId="52">'330'!$P$68:$P$75</definedName>
    <definedName name="OSRRefP22_0x_0" localSheetId="58">'331'!$P$61:$P$68</definedName>
    <definedName name="OSRRefP22_0x_0" localSheetId="61">'332'!$P$38:$P$45</definedName>
    <definedName name="OSRRefP22_0x_0" localSheetId="76">'405'!$P$24:$P$31</definedName>
    <definedName name="OSRRefP22_0x_0" localSheetId="77">'406'!$P$22:$P$29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5">'423'!$P$20:$P$27</definedName>
    <definedName name="OSRRefP22_0x_0" localSheetId="86">'424'!$P$23:$P$25</definedName>
    <definedName name="OSRRefP22_0x_0" localSheetId="87">'425'!$P$24:$P$31</definedName>
    <definedName name="OSRRefP22_0x_0" localSheetId="90">'430'!$P$20:$P$27</definedName>
    <definedName name="OSRRefP22_0x_0" localSheetId="91">'433'!$P$25:$P$33</definedName>
    <definedName name="OSRRefP22_0x_0" localSheetId="92">'435'!$P$20:$P$21</definedName>
    <definedName name="OSRRefP22_0x_0" localSheetId="93">'444'!$P$25:$P$33</definedName>
    <definedName name="OSRRefP22_0x_0" localSheetId="94">'445'!$P$20</definedName>
    <definedName name="OSRRefP22_0x_0" localSheetId="95">'450'!$P$24:$P$32</definedName>
    <definedName name="OSRRefP22_0x_0" localSheetId="88">'455'!$P$20:$P$26</definedName>
    <definedName name="OSRRefP22_0x_0" localSheetId="75">'491'!$P$31:$P$39</definedName>
    <definedName name="OSRRefP22_0x_0" localSheetId="89">'492'!$P$25:$P$33</definedName>
    <definedName name="OSRRefP22_0x_0" localSheetId="97">'501'!$P$21:$P$28</definedName>
    <definedName name="OSRRefP22_0x_0" localSheetId="39">'Div 2'!$P$20:$P$29</definedName>
    <definedName name="OSRRefP22_0x_0" localSheetId="47">'Div 3'!$P$142:$P$150</definedName>
    <definedName name="OSRRefP22_0x_0" localSheetId="73">'Div 4'!$P$32:$P$40</definedName>
    <definedName name="OSRRefP22_0x_0" localSheetId="96">'Div 5'!$P$21:$P$28</definedName>
    <definedName name="OSRRefP22_0x_0" localSheetId="64">'Div 6'!$P$47:$P$55</definedName>
    <definedName name="OSRRefP22_0x_0" localSheetId="2">Summary!$P$169:$P$177</definedName>
    <definedName name="OSRRefP22_10x_0" localSheetId="41">'201'!$P$50:$P$51</definedName>
    <definedName name="OSRRefP22_10x_0" localSheetId="42">'202'!$P$50</definedName>
    <definedName name="OSRRefP22_10x_0" localSheetId="43">'203'!$P$52:$P$54</definedName>
    <definedName name="OSRRefP22_10x_0" localSheetId="48">'300'!$P$173:$P$174</definedName>
    <definedName name="OSRRefP22_10x_0" localSheetId="49">'300 &amp; 317'!$P$193:$P$194</definedName>
    <definedName name="OSRRefP22_10x_0" localSheetId="50">'301'!$P$53</definedName>
    <definedName name="OSRRefP22_10x_0" localSheetId="55">'308'!$P$89:$P$91</definedName>
    <definedName name="OSRRefP22_10x_0" localSheetId="67">'309'!$P$56:$P$59</definedName>
    <definedName name="OSRRefP22_10x_0" localSheetId="66">'310'!$P$62</definedName>
    <definedName name="OSRRefP22_10x_0" localSheetId="74">'310 &amp; 491'!$P$73</definedName>
    <definedName name="OSRRefP22_10x_0" localSheetId="56">'311'!$P$88:$P$90</definedName>
    <definedName name="OSRRefP22_10x_0" localSheetId="68">'313'!$P$57:$P$59</definedName>
    <definedName name="OSRRefP22_10x_0" localSheetId="59">'315'!$P$83</definedName>
    <definedName name="OSRRefP22_10x_0" localSheetId="69">'321'!$P$54</definedName>
    <definedName name="OSRRefP22_10x_0" localSheetId="70">'322'!$P$54:$P$56</definedName>
    <definedName name="OSRRefP22_10x_0" localSheetId="71">'325'!$P$55</definedName>
    <definedName name="OSRRefP22_10x_0" localSheetId="60">'326'!$P$79</definedName>
    <definedName name="OSRRefP22_10x_0" localSheetId="58">'331'!$P$91</definedName>
    <definedName name="OSRRefP22_10x_0" localSheetId="61">'332'!$P$73</definedName>
    <definedName name="OSRRefP22_10x_0" localSheetId="76">'405'!$P$54</definedName>
    <definedName name="OSRRefP22_10x_0" localSheetId="78">'411'!$P$64</definedName>
    <definedName name="OSRRefP22_10x_0" localSheetId="79">'412'!$P$56:$P$62</definedName>
    <definedName name="OSRRefP22_10x_0" localSheetId="80">'413'!$P$56</definedName>
    <definedName name="OSRRefP22_10x_0" localSheetId="81">'414'!$P$54</definedName>
    <definedName name="OSRRefP22_10x_0" localSheetId="82">'415'!$P$55</definedName>
    <definedName name="OSRRefP22_10x_0" localSheetId="83">'418'!$P$58:$P$61</definedName>
    <definedName name="OSRRefP22_10x_0" localSheetId="87">'425'!$P$56:$P$58</definedName>
    <definedName name="OSRRefP22_10x_0" localSheetId="91">'433'!$P$64</definedName>
    <definedName name="OSRRefP22_10x_0" localSheetId="93">'444'!$P$61:$P$65</definedName>
    <definedName name="OSRRefP22_10x_0" localSheetId="95">'450'!$P$62</definedName>
    <definedName name="OSRRefP22_10x_0" localSheetId="75">'491'!$P$67</definedName>
    <definedName name="OSRRefP22_10x_0" localSheetId="89">'492'!$P$59:$P$60</definedName>
    <definedName name="OSRRefP22_10x_0" localSheetId="39">'Div 2'!$P$56</definedName>
    <definedName name="OSRRefP22_10x_0" localSheetId="47">'Div 3'!$P$178:$P$179</definedName>
    <definedName name="OSRRefP22_10x_0" localSheetId="73">'Div 4'!$P$68</definedName>
    <definedName name="OSRRefP22_10x_0" localSheetId="2">Summary!$P$206:$P$207</definedName>
    <definedName name="OSRRefP22_11x_0" localSheetId="41">'201'!$P$53</definedName>
    <definedName name="OSRRefP22_11x_0" localSheetId="42">'202'!$P$52</definedName>
    <definedName name="OSRRefP22_11x_0" localSheetId="43">'203'!$P$56</definedName>
    <definedName name="OSRRefP22_11x_0" localSheetId="48">'300'!$P$176</definedName>
    <definedName name="OSRRefP22_11x_0" localSheetId="49">'300 &amp; 317'!$P$196</definedName>
    <definedName name="OSRRefP22_11x_0" localSheetId="50">'301'!$P$55</definedName>
    <definedName name="OSRRefP22_11x_0" localSheetId="55">'308'!$P$93:$P$94</definedName>
    <definedName name="OSRRefP22_11x_0" localSheetId="67">'309'!$P$61</definedName>
    <definedName name="OSRRefP22_11x_0" localSheetId="66">'310'!$P$64</definedName>
    <definedName name="OSRRefP22_11x_0" localSheetId="74">'310 &amp; 491'!$P$75</definedName>
    <definedName name="OSRRefP22_11x_0" localSheetId="56">'311'!$P$92:$P$93</definedName>
    <definedName name="OSRRefP22_11x_0" localSheetId="68">'313'!$P$61</definedName>
    <definedName name="OSRRefP22_11x_0" localSheetId="59">'315'!$P$85</definedName>
    <definedName name="OSRRefP22_11x_0" localSheetId="69">'321'!$P$56</definedName>
    <definedName name="OSRRefP22_11x_0" localSheetId="70">'322'!$P$58:$P$61</definedName>
    <definedName name="OSRRefP22_11x_0" localSheetId="71">'325'!$P$57:$P$59</definedName>
    <definedName name="OSRRefP22_11x_0" localSheetId="60">'326'!$P$81</definedName>
    <definedName name="OSRRefP22_11x_0" localSheetId="58">'331'!$P$93</definedName>
    <definedName name="OSRRefP22_11x_0" localSheetId="76">'405'!$P$56:$P$58</definedName>
    <definedName name="OSRRefP22_11x_0" localSheetId="78">'411'!$P$66</definedName>
    <definedName name="OSRRefP22_11x_0" localSheetId="79">'412'!$P$64</definedName>
    <definedName name="OSRRefP22_11x_0" localSheetId="81">'414'!$P$56</definedName>
    <definedName name="OSRRefP22_11x_0" localSheetId="82">'415'!$P$57</definedName>
    <definedName name="OSRRefP22_11x_0" localSheetId="83">'418'!$P$63</definedName>
    <definedName name="OSRRefP22_11x_0" localSheetId="87">'425'!$P$60</definedName>
    <definedName name="OSRRefP22_11x_0" localSheetId="91">'433'!$P$66</definedName>
    <definedName name="OSRRefP22_11x_0" localSheetId="93">'444'!$P$67</definedName>
    <definedName name="OSRRefP22_11x_0" localSheetId="95">'450'!$P$64</definedName>
    <definedName name="OSRRefP22_11x_0" localSheetId="75">'491'!$P$69</definedName>
    <definedName name="OSRRefP22_11x_0" localSheetId="89">'492'!$P$62:$P$64</definedName>
    <definedName name="OSRRefP22_11x_0" localSheetId="39">'Div 2'!$P$58</definedName>
    <definedName name="OSRRefP22_11x_0" localSheetId="47">'Div 3'!$P$181</definedName>
    <definedName name="OSRRefP22_11x_0" localSheetId="73">'Div 4'!$P$70</definedName>
    <definedName name="OSRRefP22_11x_0" localSheetId="2">Summary!$P$209</definedName>
    <definedName name="OSRRefP22_12x_0" localSheetId="41">'201'!$P$55:$P$56</definedName>
    <definedName name="OSRRefP22_12x_0" localSheetId="43">'203'!$P$58</definedName>
    <definedName name="OSRRefP22_12x_0" localSheetId="48">'300'!$P$178</definedName>
    <definedName name="OSRRefP22_12x_0" localSheetId="49">'300 &amp; 317'!$P$198</definedName>
    <definedName name="OSRRefP22_12x_0" localSheetId="50">'301'!$P$57</definedName>
    <definedName name="OSRRefP22_12x_0" localSheetId="55">'308'!$P$96</definedName>
    <definedName name="OSRRefP22_12x_0" localSheetId="66">'310'!$P$66</definedName>
    <definedName name="OSRRefP22_12x_0" localSheetId="74">'310 &amp; 491'!$P$77</definedName>
    <definedName name="OSRRefP22_12x_0" localSheetId="56">'311'!$P$95</definedName>
    <definedName name="OSRRefP22_12x_0" localSheetId="68">'313'!$P$63</definedName>
    <definedName name="OSRRefP22_12x_0" localSheetId="70">'322'!$P$63</definedName>
    <definedName name="OSRRefP22_12x_0" localSheetId="71">'325'!$P$61</definedName>
    <definedName name="OSRRefP22_12x_0" localSheetId="60">'326'!$P$83:$P$85</definedName>
    <definedName name="OSRRefP22_12x_0" localSheetId="58">'331'!$P$95</definedName>
    <definedName name="OSRRefP22_12x_0" localSheetId="76">'405'!$P$60</definedName>
    <definedName name="OSRRefP22_12x_0" localSheetId="78">'411'!$P$68:$P$70</definedName>
    <definedName name="OSRRefP22_12x_0" localSheetId="81">'414'!$P$58:$P$62</definedName>
    <definedName name="OSRRefP22_12x_0" localSheetId="82">'415'!$P$59:$P$63</definedName>
    <definedName name="OSRRefP22_12x_0" localSheetId="83">'418'!$P$65</definedName>
    <definedName name="OSRRefP22_12x_0" localSheetId="87">'425'!$P$62</definedName>
    <definedName name="OSRRefP22_12x_0" localSheetId="91">'433'!$P$68:$P$69</definedName>
    <definedName name="OSRRefP22_12x_0" localSheetId="93">'444'!$P$69</definedName>
    <definedName name="OSRRefP22_12x_0" localSheetId="95">'450'!$P$66</definedName>
    <definedName name="OSRRefP22_12x_0" localSheetId="75">'491'!$P$71:$P$72</definedName>
    <definedName name="OSRRefP22_12x_0" localSheetId="89">'492'!$P$66:$P$72</definedName>
    <definedName name="OSRRefP22_12x_0" localSheetId="39">'Div 2'!$P$60:$P$63</definedName>
    <definedName name="OSRRefP22_12x_0" localSheetId="47">'Div 3'!$P$183</definedName>
    <definedName name="OSRRefP22_12x_0" localSheetId="73">'Div 4'!$P$72</definedName>
    <definedName name="OSRRefP22_12x_0" localSheetId="2">Summary!$P$211</definedName>
    <definedName name="OSRRefP22_13x_0" localSheetId="41">'201'!$P$58</definedName>
    <definedName name="OSRRefP22_13x_0" localSheetId="43">'203'!$P$60</definedName>
    <definedName name="OSRRefP22_13x_0" localSheetId="48">'300'!$P$180</definedName>
    <definedName name="OSRRefP22_13x_0" localSheetId="49">'300 &amp; 317'!$P$200</definedName>
    <definedName name="OSRRefP22_13x_0" localSheetId="50">'301'!$P$59</definedName>
    <definedName name="OSRRefP22_13x_0" localSheetId="66">'310'!$P$68</definedName>
    <definedName name="OSRRefP22_13x_0" localSheetId="74">'310 &amp; 491'!$P$79</definedName>
    <definedName name="OSRRefP22_13x_0" localSheetId="70">'322'!$P$65</definedName>
    <definedName name="OSRRefP22_13x_0" localSheetId="71">'325'!$P$63:$P$65</definedName>
    <definedName name="OSRRefP22_13x_0" localSheetId="60">'326'!$P$87</definedName>
    <definedName name="OSRRefP22_13x_0" localSheetId="58">'331'!$P$97:$P$98</definedName>
    <definedName name="OSRRefP22_13x_0" localSheetId="76">'405'!$P$62:$P$66</definedName>
    <definedName name="OSRRefP22_13x_0" localSheetId="78">'411'!$P$72</definedName>
    <definedName name="OSRRefP22_13x_0" localSheetId="81">'414'!$P$64</definedName>
    <definedName name="OSRRefP22_13x_0" localSheetId="82">'415'!$P$65</definedName>
    <definedName name="OSRRefP22_13x_0" localSheetId="87">'425'!$P$64</definedName>
    <definedName name="OSRRefP22_13x_0" localSheetId="93">'444'!$P$71</definedName>
    <definedName name="OSRRefP22_13x_0" localSheetId="75">'491'!$P$74:$P$75</definedName>
    <definedName name="OSRRefP22_13x_0" localSheetId="89">'492'!$P$74</definedName>
    <definedName name="OSRRefP22_13x_0" localSheetId="39">'Div 2'!$P$65:$P$67</definedName>
    <definedName name="OSRRefP22_13x_0" localSheetId="47">'Div 3'!$P$185</definedName>
    <definedName name="OSRRefP22_13x_0" localSheetId="73">'Div 4'!$P$74:$P$75</definedName>
    <definedName name="OSRRefP22_13x_0" localSheetId="2">Summary!$P$213</definedName>
    <definedName name="OSRRefP22_14x_0" localSheetId="41">'201'!$P$60:$P$61</definedName>
    <definedName name="OSRRefP22_14x_0" localSheetId="48">'300'!$P$182</definedName>
    <definedName name="OSRRefP22_14x_0" localSheetId="49">'300 &amp; 317'!$P$202</definedName>
    <definedName name="OSRRefP22_14x_0" localSheetId="50">'301'!$P$61:$P$63</definedName>
    <definedName name="OSRRefP22_14x_0" localSheetId="66">'310'!$P$70</definedName>
    <definedName name="OSRRefP22_14x_0" localSheetId="74">'310 &amp; 491'!$P$81:$P$82</definedName>
    <definedName name="OSRRefP22_14x_0" localSheetId="71">'325'!$P$67</definedName>
    <definedName name="OSRRefP22_14x_0" localSheetId="60">'326'!$P$89:$P$92</definedName>
    <definedName name="OSRRefP22_14x_0" localSheetId="58">'331'!$P$100:$P$102</definedName>
    <definedName name="OSRRefP22_14x_0" localSheetId="76">'405'!$P$68</definedName>
    <definedName name="OSRRefP22_14x_0" localSheetId="82">'415'!$P$67:$P$72</definedName>
    <definedName name="OSRRefP22_14x_0" localSheetId="75">'491'!$P$77:$P$81</definedName>
    <definedName name="OSRRefP22_14x_0" localSheetId="89">'492'!$P$76</definedName>
    <definedName name="OSRRefP22_14x_0" localSheetId="39">'Div 2'!$P$69:$P$70</definedName>
    <definedName name="OSRRefP22_14x_0" localSheetId="47">'Div 3'!$P$187</definedName>
    <definedName name="OSRRefP22_14x_0" localSheetId="73">'Div 4'!$P$77:$P$78</definedName>
    <definedName name="OSRRefP22_14x_0" localSheetId="2">Summary!$P$215</definedName>
    <definedName name="OSRRefP22_15x_0" localSheetId="48">'300'!$P$184</definedName>
    <definedName name="OSRRefP22_15x_0" localSheetId="49">'300 &amp; 317'!$P$204</definedName>
    <definedName name="OSRRefP22_15x_0" localSheetId="50">'301'!$P$65:$P$67</definedName>
    <definedName name="OSRRefP22_15x_0" localSheetId="66">'310'!$P$72</definedName>
    <definedName name="OSRRefP22_15x_0" localSheetId="74">'310 &amp; 491'!$P$84:$P$85</definedName>
    <definedName name="OSRRefP22_15x_0" localSheetId="71">'325'!$P$69</definedName>
    <definedName name="OSRRefP22_15x_0" localSheetId="60">'326'!$P$94</definedName>
    <definedName name="OSRRefP22_15x_0" localSheetId="58">'331'!$P$104</definedName>
    <definedName name="OSRRefP22_15x_0" localSheetId="76">'405'!$P$70</definedName>
    <definedName name="OSRRefP22_15x_0" localSheetId="82">'415'!$P$74</definedName>
    <definedName name="OSRRefP22_15x_0" localSheetId="75">'491'!$P$83</definedName>
    <definedName name="OSRRefP22_15x_0" localSheetId="89">'492'!$P$78:$P$79</definedName>
    <definedName name="OSRRefP22_15x_0" localSheetId="39">'Div 2'!$P$72</definedName>
    <definedName name="OSRRefP22_15x_0" localSheetId="47">'Div 3'!$P$189</definedName>
    <definedName name="OSRRefP22_15x_0" localSheetId="73">'Div 4'!$P$80:$P$84</definedName>
    <definedName name="OSRRefP22_15x_0" localSheetId="2">Summary!$P$217</definedName>
    <definedName name="OSRRefP22_16x_0" localSheetId="48">'300'!$P$186:$P$188</definedName>
    <definedName name="OSRRefP22_16x_0" localSheetId="49">'300 &amp; 317'!$P$206:$P$208</definedName>
    <definedName name="OSRRefP22_16x_0" localSheetId="50">'301'!$P$69</definedName>
    <definedName name="OSRRefP22_16x_0" localSheetId="66">'310'!$P$74:$P$77</definedName>
    <definedName name="OSRRefP22_16x_0" localSheetId="74">'310 &amp; 491'!$P$87:$P$91</definedName>
    <definedName name="OSRRefP22_16x_0" localSheetId="60">'326'!$P$96</definedName>
    <definedName name="OSRRefP22_16x_0" localSheetId="58">'331'!$P$106:$P$110</definedName>
    <definedName name="OSRRefP22_16x_0" localSheetId="76">'405'!$P$72</definedName>
    <definedName name="OSRRefP22_16x_0" localSheetId="82">'415'!$P$76</definedName>
    <definedName name="OSRRefP22_16x_0" localSheetId="75">'491'!$P$85:$P$92</definedName>
    <definedName name="OSRRefP22_16x_0" localSheetId="39">'Div 2'!$P$74:$P$77</definedName>
    <definedName name="OSRRefP22_16x_0" localSheetId="47">'Div 3'!$P$191</definedName>
    <definedName name="OSRRefP22_16x_0" localSheetId="73">'Div 4'!$P$86</definedName>
    <definedName name="OSRRefP22_16x_0" localSheetId="2">Summary!$P$219</definedName>
    <definedName name="OSRRefP22_17x_0" localSheetId="48">'300'!$P$190:$P$192</definedName>
    <definedName name="OSRRefP22_17x_0" localSheetId="49">'300 &amp; 317'!$P$210:$P$212</definedName>
    <definedName name="OSRRefP22_17x_0" localSheetId="50">'301'!$P$71:$P$75</definedName>
    <definedName name="OSRRefP22_17x_0" localSheetId="66">'310'!$P$79:$P$80</definedName>
    <definedName name="OSRRefP22_17x_0" localSheetId="74">'310 &amp; 491'!$P$93:$P$94</definedName>
    <definedName name="OSRRefP22_17x_0" localSheetId="60">'326'!$P$98</definedName>
    <definedName name="OSRRefP22_17x_0" localSheetId="58">'331'!$P$112</definedName>
    <definedName name="OSRRefP22_17x_0" localSheetId="82">'415'!$P$78</definedName>
    <definedName name="OSRRefP22_17x_0" localSheetId="75">'491'!$P$94</definedName>
    <definedName name="OSRRefP22_17x_0" localSheetId="39">'Div 2'!$P$79:$P$80</definedName>
    <definedName name="OSRRefP22_17x_0" localSheetId="47">'Div 3'!$P$193:$P$195</definedName>
    <definedName name="OSRRefP22_17x_0" localSheetId="73">'Div 4'!$P$88:$P$95</definedName>
    <definedName name="OSRRefP22_17x_0" localSheetId="2">Summary!$P$221</definedName>
    <definedName name="OSRRefP22_18x_0" localSheetId="48">'300'!$P$194:$P$197</definedName>
    <definedName name="OSRRefP22_18x_0" localSheetId="49">'300 &amp; 317'!$P$214:$P$217</definedName>
    <definedName name="OSRRefP22_18x_0" localSheetId="50">'301'!$P$77</definedName>
    <definedName name="OSRRefP22_18x_0" localSheetId="66">'310'!$P$82:$P$86</definedName>
    <definedName name="OSRRefP22_18x_0" localSheetId="74">'310 &amp; 491'!$P$96:$P$103</definedName>
    <definedName name="OSRRefP22_18x_0" localSheetId="58">'331'!$P$114</definedName>
    <definedName name="OSRRefP22_18x_0" localSheetId="75">'491'!$P$96</definedName>
    <definedName name="OSRRefP22_18x_0" localSheetId="39">'Div 2'!$P$82</definedName>
    <definedName name="OSRRefP22_18x_0" localSheetId="47">'Div 3'!$P$197:$P$199</definedName>
    <definedName name="OSRRefP22_18x_0" localSheetId="73">'Div 4'!$P$97</definedName>
    <definedName name="OSRRefP22_18x_0" localSheetId="2">Summary!$P$223:$P$225</definedName>
    <definedName name="OSRRefP22_19x_0" localSheetId="48">'300'!$P$199:$P$200</definedName>
    <definedName name="OSRRefP22_19x_0" localSheetId="49">'300 &amp; 317'!$P$219:$P$220</definedName>
    <definedName name="OSRRefP22_19x_0" localSheetId="50">'301'!$P$79</definedName>
    <definedName name="OSRRefP22_19x_0" localSheetId="66">'310'!$P$88</definedName>
    <definedName name="OSRRefP22_19x_0" localSheetId="74">'310 &amp; 491'!$P$105</definedName>
    <definedName name="OSRRefP22_19x_0" localSheetId="58">'331'!$P$116</definedName>
    <definedName name="OSRRefP22_19x_0" localSheetId="75">'491'!$P$98:$P$100</definedName>
    <definedName name="OSRRefP22_19x_0" localSheetId="39">'Div 2'!$P$84:$P$85</definedName>
    <definedName name="OSRRefP22_19x_0" localSheetId="47">'Div 3'!$P$201:$P$205</definedName>
    <definedName name="OSRRefP22_19x_0" localSheetId="73">'Div 4'!$P$99</definedName>
    <definedName name="OSRRefP22_19x_0" localSheetId="2">Summary!$P$227:$P$229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'203'!$P$30:$P$33</definedName>
    <definedName name="OSRRefP22_1x_0" localSheetId="44">'204'!$P$30:$P$34</definedName>
    <definedName name="OSRRefP22_1x_0" localSheetId="45">'205'!$P$29</definedName>
    <definedName name="OSRRefP22_1x_0" localSheetId="46">'206'!$P$29:$P$32</definedName>
    <definedName name="OSRRefP22_1x_0" localSheetId="48">'300'!$P$147:$P$153</definedName>
    <definedName name="OSRRefP22_1x_0" localSheetId="49">'300 &amp; 317'!$P$167:$P$173</definedName>
    <definedName name="OSRRefP22_1x_0" localSheetId="50">'301'!$P$29:$P$33</definedName>
    <definedName name="OSRRefP22_1x_0" localSheetId="51">'306'!$P$30:$P$34</definedName>
    <definedName name="OSRRefP22_1x_0" localSheetId="53">'307'!$P$63:$P$65</definedName>
    <definedName name="OSRRefP22_1x_0" localSheetId="55">'308'!$P$65:$P$69</definedName>
    <definedName name="OSRRefP22_1x_0" localSheetId="67">'309'!$P$33:$P$37</definedName>
    <definedName name="OSRRefP22_1x_0" localSheetId="66">'310'!$P$39:$P$43</definedName>
    <definedName name="OSRRefP22_1x_0" localSheetId="74">'310 &amp; 491'!$P$47:$P$53</definedName>
    <definedName name="OSRRefP22_1x_0" localSheetId="56">'311'!$P$64:$P$68</definedName>
    <definedName name="OSRRefP22_1x_0" localSheetId="68">'313'!$P$36:$P$39</definedName>
    <definedName name="OSRRefP22_1x_0" localSheetId="54">'314'!$P$57:$P$59</definedName>
    <definedName name="OSRRefP22_1x_0" localSheetId="59">'315'!$P$59:$P$62</definedName>
    <definedName name="OSRRefP22_1x_0" localSheetId="62">'316'!$P$39:$P$42</definedName>
    <definedName name="OSRRefP22_1x_0" localSheetId="65">'317'!$P$57:$P$60</definedName>
    <definedName name="OSRRefP22_1x_0" localSheetId="63">'320'!$P$36:$P$37</definedName>
    <definedName name="OSRRefP22_1x_0" localSheetId="69">'321'!$P$30:$P$33</definedName>
    <definedName name="OSRRefP22_1x_0" localSheetId="70">'322'!$P$33:$P$36</definedName>
    <definedName name="OSRRefP22_1x_0" localSheetId="71">'325'!$P$33:$P$36</definedName>
    <definedName name="OSRRefP22_1x_0" localSheetId="60">'326'!$P$58:$P$61</definedName>
    <definedName name="OSRRefP22_1x_0" localSheetId="52">'330'!$P$77:$P$79</definedName>
    <definedName name="OSRRefP22_1x_0" localSheetId="58">'331'!$P$70:$P$73</definedName>
    <definedName name="OSRRefP22_1x_0" localSheetId="61">'332'!$P$47:$P$50</definedName>
    <definedName name="OSRRefP22_1x_0" localSheetId="76">'405'!$P$33:$P$34</definedName>
    <definedName name="OSRRefP22_1x_0" localSheetId="77">'406'!$P$31:$P$33</definedName>
    <definedName name="OSRRefP22_1x_0" localSheetId="78">'411'!$P$30:$P$35</definedName>
    <definedName name="OSRRefP22_1x_0" localSheetId="79">'412'!$P$32:$P$37</definedName>
    <definedName name="OSRRefP22_1x_0" localSheetId="80">'413'!$P$33:$P$36</definedName>
    <definedName name="OSRRefP22_1x_0" localSheetId="81">'414'!$P$33:$P$36</definedName>
    <definedName name="OSRRefP22_1x_0" localSheetId="82">'415'!$P$33:$P$36</definedName>
    <definedName name="OSRRefP22_1x_0" localSheetId="83">'418'!$P$33:$P$38</definedName>
    <definedName name="OSRRefP22_1x_0" localSheetId="85">'423'!$P$29</definedName>
    <definedName name="OSRRefP22_1x_0" localSheetId="86">'424'!$P$27</definedName>
    <definedName name="OSRRefP22_1x_0" localSheetId="87">'425'!$P$33:$P$37</definedName>
    <definedName name="OSRRefP22_1x_0" localSheetId="90">'430'!$P$29</definedName>
    <definedName name="OSRRefP22_1x_0" localSheetId="91">'433'!$P$35:$P$40</definedName>
    <definedName name="OSRRefP22_1x_0" localSheetId="92">'435'!$P$23</definedName>
    <definedName name="OSRRefP22_1x_0" localSheetId="93">'444'!$P$35:$P$40</definedName>
    <definedName name="OSRRefP22_1x_0" localSheetId="95">'450'!$P$34:$P$39</definedName>
    <definedName name="OSRRefP22_1x_0" localSheetId="88">'455'!$P$28:$P$29</definedName>
    <definedName name="OSRRefP22_1x_0" localSheetId="75">'491'!$P$41:$P$47</definedName>
    <definedName name="OSRRefP22_1x_0" localSheetId="89">'492'!$P$35:$P$41</definedName>
    <definedName name="OSRRefP22_1x_0" localSheetId="97">'501'!$P$30:$P$35</definedName>
    <definedName name="OSRRefP22_1x_0" localSheetId="39">'Div 2'!$P$31:$P$37</definedName>
    <definedName name="OSRRefP22_1x_0" localSheetId="47">'Div 3'!$P$152:$P$158</definedName>
    <definedName name="OSRRefP22_1x_0" localSheetId="73">'Div 4'!$P$42:$P$48</definedName>
    <definedName name="OSRRefP22_1x_0" localSheetId="96">'Div 5'!$P$30:$P$35</definedName>
    <definedName name="OSRRefP22_1x_0" localSheetId="64">'Div 6'!$P$57:$P$60</definedName>
    <definedName name="OSRRefP22_1x_0" localSheetId="2">Summary!$P$179:$P$185</definedName>
    <definedName name="OSRRefP22_20x_0" localSheetId="48">'300'!$P$202:$P$207</definedName>
    <definedName name="OSRRefP22_20x_0" localSheetId="49">'300 &amp; 317'!$P$222:$P$227</definedName>
    <definedName name="OSRRefP22_20x_0" localSheetId="50">'301'!$P$81:$P$82</definedName>
    <definedName name="OSRRefP22_20x_0" localSheetId="66">'310'!$P$90</definedName>
    <definedName name="OSRRefP22_20x_0" localSheetId="74">'310 &amp; 491'!$P$107</definedName>
    <definedName name="OSRRefP22_20x_0" localSheetId="58">'331'!$P$118</definedName>
    <definedName name="OSRRefP22_20x_0" localSheetId="75">'491'!$P$102</definedName>
    <definedName name="OSRRefP22_20x_0" localSheetId="47">'Div 3'!$P$207:$P$208</definedName>
    <definedName name="OSRRefP22_20x_0" localSheetId="73">'Div 4'!$P$101:$P$103</definedName>
    <definedName name="OSRRefP22_20x_0" localSheetId="2">Summary!$P$231:$P$235</definedName>
    <definedName name="OSRRefP22_21x_0" localSheetId="48">'300'!$P$209:$P$210</definedName>
    <definedName name="OSRRefP22_21x_0" localSheetId="49">'300 &amp; 317'!$P$229:$P$230</definedName>
    <definedName name="OSRRefP22_21x_0" localSheetId="50">'301'!$P$84</definedName>
    <definedName name="OSRRefP22_21x_0" localSheetId="66">'310'!$P$92</definedName>
    <definedName name="OSRRefP22_21x_0" localSheetId="74">'310 &amp; 491'!$P$109:$P$111</definedName>
    <definedName name="OSRRefP22_21x_0" localSheetId="47">'Div 3'!$P$210:$P$215</definedName>
    <definedName name="OSRRefP22_21x_0" localSheetId="73">'Div 4'!$P$105</definedName>
    <definedName name="OSRRefP22_21x_0" localSheetId="2">Summary!$P$237:$P$238</definedName>
    <definedName name="OSRRefP22_22x_0" localSheetId="48">'300'!$P$212</definedName>
    <definedName name="OSRRefP22_22x_0" localSheetId="49">'300 &amp; 317'!$P$232</definedName>
    <definedName name="OSRRefP22_22x_0" localSheetId="74">'310 &amp; 491'!$P$113</definedName>
    <definedName name="OSRRefP22_22x_0" localSheetId="47">'Div 3'!$P$217:$P$218</definedName>
    <definedName name="OSRRefP22_22x_0" localSheetId="2">Summary!$P$240:$P$247</definedName>
    <definedName name="OSRRefP22_23x_0" localSheetId="48">'300'!$P$214:$P$216</definedName>
    <definedName name="OSRRefP22_23x_0" localSheetId="49">'300 &amp; 317'!$P$234:$P$236</definedName>
    <definedName name="OSRRefP22_23x_0" localSheetId="47">'Div 3'!$P$220</definedName>
    <definedName name="OSRRefP22_23x_0" localSheetId="2">Summary!$P$249:$P$250</definedName>
    <definedName name="OSRRefP22_24x_0" localSheetId="48">'300'!$P$218</definedName>
    <definedName name="OSRRefP22_24x_0" localSheetId="49">'300 &amp; 317'!$P$238</definedName>
    <definedName name="OSRRefP22_24x_0" localSheetId="47">'Div 3'!$P$222:$P$224</definedName>
    <definedName name="OSRRefP22_24x_0" localSheetId="2">Summary!$P$252</definedName>
    <definedName name="OSRRefP22_25x_0" localSheetId="47">'Div 3'!$P$226</definedName>
    <definedName name="OSRRefP22_25x_0" localSheetId="2">Summary!$P$254:$P$256</definedName>
    <definedName name="OSRRefP22_26x_0" localSheetId="2">Summary!$P$258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'203'!$P$35</definedName>
    <definedName name="OSRRefP22_2x_0" localSheetId="44">'204'!$P$36</definedName>
    <definedName name="OSRRefP22_2x_0" localSheetId="45">'205'!$P$31</definedName>
    <definedName name="OSRRefP22_2x_0" localSheetId="46">'206'!$P$34</definedName>
    <definedName name="OSRRefP22_2x_0" localSheetId="48">'300'!$P$155</definedName>
    <definedName name="OSRRefP22_2x_0" localSheetId="49">'300 &amp; 317'!$P$175</definedName>
    <definedName name="OSRRefP22_2x_0" localSheetId="50">'301'!$P$35</definedName>
    <definedName name="OSRRefP22_2x_0" localSheetId="51">'306'!$P$36</definedName>
    <definedName name="OSRRefP22_2x_0" localSheetId="53">'307'!$P$67</definedName>
    <definedName name="OSRRefP22_2x_0" localSheetId="55">'308'!$P$71</definedName>
    <definedName name="OSRRefP22_2x_0" localSheetId="67">'309'!$P$39</definedName>
    <definedName name="OSRRefP22_2x_0" localSheetId="66">'310'!$P$45</definedName>
    <definedName name="OSRRefP22_2x_0" localSheetId="74">'310 &amp; 491'!$P$55</definedName>
    <definedName name="OSRRefP22_2x_0" localSheetId="56">'311'!$P$70</definedName>
    <definedName name="OSRRefP22_2x_0" localSheetId="68">'313'!$P$41</definedName>
    <definedName name="OSRRefP22_2x_0" localSheetId="54">'314'!$P$61</definedName>
    <definedName name="OSRRefP22_2x_0" localSheetId="59">'315'!$P$64</definedName>
    <definedName name="OSRRefP22_2x_0" localSheetId="62">'316'!$P$44</definedName>
    <definedName name="OSRRefP22_2x_0" localSheetId="65">'317'!$P$62</definedName>
    <definedName name="OSRRefP22_2x_0" localSheetId="63">'320'!$P$39</definedName>
    <definedName name="OSRRefP22_2x_0" localSheetId="69">'321'!$P$35</definedName>
    <definedName name="OSRRefP22_2x_0" localSheetId="70">'322'!$P$38</definedName>
    <definedName name="OSRRefP22_2x_0" localSheetId="71">'325'!$P$38</definedName>
    <definedName name="OSRRefP22_2x_0" localSheetId="60">'326'!$P$63</definedName>
    <definedName name="OSRRefP22_2x_0" localSheetId="52">'330'!$P$81</definedName>
    <definedName name="OSRRefP22_2x_0" localSheetId="58">'331'!$P$75</definedName>
    <definedName name="OSRRefP22_2x_0" localSheetId="61">'332'!$P$52</definedName>
    <definedName name="OSRRefP22_2x_0" localSheetId="76">'405'!$P$36</definedName>
    <definedName name="OSRRefP22_2x_0" localSheetId="77">'406'!$P$35</definedName>
    <definedName name="OSRRefP22_2x_0" localSheetId="78">'411'!$P$37</definedName>
    <definedName name="OSRRefP22_2x_0" localSheetId="79">'412'!$P$39</definedName>
    <definedName name="OSRRefP22_2x_0" localSheetId="80">'413'!$P$38</definedName>
    <definedName name="OSRRefP22_2x_0" localSheetId="81">'414'!$P$38</definedName>
    <definedName name="OSRRefP22_2x_0" localSheetId="82">'415'!$P$38</definedName>
    <definedName name="OSRRefP22_2x_0" localSheetId="83">'418'!$P$40</definedName>
    <definedName name="OSRRefP22_2x_0" localSheetId="85">'423'!$P$31</definedName>
    <definedName name="OSRRefP22_2x_0" localSheetId="86">'424'!$P$29</definedName>
    <definedName name="OSRRefP22_2x_0" localSheetId="87">'425'!$P$39</definedName>
    <definedName name="OSRRefP22_2x_0" localSheetId="90">'430'!$P$31</definedName>
    <definedName name="OSRRefP22_2x_0" localSheetId="91">'433'!$P$42</definedName>
    <definedName name="OSRRefP22_2x_0" localSheetId="92">'435'!$P$25</definedName>
    <definedName name="OSRRefP22_2x_0" localSheetId="93">'444'!$P$42</definedName>
    <definedName name="OSRRefP22_2x_0" localSheetId="95">'450'!$P$41</definedName>
    <definedName name="OSRRefP22_2x_0" localSheetId="75">'491'!$P$49</definedName>
    <definedName name="OSRRefP22_2x_0" localSheetId="89">'492'!$P$43</definedName>
    <definedName name="OSRRefP22_2x_0" localSheetId="97">'501'!$P$37</definedName>
    <definedName name="OSRRefP22_2x_0" localSheetId="39">'Div 2'!$P$39</definedName>
    <definedName name="OSRRefP22_2x_0" localSheetId="47">'Div 3'!$P$160</definedName>
    <definedName name="OSRRefP22_2x_0" localSheetId="73">'Div 4'!$P$50</definedName>
    <definedName name="OSRRefP22_2x_0" localSheetId="96">'Div 5'!$P$37</definedName>
    <definedName name="OSRRefP22_2x_0" localSheetId="64">'Div 6'!$P$62</definedName>
    <definedName name="OSRRefP22_2x_0" localSheetId="2">Summary!$P$187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'203'!$P$37</definedName>
    <definedName name="OSRRefP22_3x_0" localSheetId="44">'204'!$P$38:$P$39</definedName>
    <definedName name="OSRRefP22_3x_0" localSheetId="45">'205'!$P$33</definedName>
    <definedName name="OSRRefP22_3x_0" localSheetId="46">'206'!$P$36</definedName>
    <definedName name="OSRRefP22_3x_0" localSheetId="48">'300'!$P$157</definedName>
    <definedName name="OSRRefP22_3x_0" localSheetId="49">'300 &amp; 317'!$P$177</definedName>
    <definedName name="OSRRefP22_3x_0" localSheetId="50">'301'!$P$37</definedName>
    <definedName name="OSRRefP22_3x_0" localSheetId="51">'306'!$P$38</definedName>
    <definedName name="OSRRefP22_3x_0" localSheetId="53">'307'!$P$69</definedName>
    <definedName name="OSRRefP22_3x_0" localSheetId="55">'308'!$P$73:$P$74</definedName>
    <definedName name="OSRRefP22_3x_0" localSheetId="67">'309'!$P$41</definedName>
    <definedName name="OSRRefP22_3x_0" localSheetId="66">'310'!$P$47</definedName>
    <definedName name="OSRRefP22_3x_0" localSheetId="74">'310 &amp; 491'!$P$57</definedName>
    <definedName name="OSRRefP22_3x_0" localSheetId="56">'311'!$P$72:$P$73</definedName>
    <definedName name="OSRRefP22_3x_0" localSheetId="68">'313'!$P$43</definedName>
    <definedName name="OSRRefP22_3x_0" localSheetId="54">'314'!$P$63</definedName>
    <definedName name="OSRRefP22_3x_0" localSheetId="59">'315'!$P$66</definedName>
    <definedName name="OSRRefP22_3x_0" localSheetId="62">'316'!$P$46</definedName>
    <definedName name="OSRRefP22_3x_0" localSheetId="65">'317'!$P$64</definedName>
    <definedName name="OSRRefP22_3x_0" localSheetId="63">'320'!$P$41:$P$42</definedName>
    <definedName name="OSRRefP22_3x_0" localSheetId="69">'321'!$P$37</definedName>
    <definedName name="OSRRefP22_3x_0" localSheetId="70">'322'!$P$40</definedName>
    <definedName name="OSRRefP22_3x_0" localSheetId="71">'325'!$P$40</definedName>
    <definedName name="OSRRefP22_3x_0" localSheetId="60">'326'!$P$65</definedName>
    <definedName name="OSRRefP22_3x_0" localSheetId="52">'330'!$P$83</definedName>
    <definedName name="OSRRefP22_3x_0" localSheetId="58">'331'!$P$77</definedName>
    <definedName name="OSRRefP22_3x_0" localSheetId="61">'332'!$P$54</definedName>
    <definedName name="OSRRefP22_3x_0" localSheetId="76">'405'!$P$38</definedName>
    <definedName name="OSRRefP22_3x_0" localSheetId="77">'406'!$P$37</definedName>
    <definedName name="OSRRefP22_3x_0" localSheetId="78">'411'!$P$39:$P$41</definedName>
    <definedName name="OSRRefP22_3x_0" localSheetId="79">'412'!$P$41</definedName>
    <definedName name="OSRRefP22_3x_0" localSheetId="80">'413'!$P$40</definedName>
    <definedName name="OSRRefP22_3x_0" localSheetId="81">'414'!$P$40</definedName>
    <definedName name="OSRRefP22_3x_0" localSheetId="82">'415'!$P$40</definedName>
    <definedName name="OSRRefP22_3x_0" localSheetId="83">'418'!$P$42</definedName>
    <definedName name="OSRRefP22_3x_0" localSheetId="85">'423'!$P$33</definedName>
    <definedName name="OSRRefP22_3x_0" localSheetId="86">'424'!$P$31</definedName>
    <definedName name="OSRRefP22_3x_0" localSheetId="87">'425'!$P$41</definedName>
    <definedName name="OSRRefP22_3x_0" localSheetId="90">'430'!$P$33</definedName>
    <definedName name="OSRRefP22_3x_0" localSheetId="91">'433'!$P$44</definedName>
    <definedName name="OSRRefP22_3x_0" localSheetId="92">'435'!$P$27</definedName>
    <definedName name="OSRRefP22_3x_0" localSheetId="93">'444'!$P$44</definedName>
    <definedName name="OSRRefP22_3x_0" localSheetId="95">'450'!$P$43</definedName>
    <definedName name="OSRRefP22_3x_0" localSheetId="75">'491'!$P$51</definedName>
    <definedName name="OSRRefP22_3x_0" localSheetId="89">'492'!$P$45</definedName>
    <definedName name="OSRRefP22_3x_0" localSheetId="97">'501'!$P$39</definedName>
    <definedName name="OSRRefP22_3x_0" localSheetId="39">'Div 2'!$P$41</definedName>
    <definedName name="OSRRefP22_3x_0" localSheetId="47">'Div 3'!$P$162</definedName>
    <definedName name="OSRRefP22_3x_0" localSheetId="73">'Div 4'!$P$52</definedName>
    <definedName name="OSRRefP22_3x_0" localSheetId="96">'Div 5'!$P$39</definedName>
    <definedName name="OSRRefP22_3x_0" localSheetId="64">'Div 6'!$P$64</definedName>
    <definedName name="OSRRefP22_3x_0" localSheetId="2">Summary!$P$189</definedName>
    <definedName name="OSRRefP22_4x_0" localSheetId="41">'201'!$P$37</definedName>
    <definedName name="OSRRefP22_4x_0" localSheetId="42">'202'!$P$38</definedName>
    <definedName name="OSRRefP22_4x_0" localSheetId="43">'203'!$P$39</definedName>
    <definedName name="OSRRefP22_4x_0" localSheetId="44">'204'!$P$41</definedName>
    <definedName name="OSRRefP22_4x_0" localSheetId="45">'205'!$P$35</definedName>
    <definedName name="OSRRefP22_4x_0" localSheetId="46">'206'!$P$38:$P$39</definedName>
    <definedName name="OSRRefP22_4x_0" localSheetId="48">'300'!$P$159</definedName>
    <definedName name="OSRRefP22_4x_0" localSheetId="49">'300 &amp; 317'!$P$179</definedName>
    <definedName name="OSRRefP22_4x_0" localSheetId="50">'301'!$P$39</definedName>
    <definedName name="OSRRefP22_4x_0" localSheetId="51">'306'!$P$40</definedName>
    <definedName name="OSRRefP22_4x_0" localSheetId="53">'307'!$P$71</definedName>
    <definedName name="OSRRefP22_4x_0" localSheetId="55">'308'!$P$76</definedName>
    <definedName name="OSRRefP22_4x_0" localSheetId="67">'309'!$P$43</definedName>
    <definedName name="OSRRefP22_4x_0" localSheetId="66">'310'!$P$49</definedName>
    <definedName name="OSRRefP22_4x_0" localSheetId="74">'310 &amp; 491'!$P$59</definedName>
    <definedName name="OSRRefP22_4x_0" localSheetId="56">'311'!$P$75</definedName>
    <definedName name="OSRRefP22_4x_0" localSheetId="68">'313'!$P$45</definedName>
    <definedName name="OSRRefP22_4x_0" localSheetId="54">'314'!$P$65</definedName>
    <definedName name="OSRRefP22_4x_0" localSheetId="59">'315'!$P$68</definedName>
    <definedName name="OSRRefP22_4x_0" localSheetId="62">'316'!$P$48</definedName>
    <definedName name="OSRRefP22_4x_0" localSheetId="65">'317'!$P$66</definedName>
    <definedName name="OSRRefP22_4x_0" localSheetId="63">'320'!$P$44</definedName>
    <definedName name="OSRRefP22_4x_0" localSheetId="69">'321'!$P$39</definedName>
    <definedName name="OSRRefP22_4x_0" localSheetId="70">'322'!$P$42</definedName>
    <definedName name="OSRRefP22_4x_0" localSheetId="71">'325'!$P$42</definedName>
    <definedName name="OSRRefP22_4x_0" localSheetId="60">'326'!$P$67</definedName>
    <definedName name="OSRRefP22_4x_0" localSheetId="52">'330'!$P$85</definedName>
    <definedName name="OSRRefP22_4x_0" localSheetId="58">'331'!$P$79</definedName>
    <definedName name="OSRRefP22_4x_0" localSheetId="61">'332'!$P$56</definedName>
    <definedName name="OSRRefP22_4x_0" localSheetId="76">'405'!$P$40</definedName>
    <definedName name="OSRRefP22_4x_0" localSheetId="77">'406'!$P$39</definedName>
    <definedName name="OSRRefP22_4x_0" localSheetId="78">'411'!$P$43</definedName>
    <definedName name="OSRRefP22_4x_0" localSheetId="79">'412'!$P$43</definedName>
    <definedName name="OSRRefP22_4x_0" localSheetId="80">'413'!$P$42</definedName>
    <definedName name="OSRRefP22_4x_0" localSheetId="81">'414'!$P$42</definedName>
    <definedName name="OSRRefP22_4x_0" localSheetId="82">'415'!$P$42</definedName>
    <definedName name="OSRRefP22_4x_0" localSheetId="83">'418'!$P$44</definedName>
    <definedName name="OSRRefP22_4x_0" localSheetId="85">'423'!$P$35</definedName>
    <definedName name="OSRRefP22_4x_0" localSheetId="86">'424'!$P$33</definedName>
    <definedName name="OSRRefP22_4x_0" localSheetId="87">'425'!$P$43</definedName>
    <definedName name="OSRRefP22_4x_0" localSheetId="90">'430'!$P$35:$P$36</definedName>
    <definedName name="OSRRefP22_4x_0" localSheetId="91">'433'!$P$46</definedName>
    <definedName name="OSRRefP22_4x_0" localSheetId="93">'444'!$P$46</definedName>
    <definedName name="OSRRefP22_4x_0" localSheetId="95">'450'!$P$45</definedName>
    <definedName name="OSRRefP22_4x_0" localSheetId="75">'491'!$P$53</definedName>
    <definedName name="OSRRefP22_4x_0" localSheetId="89">'492'!$P$47</definedName>
    <definedName name="OSRRefP22_4x_0" localSheetId="97">'501'!$P$41</definedName>
    <definedName name="OSRRefP22_4x_0" localSheetId="39">'Div 2'!$P$43</definedName>
    <definedName name="OSRRefP22_4x_0" localSheetId="47">'Div 3'!$P$164</definedName>
    <definedName name="OSRRefP22_4x_0" localSheetId="73">'Div 4'!$P$54</definedName>
    <definedName name="OSRRefP22_4x_0" localSheetId="96">'Div 5'!$P$41</definedName>
    <definedName name="OSRRefP22_4x_0" localSheetId="64">'Div 6'!$P$66</definedName>
    <definedName name="OSRRefP22_4x_0" localSheetId="2">Summary!$P$191</definedName>
    <definedName name="OSRRefP22_5x_0" localSheetId="41">'201'!$P$39</definedName>
    <definedName name="OSRRefP22_5x_0" localSheetId="42">'202'!$P$40</definedName>
    <definedName name="OSRRefP22_5x_0" localSheetId="43">'203'!$P$41</definedName>
    <definedName name="OSRRefP22_5x_0" localSheetId="44">'204'!$P$43</definedName>
    <definedName name="OSRRefP22_5x_0" localSheetId="45">'205'!$P$37</definedName>
    <definedName name="OSRRefP22_5x_0" localSheetId="46">'206'!$P$41</definedName>
    <definedName name="OSRRefP22_5x_0" localSheetId="48">'300'!$P$161:$P$162</definedName>
    <definedName name="OSRRefP22_5x_0" localSheetId="49">'300 &amp; 317'!$P$181:$P$182</definedName>
    <definedName name="OSRRefP22_5x_0" localSheetId="50">'301'!$P$41:$P$42</definedName>
    <definedName name="OSRRefP22_5x_0" localSheetId="51">'306'!$P$42:$P$43</definedName>
    <definedName name="OSRRefP22_5x_0" localSheetId="53">'307'!$P$73</definedName>
    <definedName name="OSRRefP22_5x_0" localSheetId="55">'308'!$P$78</definedName>
    <definedName name="OSRRefP22_5x_0" localSheetId="67">'309'!$P$45</definedName>
    <definedName name="OSRRefP22_5x_0" localSheetId="66">'310'!$P$51:$P$52</definedName>
    <definedName name="OSRRefP22_5x_0" localSheetId="74">'310 &amp; 491'!$P$61:$P$63</definedName>
    <definedName name="OSRRefP22_5x_0" localSheetId="56">'311'!$P$77</definedName>
    <definedName name="OSRRefP22_5x_0" localSheetId="68">'313'!$P$47</definedName>
    <definedName name="OSRRefP22_5x_0" localSheetId="59">'315'!$P$70</definedName>
    <definedName name="OSRRefP22_5x_0" localSheetId="62">'316'!$P$50</definedName>
    <definedName name="OSRRefP22_5x_0" localSheetId="65">'317'!$P$68</definedName>
    <definedName name="OSRRefP22_5x_0" localSheetId="63">'320'!$P$46:$P$47</definedName>
    <definedName name="OSRRefP22_5x_0" localSheetId="69">'321'!$P$41</definedName>
    <definedName name="OSRRefP22_5x_0" localSheetId="70">'322'!$P$44</definedName>
    <definedName name="OSRRefP22_5x_0" localSheetId="71">'325'!$P$44:$P$45</definedName>
    <definedName name="OSRRefP22_5x_0" localSheetId="60">'326'!$P$69</definedName>
    <definedName name="OSRRefP22_5x_0" localSheetId="52">'330'!$P$87</definedName>
    <definedName name="OSRRefP22_5x_0" localSheetId="58">'331'!$P$81</definedName>
    <definedName name="OSRRefP22_5x_0" localSheetId="61">'332'!$P$58:$P$59</definedName>
    <definedName name="OSRRefP22_5x_0" localSheetId="76">'405'!$P$42:$P$43</definedName>
    <definedName name="OSRRefP22_5x_0" localSheetId="77">'406'!$P$41</definedName>
    <definedName name="OSRRefP22_5x_0" localSheetId="78">'411'!$P$45</definedName>
    <definedName name="OSRRefP22_5x_0" localSheetId="79">'412'!$P$45</definedName>
    <definedName name="OSRRefP22_5x_0" localSheetId="80">'413'!$P$44</definedName>
    <definedName name="OSRRefP22_5x_0" localSheetId="81">'414'!$P$44</definedName>
    <definedName name="OSRRefP22_5x_0" localSheetId="82">'415'!$P$44:$P$45</definedName>
    <definedName name="OSRRefP22_5x_0" localSheetId="83">'418'!$P$46:$P$47</definedName>
    <definedName name="OSRRefP22_5x_0" localSheetId="85">'423'!$P$37</definedName>
    <definedName name="OSRRefP22_5x_0" localSheetId="86">'424'!$P$35</definedName>
    <definedName name="OSRRefP22_5x_0" localSheetId="87">'425'!$P$45</definedName>
    <definedName name="OSRRefP22_5x_0" localSheetId="90">'430'!$P$38</definedName>
    <definedName name="OSRRefP22_5x_0" localSheetId="91">'433'!$P$48</definedName>
    <definedName name="OSRRefP22_5x_0" localSheetId="93">'444'!$P$48</definedName>
    <definedName name="OSRRefP22_5x_0" localSheetId="95">'450'!$P$47</definedName>
    <definedName name="OSRRefP22_5x_0" localSheetId="75">'491'!$P$55:$P$57</definedName>
    <definedName name="OSRRefP22_5x_0" localSheetId="89">'492'!$P$49</definedName>
    <definedName name="OSRRefP22_5x_0" localSheetId="97">'501'!$P$43</definedName>
    <definedName name="OSRRefP22_5x_0" localSheetId="39">'Div 2'!$P$45:$P$46</definedName>
    <definedName name="OSRRefP22_5x_0" localSheetId="47">'Div 3'!$P$166:$P$167</definedName>
    <definedName name="OSRRefP22_5x_0" localSheetId="73">'Div 4'!$P$56:$P$58</definedName>
    <definedName name="OSRRefP22_5x_0" localSheetId="96">'Div 5'!$P$43</definedName>
    <definedName name="OSRRefP22_5x_0" localSheetId="64">'Div 6'!$P$68</definedName>
    <definedName name="OSRRefP22_5x_0" localSheetId="2">Summary!$P$193:$P$195</definedName>
    <definedName name="OSRRefP22_6x_0" localSheetId="41">'201'!$P$41</definedName>
    <definedName name="OSRRefP22_6x_0" localSheetId="42">'202'!$P$42</definedName>
    <definedName name="OSRRefP22_6x_0" localSheetId="43">'203'!$P$43</definedName>
    <definedName name="OSRRefP22_6x_0" localSheetId="44">'204'!$P$45:$P$47</definedName>
    <definedName name="OSRRefP22_6x_0" localSheetId="45">'205'!$P$39:$P$40</definedName>
    <definedName name="OSRRefP22_6x_0" localSheetId="46">'206'!$P$43</definedName>
    <definedName name="OSRRefP22_6x_0" localSheetId="48">'300'!$P$164:$P$165</definedName>
    <definedName name="OSRRefP22_6x_0" localSheetId="49">'300 &amp; 317'!$P$184:$P$185</definedName>
    <definedName name="OSRRefP22_6x_0" localSheetId="50">'301'!$P$44:$P$45</definedName>
    <definedName name="OSRRefP22_6x_0" localSheetId="51">'306'!$P$45</definedName>
    <definedName name="OSRRefP22_6x_0" localSheetId="53">'307'!$P$75</definedName>
    <definedName name="OSRRefP22_6x_0" localSheetId="55">'308'!$P$80</definedName>
    <definedName name="OSRRefP22_6x_0" localSheetId="67">'309'!$P$47</definedName>
    <definedName name="OSRRefP22_6x_0" localSheetId="66">'310'!$P$54</definedName>
    <definedName name="OSRRefP22_6x_0" localSheetId="74">'310 &amp; 491'!$P$65</definedName>
    <definedName name="OSRRefP22_6x_0" localSheetId="56">'311'!$P$79</definedName>
    <definedName name="OSRRefP22_6x_0" localSheetId="68">'313'!$P$49</definedName>
    <definedName name="OSRRefP22_6x_0" localSheetId="59">'315'!$P$72</definedName>
    <definedName name="OSRRefP22_6x_0" localSheetId="62">'316'!$P$52</definedName>
    <definedName name="OSRRefP22_6x_0" localSheetId="65">'317'!$P$70</definedName>
    <definedName name="OSRRefP22_6x_0" localSheetId="63">'320'!$P$49</definedName>
    <definedName name="OSRRefP22_6x_0" localSheetId="69">'321'!$P$43</definedName>
    <definedName name="OSRRefP22_6x_0" localSheetId="70">'322'!$P$46</definedName>
    <definedName name="OSRRefP22_6x_0" localSheetId="71">'325'!$P$47</definedName>
    <definedName name="OSRRefP22_6x_0" localSheetId="60">'326'!$P$71</definedName>
    <definedName name="OSRRefP22_6x_0" localSheetId="52">'330'!$P$89</definedName>
    <definedName name="OSRRefP22_6x_0" localSheetId="58">'331'!$P$83</definedName>
    <definedName name="OSRRefP22_6x_0" localSheetId="61">'332'!$P$61</definedName>
    <definedName name="OSRRefP22_6x_0" localSheetId="76">'405'!$P$45</definedName>
    <definedName name="OSRRefP22_6x_0" localSheetId="77">'406'!$P$43:$P$45</definedName>
    <definedName name="OSRRefP22_6x_0" localSheetId="78">'411'!$P$47</definedName>
    <definedName name="OSRRefP22_6x_0" localSheetId="79">'412'!$P$47</definedName>
    <definedName name="OSRRefP22_6x_0" localSheetId="80">'413'!$P$46</definedName>
    <definedName name="OSRRefP22_6x_0" localSheetId="81">'414'!$P$46</definedName>
    <definedName name="OSRRefP22_6x_0" localSheetId="82">'415'!$P$47</definedName>
    <definedName name="OSRRefP22_6x_0" localSheetId="83">'418'!$P$49</definedName>
    <definedName name="OSRRefP22_6x_0" localSheetId="86">'424'!$P$37</definedName>
    <definedName name="OSRRefP22_6x_0" localSheetId="87">'425'!$P$47</definedName>
    <definedName name="OSRRefP22_6x_0" localSheetId="90">'430'!$P$40</definedName>
    <definedName name="OSRRefP22_6x_0" localSheetId="91">'433'!$P$50</definedName>
    <definedName name="OSRRefP22_6x_0" localSheetId="93">'444'!$P$50</definedName>
    <definedName name="OSRRefP22_6x_0" localSheetId="95">'450'!$P$49</definedName>
    <definedName name="OSRRefP22_6x_0" localSheetId="75">'491'!$P$59</definedName>
    <definedName name="OSRRefP22_6x_0" localSheetId="89">'492'!$P$51</definedName>
    <definedName name="OSRRefP22_6x_0" localSheetId="97">'501'!$P$45</definedName>
    <definedName name="OSRRefP22_6x_0" localSheetId="39">'Div 2'!$P$48</definedName>
    <definedName name="OSRRefP22_6x_0" localSheetId="47">'Div 3'!$P$169:$P$170</definedName>
    <definedName name="OSRRefP22_6x_0" localSheetId="73">'Div 4'!$P$60</definedName>
    <definedName name="OSRRefP22_6x_0" localSheetId="96">'Div 5'!$P$45</definedName>
    <definedName name="OSRRefP22_6x_0" localSheetId="64">'Div 6'!$P$70</definedName>
    <definedName name="OSRRefP22_6x_0" localSheetId="2">Summary!$P$197:$P$198</definedName>
    <definedName name="OSRRefP22_7x_0" localSheetId="41">'201'!$P$43</definedName>
    <definedName name="OSRRefP22_7x_0" localSheetId="42">'202'!$P$44</definedName>
    <definedName name="OSRRefP22_7x_0" localSheetId="43">'203'!$P$45</definedName>
    <definedName name="OSRRefP22_7x_0" localSheetId="44">'204'!$P$49:$P$50</definedName>
    <definedName name="OSRRefP22_7x_0" localSheetId="45">'205'!$P$42</definedName>
    <definedName name="OSRRefP22_7x_0" localSheetId="48">'300'!$P$167</definedName>
    <definedName name="OSRRefP22_7x_0" localSheetId="49">'300 &amp; 317'!$P$187</definedName>
    <definedName name="OSRRefP22_7x_0" localSheetId="50">'301'!$P$47</definedName>
    <definedName name="OSRRefP22_7x_0" localSheetId="51">'306'!$P$47</definedName>
    <definedName name="OSRRefP22_7x_0" localSheetId="53">'307'!$P$77:$P$78</definedName>
    <definedName name="OSRRefP22_7x_0" localSheetId="55">'308'!$P$82</definedName>
    <definedName name="OSRRefP22_7x_0" localSheetId="67">'309'!$P$49</definedName>
    <definedName name="OSRRefP22_7x_0" localSheetId="66">'310'!$P$56</definedName>
    <definedName name="OSRRefP22_7x_0" localSheetId="74">'310 &amp; 491'!$P$67</definedName>
    <definedName name="OSRRefP22_7x_0" localSheetId="56">'311'!$P$81</definedName>
    <definedName name="OSRRefP22_7x_0" localSheetId="68">'313'!$P$51</definedName>
    <definedName name="OSRRefP22_7x_0" localSheetId="59">'315'!$P$74:$P$75</definedName>
    <definedName name="OSRRefP22_7x_0" localSheetId="62">'316'!$P$54:$P$57</definedName>
    <definedName name="OSRRefP22_7x_0" localSheetId="65">'317'!$P$72</definedName>
    <definedName name="OSRRefP22_7x_0" localSheetId="69">'321'!$P$45</definedName>
    <definedName name="OSRRefP22_7x_0" localSheetId="70">'322'!$P$48</definedName>
    <definedName name="OSRRefP22_7x_0" localSheetId="71">'325'!$P$49</definedName>
    <definedName name="OSRRefP22_7x_0" localSheetId="60">'326'!$P$73</definedName>
    <definedName name="OSRRefP22_7x_0" localSheetId="52">'330'!$P$91:$P$92</definedName>
    <definedName name="OSRRefP22_7x_0" localSheetId="58">'331'!$P$85</definedName>
    <definedName name="OSRRefP22_7x_0" localSheetId="61">'332'!$P$63</definedName>
    <definedName name="OSRRefP22_7x_0" localSheetId="76">'405'!$P$47</definedName>
    <definedName name="OSRRefP22_7x_0" localSheetId="77">'406'!$P$47</definedName>
    <definedName name="OSRRefP22_7x_0" localSheetId="78">'411'!$P$49:$P$50</definedName>
    <definedName name="OSRRefP22_7x_0" localSheetId="79">'412'!$P$49</definedName>
    <definedName name="OSRRefP22_7x_0" localSheetId="80">'413'!$P$48</definedName>
    <definedName name="OSRRefP22_7x_0" localSheetId="81">'414'!$P$48</definedName>
    <definedName name="OSRRefP22_7x_0" localSheetId="82">'415'!$P$49</definedName>
    <definedName name="OSRRefP22_7x_0" localSheetId="83">'418'!$P$51</definedName>
    <definedName name="OSRRefP22_7x_0" localSheetId="86">'424'!$P$39</definedName>
    <definedName name="OSRRefP22_7x_0" localSheetId="87">'425'!$P$49</definedName>
    <definedName name="OSRRefP22_7x_0" localSheetId="90">'430'!$P$42</definedName>
    <definedName name="OSRRefP22_7x_0" localSheetId="91">'433'!$P$52</definedName>
    <definedName name="OSRRefP22_7x_0" localSheetId="93">'444'!$P$52</definedName>
    <definedName name="OSRRefP22_7x_0" localSheetId="95">'450'!$P$51</definedName>
    <definedName name="OSRRefP22_7x_0" localSheetId="75">'491'!$P$61</definedName>
    <definedName name="OSRRefP22_7x_0" localSheetId="89">'492'!$P$53</definedName>
    <definedName name="OSRRefP22_7x_0" localSheetId="97">'501'!$P$47</definedName>
    <definedName name="OSRRefP22_7x_0" localSheetId="39">'Div 2'!$P$50</definedName>
    <definedName name="OSRRefP22_7x_0" localSheetId="47">'Div 3'!$P$172</definedName>
    <definedName name="OSRRefP22_7x_0" localSheetId="73">'Div 4'!$P$62</definedName>
    <definedName name="OSRRefP22_7x_0" localSheetId="96">'Div 5'!$P$47</definedName>
    <definedName name="OSRRefP22_7x_0" localSheetId="64">'Div 6'!$P$72</definedName>
    <definedName name="OSRRefP22_7x_0" localSheetId="2">Summary!$P$200</definedName>
    <definedName name="OSRRefP22_8x_0" localSheetId="41">'201'!$P$45</definedName>
    <definedName name="OSRRefP22_8x_0" localSheetId="42">'202'!$P$46</definedName>
    <definedName name="OSRRefP22_8x_0" localSheetId="43">'203'!$P$47</definedName>
    <definedName name="OSRRefP22_8x_0" localSheetId="44">'204'!$P$52:$P$53</definedName>
    <definedName name="OSRRefP22_8x_0" localSheetId="48">'300'!$P$169</definedName>
    <definedName name="OSRRefP22_8x_0" localSheetId="49">'300 &amp; 317'!$P$189</definedName>
    <definedName name="OSRRefP22_8x_0" localSheetId="50">'301'!$P$49</definedName>
    <definedName name="OSRRefP22_8x_0" localSheetId="53">'307'!$P$80</definedName>
    <definedName name="OSRRefP22_8x_0" localSheetId="55">'308'!$P$84:$P$85</definedName>
    <definedName name="OSRRefP22_8x_0" localSheetId="67">'309'!$P$51:$P$52</definedName>
    <definedName name="OSRRefP22_8x_0" localSheetId="66">'310'!$P$58</definedName>
    <definedName name="OSRRefP22_8x_0" localSheetId="74">'310 &amp; 491'!$P$69</definedName>
    <definedName name="OSRRefP22_8x_0" localSheetId="56">'311'!$P$83:$P$84</definedName>
    <definedName name="OSRRefP22_8x_0" localSheetId="68">'313'!$P$53</definedName>
    <definedName name="OSRRefP22_8x_0" localSheetId="59">'315'!$P$77:$P$79</definedName>
    <definedName name="OSRRefP22_8x_0" localSheetId="62">'316'!$P$59</definedName>
    <definedName name="OSRRefP22_8x_0" localSheetId="65">'317'!$P$74:$P$75</definedName>
    <definedName name="OSRRefP22_8x_0" localSheetId="69">'321'!$P$47:$P$48</definedName>
    <definedName name="OSRRefP22_8x_0" localSheetId="70">'322'!$P$50</definedName>
    <definedName name="OSRRefP22_8x_0" localSheetId="71">'325'!$P$51</definedName>
    <definedName name="OSRRefP22_8x_0" localSheetId="60">'326'!$P$75</definedName>
    <definedName name="OSRRefP22_8x_0" localSheetId="52">'330'!$P$94</definedName>
    <definedName name="OSRRefP22_8x_0" localSheetId="58">'331'!$P$87</definedName>
    <definedName name="OSRRefP22_8x_0" localSheetId="61">'332'!$P$65</definedName>
    <definedName name="OSRRefP22_8x_0" localSheetId="76">'405'!$P$49</definedName>
    <definedName name="OSRRefP22_8x_0" localSheetId="77">'406'!$P$49</definedName>
    <definedName name="OSRRefP22_8x_0" localSheetId="78">'411'!$P$52:$P$56</definedName>
    <definedName name="OSRRefP22_8x_0" localSheetId="79">'412'!$P$51</definedName>
    <definedName name="OSRRefP22_8x_0" localSheetId="80">'413'!$P$50</definedName>
    <definedName name="OSRRefP22_8x_0" localSheetId="81">'414'!$P$50</definedName>
    <definedName name="OSRRefP22_8x_0" localSheetId="82">'415'!$P$51</definedName>
    <definedName name="OSRRefP22_8x_0" localSheetId="83">'418'!$P$53:$P$54</definedName>
    <definedName name="OSRRefP22_8x_0" localSheetId="86">'424'!$P$41</definedName>
    <definedName name="OSRRefP22_8x_0" localSheetId="87">'425'!$P$51</definedName>
    <definedName name="OSRRefP22_8x_0" localSheetId="91">'433'!$P$54:$P$56</definedName>
    <definedName name="OSRRefP22_8x_0" localSheetId="93">'444'!$P$54:$P$55</definedName>
    <definedName name="OSRRefP22_8x_0" localSheetId="95">'450'!$P$53:$P$55</definedName>
    <definedName name="OSRRefP22_8x_0" localSheetId="75">'491'!$P$63</definedName>
    <definedName name="OSRRefP22_8x_0" localSheetId="89">'492'!$P$55</definedName>
    <definedName name="OSRRefP22_8x_0" localSheetId="97">'501'!$P$49:$P$50</definedName>
    <definedName name="OSRRefP22_8x_0" localSheetId="39">'Div 2'!$P$52</definedName>
    <definedName name="OSRRefP22_8x_0" localSheetId="47">'Div 3'!$P$174</definedName>
    <definedName name="OSRRefP22_8x_0" localSheetId="73">'Div 4'!$P$64</definedName>
    <definedName name="OSRRefP22_8x_0" localSheetId="96">'Div 5'!$P$49:$P$50</definedName>
    <definedName name="OSRRefP22_8x_0" localSheetId="64">'Div 6'!$P$74:$P$75</definedName>
    <definedName name="OSRRefP22_8x_0" localSheetId="2">Summary!$P$202</definedName>
    <definedName name="OSRRefP22_9x_0" localSheetId="41">'201'!$P$47:$P$48</definedName>
    <definedName name="OSRRefP22_9x_0" localSheetId="42">'202'!$P$48</definedName>
    <definedName name="OSRRefP22_9x_0" localSheetId="43">'203'!$P$49:$P$50</definedName>
    <definedName name="OSRRefP22_9x_0" localSheetId="44">'204'!$P$55</definedName>
    <definedName name="OSRRefP22_9x_0" localSheetId="48">'300'!$P$171</definedName>
    <definedName name="OSRRefP22_9x_0" localSheetId="49">'300 &amp; 317'!$P$191</definedName>
    <definedName name="OSRRefP22_9x_0" localSheetId="50">'301'!$P$51</definedName>
    <definedName name="OSRRefP22_9x_0" localSheetId="53">'307'!$P$82</definedName>
    <definedName name="OSRRefP22_9x_0" localSheetId="55">'308'!$P$87</definedName>
    <definedName name="OSRRefP22_9x_0" localSheetId="67">'309'!$P$54</definedName>
    <definedName name="OSRRefP22_9x_0" localSheetId="66">'310'!$P$60</definedName>
    <definedName name="OSRRefP22_9x_0" localSheetId="74">'310 &amp; 491'!$P$71</definedName>
    <definedName name="OSRRefP22_9x_0" localSheetId="56">'311'!$P$86</definedName>
    <definedName name="OSRRefP22_9x_0" localSheetId="68">'313'!$P$55</definedName>
    <definedName name="OSRRefP22_9x_0" localSheetId="59">'315'!$P$81</definedName>
    <definedName name="OSRRefP22_9x_0" localSheetId="65">'317'!$P$77</definedName>
    <definedName name="OSRRefP22_9x_0" localSheetId="69">'321'!$P$50:$P$52</definedName>
    <definedName name="OSRRefP22_9x_0" localSheetId="70">'322'!$P$52</definedName>
    <definedName name="OSRRefP22_9x_0" localSheetId="71">'325'!$P$53</definedName>
    <definedName name="OSRRefP22_9x_0" localSheetId="60">'326'!$P$77</definedName>
    <definedName name="OSRRefP22_9x_0" localSheetId="52">'330'!$P$96</definedName>
    <definedName name="OSRRefP22_9x_0" localSheetId="58">'331'!$P$89</definedName>
    <definedName name="OSRRefP22_9x_0" localSheetId="61">'332'!$P$67:$P$71</definedName>
    <definedName name="OSRRefP22_9x_0" localSheetId="76">'405'!$P$51:$P$52</definedName>
    <definedName name="OSRRefP22_9x_0" localSheetId="78">'411'!$P$58:$P$62</definedName>
    <definedName name="OSRRefP22_9x_0" localSheetId="79">'412'!$P$53:$P$54</definedName>
    <definedName name="OSRRefP22_9x_0" localSheetId="80">'413'!$P$52:$P$54</definedName>
    <definedName name="OSRRefP22_9x_0" localSheetId="81">'414'!$P$52</definedName>
    <definedName name="OSRRefP22_9x_0" localSheetId="82">'415'!$P$53</definedName>
    <definedName name="OSRRefP22_9x_0" localSheetId="83">'418'!$P$56</definedName>
    <definedName name="OSRRefP22_9x_0" localSheetId="86">'424'!$P$43</definedName>
    <definedName name="OSRRefP22_9x_0" localSheetId="87">'425'!$P$53:$P$54</definedName>
    <definedName name="OSRRefP22_9x_0" localSheetId="91">'433'!$P$58:$P$62</definedName>
    <definedName name="OSRRefP22_9x_0" localSheetId="93">'444'!$P$57:$P$59</definedName>
    <definedName name="OSRRefP22_9x_0" localSheetId="95">'450'!$P$57:$P$60</definedName>
    <definedName name="OSRRefP22_9x_0" localSheetId="75">'491'!$P$65</definedName>
    <definedName name="OSRRefP22_9x_0" localSheetId="89">'492'!$P$57</definedName>
    <definedName name="OSRRefP22_9x_0" localSheetId="97">'501'!$P$52</definedName>
    <definedName name="OSRRefP22_9x_0" localSheetId="39">'Div 2'!$P$54</definedName>
    <definedName name="OSRRefP22_9x_0" localSheetId="47">'Div 3'!$P$176</definedName>
    <definedName name="OSRRefP22_9x_0" localSheetId="73">'Div 4'!$P$66</definedName>
    <definedName name="OSRRefP22_9x_0" localSheetId="96">'Div 5'!$P$52</definedName>
    <definedName name="OSRRefP22_9x_0" localSheetId="64">'Div 6'!$P$77</definedName>
    <definedName name="OSRRefP22_9x_0" localSheetId="2">Summary!$P$204</definedName>
    <definedName name="OSRRefP22x_0" localSheetId="40">'200'!$P$20,'200'!$P$22,'200'!$P$24,'200'!$P$26</definedName>
    <definedName name="OSRRefP22x_0" localSheetId="41">'201'!$P$20:$P$27,'201'!$P$29:$P$31,'201'!$P$33,'201'!$P$35,'201'!$P$37,'201'!$P$39,'201'!$P$41,'201'!$P$43,'201'!$P$45,'201'!$P$47:$P$48,'201'!$P$50:$P$51,'201'!$P$53,'201'!$P$55:$P$56,'201'!$P$58,'201'!$P$60:$P$61</definedName>
    <definedName name="OSRRefP22x_0" localSheetId="42">'202'!$P$20:$P$27,'202'!$P$29:$P$32,'202'!$P$34,'202'!$P$36,'202'!$P$38,'202'!$P$40,'202'!$P$42,'202'!$P$44,'202'!$P$46,'202'!$P$48,'202'!$P$50,'202'!$P$52</definedName>
    <definedName name="OSRRefP22x_0" localSheetId="43">'203'!$P$20:$P$28,'203'!$P$30:$P$33,'203'!$P$35,'203'!$P$37,'203'!$P$39,'203'!$P$41,'203'!$P$43,'203'!$P$45,'203'!$P$47,'203'!$P$49:$P$50,'203'!$P$52:$P$54,'203'!$P$56,'203'!$P$58,'203'!$P$60</definedName>
    <definedName name="OSRRefP22x_0" localSheetId="44">'204'!$P$20:$P$28,'204'!$P$30:$P$34,'204'!$P$36,'204'!$P$38:$P$39,'204'!$P$41,'204'!$P$43,'204'!$P$45:$P$47,'204'!$P$49:$P$50,'204'!$P$52:$P$53,'204'!$P$55</definedName>
    <definedName name="OSRRefP22x_0" localSheetId="45">'205'!$P$20:$P$27,'205'!$P$29,'205'!$P$31,'205'!$P$33,'205'!$P$35,'205'!$P$37,'205'!$P$39:$P$40,'205'!$P$42</definedName>
    <definedName name="OSRRefP22x_0" localSheetId="46">'206'!$P$20:$P$27,'206'!$P$29:$P$32,'206'!$P$34,'206'!$P$36,'206'!$P$38:$P$39,'206'!$P$41,'206'!$P$43</definedName>
    <definedName name="OSRRefP22x_0" localSheetId="48">'300'!$P$137:$P$145,'300'!$P$147:$P$153,'300'!$P$155,'300'!$P$157,'300'!$P$159,'300'!$P$161:$P$162,'300'!$P$164:$P$165,'300'!$P$167,'300'!$P$169,'300'!$P$171,'300'!$P$173:$P$174,'300'!$P$176,'300'!$P$178,'300'!$P$180,'300'!$P$182,'300'!$P$184,'300'!$P$186:$P$188,'300'!$P$190:$P$192,'300'!$P$194:$P$197,'300'!$P$199:$P$200,'300'!$P$202:$P$207,'300'!$P$209:$P$210,'300'!$P$212,'300'!$P$214:$P$216,'300'!$P$218</definedName>
    <definedName name="OSRRefP22x_0" localSheetId="49">'300 &amp; 317'!$P$157:$P$165,'300 &amp; 317'!$P$167:$P$173,'300 &amp; 317'!$P$175,'300 &amp; 317'!$P$177,'300 &amp; 317'!$P$179,'300 &amp; 317'!$P$181:$P$182,'300 &amp; 317'!$P$184:$P$185,'300 &amp; 317'!$P$187,'300 &amp; 317'!$P$189,'300 &amp; 317'!$P$191,'300 &amp; 317'!$P$193:$P$194,'300 &amp; 317'!$P$196,'300 &amp; 317'!$P$198,'300 &amp; 317'!$P$200,'300 &amp; 317'!$P$202,'300 &amp; 317'!$P$204,'300 &amp; 317'!$P$206:$P$208,'300 &amp; 317'!$P$210:$P$212,'300 &amp; 317'!$P$214:$P$217,'300 &amp; 317'!$P$219:$P$220,'300 &amp; 317'!$P$222:$P$227,'300 &amp; 317'!$P$229:$P$230,'300 &amp; 317'!$P$232,'300 &amp; 317'!$P$234:$P$236,'300 &amp; 317'!$P$238</definedName>
    <definedName name="OSRRefP22x_0" localSheetId="50">'301'!$P$20:$P$27,'301'!$P$29:$P$33,'301'!$P$35,'301'!$P$37,'301'!$P$39,'301'!$P$41:$P$42,'301'!$P$44:$P$45,'301'!$P$47,'301'!$P$49,'301'!$P$51,'301'!$P$53,'301'!$P$55,'301'!$P$57,'301'!$P$59,'301'!$P$61:$P$63,'301'!$P$65:$P$67,'301'!$P$69,'301'!$P$71:$P$75,'301'!$P$77,'301'!$P$79,'301'!$P$81:$P$82,'301'!$P$84</definedName>
    <definedName name="OSRRefP22x_0" localSheetId="51">'306'!$P$20:$P$28,'306'!$P$30:$P$34,'306'!$P$36,'306'!$P$38,'306'!$P$40,'306'!$P$42:$P$43,'306'!$P$45,'306'!$P$47</definedName>
    <definedName name="OSRRefP22x_0" localSheetId="53">'307'!$P$54:$P$61,'307'!$P$63:$P$65,'307'!$P$67,'307'!$P$69,'307'!$P$71,'307'!$P$73,'307'!$P$75,'307'!$P$77:$P$78,'307'!$P$80,'307'!$P$82</definedName>
    <definedName name="OSRRefP22x_0" localSheetId="55">'308'!$P$55:$P$63,'308'!$P$65:$P$69,'308'!$P$71,'308'!$P$73:$P$74,'308'!$P$76,'308'!$P$78,'308'!$P$80,'308'!$P$82,'308'!$P$84:$P$85,'308'!$P$87,'308'!$P$89:$P$91,'308'!$P$93:$P$94,'308'!$P$96</definedName>
    <definedName name="OSRRefP22x_0" localSheetId="67">'309'!$P$24:$P$31,'309'!$P$33:$P$37,'309'!$P$39,'309'!$P$41,'309'!$P$43,'309'!$P$45,'309'!$P$47,'309'!$P$49,'309'!$P$51:$P$52,'309'!$P$54,'309'!$P$56:$P$59,'309'!$P$61</definedName>
    <definedName name="OSRRefP22x_0" localSheetId="66">'310'!$P$30:$P$37,'310'!$P$39:$P$43,'310'!$P$45,'310'!$P$47,'310'!$P$49,'310'!$P$51:$P$52,'310'!$P$54,'310'!$P$56,'310'!$P$58,'310'!$P$60,'310'!$P$62,'310'!$P$64,'310'!$P$66,'310'!$P$68,'310'!$P$70,'310'!$P$72,'310'!$P$74:$P$77,'310'!$P$79:$P$80,'310'!$P$82:$P$86,'310'!$P$88,'310'!$P$90,'310'!$P$92</definedName>
    <definedName name="OSRRefP22x_0" localSheetId="74">'310 &amp; 491'!$P$37:$P$45,'310 &amp; 491'!$P$47:$P$53,'310 &amp; 491'!$P$55,'310 &amp; 491'!$P$57,'310 &amp; 491'!$P$59,'310 &amp; 491'!$P$61:$P$63,'310 &amp; 491'!$P$65,'310 &amp; 491'!$P$67,'310 &amp; 491'!$P$69,'310 &amp; 491'!$P$71,'310 &amp; 491'!$P$73,'310 &amp; 491'!$P$75,'310 &amp; 491'!$P$77,'310 &amp; 491'!$P$79,'310 &amp; 491'!$P$81:$P$82,'310 &amp; 491'!$P$84:$P$85,'310 &amp; 491'!$P$87:$P$91,'310 &amp; 491'!$P$93:$P$94,'310 &amp; 491'!$P$96:$P$103,'310 &amp; 491'!$P$105,'310 &amp; 491'!$P$107,'310 &amp; 491'!$P$109:$P$111,'310 &amp; 491'!$P$113</definedName>
    <definedName name="OSRRefP22x_0" localSheetId="56">'311'!$P$54:$P$62,'311'!$P$64:$P$68,'311'!$P$70,'311'!$P$72:$P$73,'311'!$P$75,'311'!$P$77,'311'!$P$79,'311'!$P$81,'311'!$P$83:$P$84,'311'!$P$86,'311'!$P$88:$P$90,'311'!$P$92:$P$93,'311'!$P$95</definedName>
    <definedName name="OSRRefP22x_0" localSheetId="68">'313'!$P$27:$P$34,'313'!$P$36:$P$39,'313'!$P$41,'313'!$P$43,'313'!$P$45,'313'!$P$47,'313'!$P$49,'313'!$P$51,'313'!$P$53,'313'!$P$55,'313'!$P$57:$P$59,'313'!$P$61,'313'!$P$63</definedName>
    <definedName name="OSRRefP22x_0" localSheetId="54">'314'!$P$49:$P$55,'314'!$P$57:$P$59,'314'!$P$61,'314'!$P$63,'314'!$P$65</definedName>
    <definedName name="OSRRefP22x_0" localSheetId="59">'315'!$P$50:$P$57,'315'!$P$59:$P$62,'315'!$P$64,'315'!$P$66,'315'!$P$68,'315'!$P$70,'315'!$P$72,'315'!$P$74:$P$75,'315'!$P$77:$P$79,'315'!$P$81,'315'!$P$83,'315'!$P$85</definedName>
    <definedName name="OSRRefP22x_0" localSheetId="62">'316'!$P$30:$P$37,'316'!$P$39:$P$42,'316'!$P$44,'316'!$P$46,'316'!$P$48,'316'!$P$50,'316'!$P$52,'316'!$P$54:$P$57,'316'!$P$59</definedName>
    <definedName name="OSRRefP22x_0" localSheetId="65">'317'!$P$47:$P$55,'317'!$P$57:$P$60,'317'!$P$62,'317'!$P$64,'317'!$P$66,'317'!$P$68,'317'!$P$70,'317'!$P$72,'317'!$P$74:$P$75,'317'!$P$77</definedName>
    <definedName name="OSRRefP22x_0" localSheetId="63">'320'!$P$28:$P$34,'320'!$P$36:$P$37,'320'!$P$39,'320'!$P$41:$P$42,'320'!$P$44,'320'!$P$46:$P$47,'320'!$P$49</definedName>
    <definedName name="OSRRefP22x_0" localSheetId="69">'321'!$P$24:$P$28,'321'!$P$30:$P$33,'321'!$P$35,'321'!$P$37,'321'!$P$39,'321'!$P$41,'321'!$P$43,'321'!$P$45,'321'!$P$47:$P$48,'321'!$P$50:$P$52,'321'!$P$54,'321'!$P$56</definedName>
    <definedName name="OSRRefP22x_0" localSheetId="70">'322'!$P$24:$P$31,'322'!$P$33:$P$36,'322'!$P$38,'322'!$P$40,'322'!$P$42,'322'!$P$44,'322'!$P$46,'322'!$P$48,'322'!$P$50,'322'!$P$52,'322'!$P$54:$P$56,'322'!$P$58:$P$61,'322'!$P$63,'322'!$P$65</definedName>
    <definedName name="OSRRefP22x_0" localSheetId="71">'325'!$P$24:$P$31,'325'!$P$33:$P$36,'325'!$P$38,'325'!$P$40,'325'!$P$42,'325'!$P$44:$P$45,'325'!$P$47,'325'!$P$49,'325'!$P$51,'325'!$P$53,'325'!$P$55,'325'!$P$57:$P$59,'325'!$P$61,'325'!$P$63:$P$65,'325'!$P$67,'325'!$P$69</definedName>
    <definedName name="OSRRefP22x_0" localSheetId="60">'326'!$P$49:$P$56,'326'!$P$58:$P$61,'326'!$P$63,'326'!$P$65,'326'!$P$67,'326'!$P$69,'326'!$P$71,'326'!$P$73,'326'!$P$75,'326'!$P$77,'326'!$P$79,'326'!$P$81,'326'!$P$83:$P$85,'326'!$P$87,'326'!$P$89:$P$92,'326'!$P$94,'326'!$P$96,'326'!$P$98</definedName>
    <definedName name="OSRRefP22x_0" localSheetId="72">'327'!$P$22</definedName>
    <definedName name="OSRRefP22x_0" localSheetId="52">'330'!$P$68:$P$75,'330'!$P$77:$P$79,'330'!$P$81,'330'!$P$83,'330'!$P$85,'330'!$P$87,'330'!$P$89,'330'!$P$91:$P$92,'330'!$P$94,'330'!$P$96</definedName>
    <definedName name="OSRRefP22x_0" localSheetId="58">'331'!$P$61:$P$68,'331'!$P$70:$P$73,'331'!$P$75,'331'!$P$77,'331'!$P$79,'331'!$P$81,'331'!$P$83,'331'!$P$85,'331'!$P$87,'331'!$P$89,'331'!$P$91,'331'!$P$93,'331'!$P$95,'331'!$P$97:$P$98,'331'!$P$100:$P$102,'331'!$P$104,'331'!$P$106:$P$110,'331'!$P$112,'331'!$P$114,'331'!$P$116,'331'!$P$118</definedName>
    <definedName name="OSRRefP22x_0" localSheetId="61">'332'!$P$38:$P$45,'332'!$P$47:$P$50,'332'!$P$52,'332'!$P$54,'332'!$P$56,'332'!$P$58:$P$59,'332'!$P$61,'332'!$P$63,'332'!$P$65,'332'!$P$67:$P$71,'332'!$P$73</definedName>
    <definedName name="OSRRefP22x_0" localSheetId="76">'405'!$P$24:$P$31,'405'!$P$33:$P$34,'405'!$P$36,'405'!$P$38,'405'!$P$40,'405'!$P$42:$P$43,'405'!$P$45,'405'!$P$47,'405'!$P$49,'405'!$P$51:$P$52,'405'!$P$54,'405'!$P$56:$P$58,'405'!$P$60,'405'!$P$62:$P$66,'405'!$P$68,'405'!$P$70,'405'!$P$72</definedName>
    <definedName name="OSRRefP22x_0" localSheetId="77">'406'!$P$22:$P$29,'406'!$P$31:$P$33,'406'!$P$35,'406'!$P$37,'406'!$P$39,'406'!$P$41,'406'!$P$43:$P$45,'406'!$P$47,'406'!$P$49</definedName>
    <definedName name="OSRRefP22x_0" localSheetId="78">'411'!$P$20:$P$28,'411'!$P$30:$P$35,'411'!$P$37,'411'!$P$39:$P$41,'411'!$P$43,'411'!$P$45,'411'!$P$47,'411'!$P$49:$P$50,'411'!$P$52:$P$56,'411'!$P$58:$P$62,'411'!$P$64,'411'!$P$66,'411'!$P$68:$P$70,'411'!$P$72</definedName>
    <definedName name="OSRRefP22x_0" localSheetId="79">'412'!$P$23:$P$30,'412'!$P$32:$P$37,'412'!$P$39,'412'!$P$41,'412'!$P$43,'412'!$P$45,'412'!$P$47,'412'!$P$49,'412'!$P$51,'412'!$P$53:$P$54,'412'!$P$56:$P$62,'412'!$P$64</definedName>
    <definedName name="OSRRefP22x_0" localSheetId="80">'413'!$P$24:$P$31,'413'!$P$33:$P$36,'413'!$P$38,'413'!$P$40,'413'!$P$42,'413'!$P$44,'413'!$P$46,'413'!$P$48,'413'!$P$50,'413'!$P$52:$P$54,'413'!$P$56</definedName>
    <definedName name="OSRRefP22x_0" localSheetId="81">'414'!$P$24:$P$31,'414'!$P$33:$P$36,'414'!$P$38,'414'!$P$40,'414'!$P$42,'414'!$P$44,'414'!$P$46,'414'!$P$48,'414'!$P$50,'414'!$P$52,'414'!$P$54,'414'!$P$56,'414'!$P$58:$P$62,'414'!$P$64</definedName>
    <definedName name="OSRRefP22x_0" localSheetId="82">'415'!$P$24:$P$31,'415'!$P$33:$P$36,'415'!$P$38,'415'!$P$40,'415'!$P$42,'415'!$P$44:$P$45,'415'!$P$47,'415'!$P$49,'415'!$P$51,'415'!$P$53,'415'!$P$55,'415'!$P$57,'415'!$P$59:$P$63,'415'!$P$65,'415'!$P$67:$P$72,'415'!$P$74,'415'!$P$76,'415'!$P$78</definedName>
    <definedName name="OSRRefP22x_0" localSheetId="83">'418'!$P$24:$P$31,'418'!$P$33:$P$38,'418'!$P$40,'418'!$P$42,'418'!$P$44,'418'!$P$46:$P$47,'418'!$P$49,'418'!$P$51,'418'!$P$53:$P$54,'418'!$P$56,'418'!$P$58:$P$61,'418'!$P$63,'418'!$P$65</definedName>
    <definedName name="OSRRefP22x_0" localSheetId="85">'423'!$P$20:$P$27,'423'!$P$29,'423'!$P$31,'423'!$P$33,'423'!$P$35,'423'!$P$37</definedName>
    <definedName name="OSRRefP22x_0" localSheetId="86">'424'!$P$23:$P$25,'424'!$P$27,'424'!$P$29,'424'!$P$31,'424'!$P$33,'424'!$P$35,'424'!$P$37,'424'!$P$39,'424'!$P$41,'424'!$P$43</definedName>
    <definedName name="OSRRefP22x_0" localSheetId="87">'425'!$P$24:$P$31,'425'!$P$33:$P$37,'425'!$P$39,'425'!$P$41,'425'!$P$43,'425'!$P$45,'425'!$P$47,'425'!$P$49,'425'!$P$51,'425'!$P$53:$P$54,'425'!$P$56:$P$58,'425'!$P$60,'425'!$P$62,'425'!$P$64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'433'!$P$25:$P$33,'433'!$P$35:$P$40,'433'!$P$42,'433'!$P$44,'433'!$P$46,'433'!$P$48,'433'!$P$50,'433'!$P$52,'433'!$P$54:$P$56,'433'!$P$58:$P$62,'433'!$P$64,'433'!$P$66,'433'!$P$68:$P$69</definedName>
    <definedName name="OSRRefP22x_0" localSheetId="92">'435'!$P$20:$P$21,'435'!$P$23,'435'!$P$25,'435'!$P$27</definedName>
    <definedName name="OSRRefP22x_0" localSheetId="93">'444'!$P$25:$P$33,'444'!$P$35:$P$40,'444'!$P$42,'444'!$P$44,'444'!$P$46,'444'!$P$48,'444'!$P$50,'444'!$P$52,'444'!$P$54:$P$55,'444'!$P$57:$P$59,'444'!$P$61:$P$65,'444'!$P$67,'444'!$P$69,'444'!$P$71</definedName>
    <definedName name="OSRRefP22x_0" localSheetId="94">'445'!$P$20</definedName>
    <definedName name="OSRRefP22x_0" localSheetId="95">'450'!$P$24:$P$32,'450'!$P$34:$P$39,'450'!$P$41,'450'!$P$43,'450'!$P$45,'450'!$P$47,'450'!$P$49,'450'!$P$51,'450'!$P$53:$P$55,'450'!$P$57:$P$60,'450'!$P$62,'450'!$P$64,'450'!$P$66</definedName>
    <definedName name="OSRRefP22x_0" localSheetId="88">'455'!$P$20:$P$26,'455'!$P$28:$P$29</definedName>
    <definedName name="OSRRefP22x_0" localSheetId="75">'491'!$P$31:$P$39,'491'!$P$41:$P$47,'491'!$P$49,'491'!$P$51,'491'!$P$53,'491'!$P$55:$P$57,'491'!$P$59,'491'!$P$61,'491'!$P$63,'491'!$P$65,'491'!$P$67,'491'!$P$69,'491'!$P$71:$P$72,'491'!$P$74:$P$75,'491'!$P$77:$P$81,'491'!$P$83,'491'!$P$85:$P$92,'491'!$P$94,'491'!$P$96,'491'!$P$98:$P$100,'491'!$P$102</definedName>
    <definedName name="OSRRefP22x_0" localSheetId="89">'492'!$P$25:$P$33,'492'!$P$35:$P$41,'492'!$P$43,'492'!$P$45,'492'!$P$47,'492'!$P$49,'492'!$P$51,'492'!$P$53,'492'!$P$55,'492'!$P$57,'492'!$P$59:$P$60,'492'!$P$62:$P$64,'492'!$P$66:$P$72,'492'!$P$74,'492'!$P$76,'492'!$P$78:$P$79</definedName>
    <definedName name="OSRRefP22x_0" localSheetId="97">'501'!$P$21:$P$28,'501'!$P$30:$P$35,'501'!$P$37,'501'!$P$39,'501'!$P$41,'501'!$P$43,'501'!$P$45,'501'!$P$47,'501'!$P$49:$P$50,'501'!$P$52</definedName>
    <definedName name="OSRRefP22x_0" localSheetId="39">'Div 2'!$P$20:$P$29,'Div 2'!$P$31:$P$37,'Div 2'!$P$39,'Div 2'!$P$41,'Div 2'!$P$43,'Div 2'!$P$45:$P$46,'Div 2'!$P$48,'Div 2'!$P$50,'Div 2'!$P$52,'Div 2'!$P$54,'Div 2'!$P$56,'Div 2'!$P$58,'Div 2'!$P$60:$P$63,'Div 2'!$P$65:$P$67,'Div 2'!$P$69:$P$70,'Div 2'!$P$72,'Div 2'!$P$74:$P$77,'Div 2'!$P$79:$P$80,'Div 2'!$P$82,'Div 2'!$P$84:$P$85</definedName>
    <definedName name="OSRRefP22x_0" localSheetId="47">'Div 3'!$P$142:$P$150,'Div 3'!$P$152:$P$158,'Div 3'!$P$160,'Div 3'!$P$162,'Div 3'!$P$164,'Div 3'!$P$166:$P$167,'Div 3'!$P$169:$P$170,'Div 3'!$P$172,'Div 3'!$P$174,'Div 3'!$P$176,'Div 3'!$P$178:$P$179,'Div 3'!$P$181,'Div 3'!$P$183,'Div 3'!$P$185,'Div 3'!$P$187,'Div 3'!$P$189,'Div 3'!$P$191,'Div 3'!$P$193:$P$195,'Div 3'!$P$197:$P$199,'Div 3'!$P$201:$P$205,'Div 3'!$P$207:$P$208,'Div 3'!$P$210:$P$215,'Div 3'!$P$217:$P$218,'Div 3'!$P$220,'Div 3'!$P$222:$P$224,'Div 3'!$P$226</definedName>
    <definedName name="OSRRefP22x_0" localSheetId="73">'Div 4'!$P$32:$P$40,'Div 4'!$P$42:$P$48,'Div 4'!$P$50,'Div 4'!$P$52,'Div 4'!$P$54,'Div 4'!$P$56:$P$58,'Div 4'!$P$60,'Div 4'!$P$62,'Div 4'!$P$64,'Div 4'!$P$66,'Div 4'!$P$68,'Div 4'!$P$70,'Div 4'!$P$72,'Div 4'!$P$74:$P$75,'Div 4'!$P$77:$P$78,'Div 4'!$P$80:$P$84,'Div 4'!$P$86,'Div 4'!$P$88:$P$95,'Div 4'!$P$97,'Div 4'!$P$99,'Div 4'!$P$101:$P$103,'Div 4'!$P$105</definedName>
    <definedName name="OSRRefP22x_0" localSheetId="96">'Div 5'!$P$21:$P$28,'Div 5'!$P$30:$P$35,'Div 5'!$P$37,'Div 5'!$P$39,'Div 5'!$P$41,'Div 5'!$P$43,'Div 5'!$P$45,'Div 5'!$P$47,'Div 5'!$P$49:$P$50,'Div 5'!$P$52</definedName>
    <definedName name="OSRRefP22x_0" localSheetId="64">'Div 6'!$P$47:$P$55,'Div 6'!$P$57:$P$60,'Div 6'!$P$62,'Div 6'!$P$64,'Div 6'!$P$66,'Div 6'!$P$68,'Div 6'!$P$70,'Div 6'!$P$72,'Div 6'!$P$74:$P$75,'Div 6'!$P$77</definedName>
    <definedName name="OSRRefP22x_0" localSheetId="2">Summary!$P$169:$P$177,Summary!$P$179:$P$185,Summary!$P$187,Summary!$P$189,Summary!$P$191,Summary!$P$193:$P$195,Summary!$P$197:$P$198,Summary!$P$200,Summary!$P$202,Summary!$P$204,Summary!$P$206:$P$207,Summary!$P$209,Summary!$P$211,Summary!$P$213,Summary!$P$215,Summary!$P$217,Summary!$P$219,Summary!$P$221,Summary!$P$223:$P$225,Summary!$P$227:$P$229,Summary!$P$231:$P$235,Summary!$P$237:$P$238,Summary!$P$240:$P$247,Summary!$P$249:$P$250,Summary!$P$252,Summary!$P$254:$P$256,Summary!$P$258</definedName>
    <definedName name="OSRRefP25x_0" localSheetId="48">'300'!$P$221:$P$225</definedName>
    <definedName name="OSRRefP25x_0" localSheetId="49">'300 &amp; 317'!$P$241:$P$247</definedName>
    <definedName name="OSRRefP25x_0" localSheetId="50">'301'!$P$87:$P$88</definedName>
    <definedName name="OSRRefP25x_0" localSheetId="55">'308'!$P$99:$P$100</definedName>
    <definedName name="OSRRefP25x_0" localSheetId="74">'310 &amp; 491'!$P$116:$P$118</definedName>
    <definedName name="OSRRefP25x_0" localSheetId="56">'311'!$P$98:$P$99</definedName>
    <definedName name="OSRRefP25x_0" localSheetId="59">'315'!$P$88</definedName>
    <definedName name="OSRRefP25x_0" localSheetId="62">'316'!$P$62</definedName>
    <definedName name="OSRRefP25x_0" localSheetId="65">'317'!$P$80:$P$82</definedName>
    <definedName name="OSRRefP25x_0" localSheetId="63">'320'!$P$52:$P$53</definedName>
    <definedName name="OSRRefP25x_0" localSheetId="58">'331'!$P$121</definedName>
    <definedName name="OSRRefP25x_0" localSheetId="61">'332'!$P$76:$P$78</definedName>
    <definedName name="OSRRefP25x_0" localSheetId="78">'411'!$P$75:$P$76</definedName>
    <definedName name="OSRRefP25x_0" localSheetId="80">'413'!$P$59</definedName>
    <definedName name="OSRRefP25x_0" localSheetId="85">'423'!$P$40</definedName>
    <definedName name="OSRRefP25x_0" localSheetId="86">'424'!$P$46</definedName>
    <definedName name="OSRRefP25x_0" localSheetId="87">'425'!$P$67</definedName>
    <definedName name="OSRRefP25x_0" localSheetId="88">'455'!$P$32:$P$33</definedName>
    <definedName name="OSRRefP25x_0" localSheetId="75">'491'!$P$105:$P$107</definedName>
    <definedName name="OSRRefP25x_0" localSheetId="97">'501'!$P$55</definedName>
    <definedName name="OSRRefP25x_0" localSheetId="47">'Div 3'!$P$229:$P$233</definedName>
    <definedName name="OSRRefP25x_0" localSheetId="73">'Div 4'!$P$108:$P$110</definedName>
    <definedName name="OSRRefP25x_0" localSheetId="96">'Div 5'!$P$55</definedName>
    <definedName name="OSRRefP25x_0" localSheetId="64">'Div 6'!$P$80:$P$82</definedName>
    <definedName name="OSRRefP25x_0" localSheetId="2">Summary!$P$261:$P$269</definedName>
    <definedName name="OSRRefT13x_0" localSheetId="48">'300'!$T$13:$T$89</definedName>
    <definedName name="OSRRefT13x_0" localSheetId="49">'300 &amp; 317'!$T$13:$T$102</definedName>
    <definedName name="OSRRefT13x_0" localSheetId="53">'307'!$T$13:$T$36</definedName>
    <definedName name="OSRRefT13x_0" localSheetId="55">'308'!$T$13:$T$34</definedName>
    <definedName name="OSRRefT13x_0" localSheetId="67">'309'!$T$13:$T$14</definedName>
    <definedName name="OSRRefT13x_0" localSheetId="66">'310'!$T$13:$T$20</definedName>
    <definedName name="OSRRefT13x_0" localSheetId="74">'310 &amp; 491'!$T$13:$T$27</definedName>
    <definedName name="OSRRefT13x_0" localSheetId="56">'311'!$T$13:$T$33</definedName>
    <definedName name="OSRRefT13x_0" localSheetId="68">'313'!$T$13:$T$17</definedName>
    <definedName name="OSRRefT13x_0" localSheetId="54">'314'!$T$13:$T$29</definedName>
    <definedName name="OSRRefT13x_0" localSheetId="59">'315'!$T$13:$T$29</definedName>
    <definedName name="OSRRefT13x_0" localSheetId="62">'316'!$T$13:$T$22</definedName>
    <definedName name="OSRRefT13x_0" localSheetId="65">'317'!$T$13:$T$30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'326'!$T$13:$T$28</definedName>
    <definedName name="OSRRefT13x_0" localSheetId="72">'327'!$T$13</definedName>
    <definedName name="OSRRefT13x_0" localSheetId="52">'330'!$T$13:$T$45</definedName>
    <definedName name="OSRRefT13x_0" localSheetId="58">'331'!$T$13:$T$34</definedName>
    <definedName name="OSRRefT13x_0" localSheetId="61">'332'!$T$13:$T$25</definedName>
    <definedName name="OSRRefT13x_0" localSheetId="76">'405'!$T$13:$T$14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6">'424'!$T$13</definedName>
    <definedName name="OSRRefT13x_0" localSheetId="87">'425'!$T$13:$T$14</definedName>
    <definedName name="OSRRefT13x_0" localSheetId="91">'433'!$T$13:$T$15</definedName>
    <definedName name="OSRRefT13x_0" localSheetId="93">'444'!$T$13:$T$15</definedName>
    <definedName name="OSRRefT13x_0" localSheetId="95">'450'!$T$13:$T$14</definedName>
    <definedName name="OSRRefT13x_0" localSheetId="75">'491'!$T$13:$T$21</definedName>
    <definedName name="OSRRefT13x_0" localSheetId="89">'492'!$T$13:$T$15</definedName>
    <definedName name="OSRRefT13x_0" localSheetId="97">'501'!$T$13</definedName>
    <definedName name="OSRRefT13x_0" localSheetId="47">'Div 3'!$T$13:$T$92</definedName>
    <definedName name="OSRRefT13x_0" localSheetId="73">'Div 4'!$T$13:$T$22</definedName>
    <definedName name="OSRRefT13x_0" localSheetId="96">'Div 5'!$T$13</definedName>
    <definedName name="OSRRefT13x_0" localSheetId="64">'Div 6'!$T$13:$T$30</definedName>
    <definedName name="OSRRefT13x_0" localSheetId="2">Summary!$T$13:$T$112</definedName>
    <definedName name="OSRRefT16x_0" localSheetId="48">'300'!$T$92:$T$131</definedName>
    <definedName name="OSRRefT16x_0" localSheetId="49">'300 &amp; 317'!$T$105:$T$151</definedName>
    <definedName name="OSRRefT16x_0" localSheetId="53">'307'!$T$39:$T$48</definedName>
    <definedName name="OSRRefT16x_0" localSheetId="55">'308'!$T$37:$T$49</definedName>
    <definedName name="OSRRefT16x_0" localSheetId="67">'309'!$T$17:$T$18</definedName>
    <definedName name="OSRRefT16x_0" localSheetId="66">'310'!$T$23:$T$24</definedName>
    <definedName name="OSRRefT16x_0" localSheetId="74">'310 &amp; 491'!$T$30:$T$31</definedName>
    <definedName name="OSRRefT16x_0" localSheetId="56">'311'!$T$36:$T$48</definedName>
    <definedName name="OSRRefT16x_0" localSheetId="68">'313'!$T$20:$T$21</definedName>
    <definedName name="OSRRefT16x_0" localSheetId="54">'314'!$T$32:$T$43</definedName>
    <definedName name="OSRRefT16x_0" localSheetId="59">'315'!$T$32:$T$44</definedName>
    <definedName name="OSRRefT16x_0" localSheetId="65">'317'!$T$33:$T$41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'326'!$T$31:$T$43</definedName>
    <definedName name="OSRRefT16x_0" localSheetId="72">'327'!$T$16</definedName>
    <definedName name="OSRRefT16x_0" localSheetId="52">'330'!$T$48:$T$62</definedName>
    <definedName name="OSRRefT16x_0" localSheetId="58">'331'!$T$37:$T$55</definedName>
    <definedName name="OSRRefT16x_0" localSheetId="61">'332'!$T$28:$T$32</definedName>
    <definedName name="OSRRefT16x_0" localSheetId="76">'405'!$T$17:$T$18</definedName>
    <definedName name="OSRRefT16x_0" localSheetId="77">'406'!$T$15:$T$16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6">'424'!$T$16:$T$17</definedName>
    <definedName name="OSRRefT16x_0" localSheetId="87">'425'!$T$17:$T$18</definedName>
    <definedName name="OSRRefT16x_0" localSheetId="91">'433'!$T$18:$T$19</definedName>
    <definedName name="OSRRefT16x_0" localSheetId="93">'444'!$T$18:$T$19</definedName>
    <definedName name="OSRRefT16x_0" localSheetId="95">'450'!$T$17:$T$18</definedName>
    <definedName name="OSRRefT16x_0" localSheetId="75">'491'!$T$24:$T$25</definedName>
    <definedName name="OSRRefT16x_0" localSheetId="89">'492'!$T$18:$T$19</definedName>
    <definedName name="OSRRefT16x_0" localSheetId="47">'Div 3'!$T$95:$T$136</definedName>
    <definedName name="OSRRefT16x_0" localSheetId="73">'Div 4'!$T$25:$T$26</definedName>
    <definedName name="OSRRefT16x_0" localSheetId="64">'Div 6'!$T$33:$T$41</definedName>
    <definedName name="OSRRefT16x_0" localSheetId="2">Summary!$T$115:$T$163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'300'!$T$137:$T$145</definedName>
    <definedName name="OSRRefT22_0x_0" localSheetId="49">'300 &amp; 317'!$T$157:$T$165</definedName>
    <definedName name="OSRRefT22_0x_0" localSheetId="50">'301'!$T$20:$T$27</definedName>
    <definedName name="OSRRefT22_0x_0" localSheetId="51">'306'!$T$20:$T$28</definedName>
    <definedName name="OSRRefT22_0x_0" localSheetId="53">'307'!$T$54:$T$61</definedName>
    <definedName name="OSRRefT22_0x_0" localSheetId="55">'308'!$T$55:$T$63</definedName>
    <definedName name="OSRRefT22_0x_0" localSheetId="67">'309'!$T$24:$T$31</definedName>
    <definedName name="OSRRefT22_0x_0" localSheetId="66">'310'!$T$30:$T$37</definedName>
    <definedName name="OSRRefT22_0x_0" localSheetId="74">'310 &amp; 491'!$T$37:$T$45</definedName>
    <definedName name="OSRRefT22_0x_0" localSheetId="56">'311'!$T$54:$T$62</definedName>
    <definedName name="OSRRefT22_0x_0" localSheetId="68">'313'!$T$27:$T$34</definedName>
    <definedName name="OSRRefT22_0x_0" localSheetId="54">'314'!$T$49:$T$55</definedName>
    <definedName name="OSRRefT22_0x_0" localSheetId="59">'315'!$T$50:$T$57</definedName>
    <definedName name="OSRRefT22_0x_0" localSheetId="62">'316'!$T$30:$T$37</definedName>
    <definedName name="OSRRefT22_0x_0" localSheetId="65">'317'!$T$47:$T$55</definedName>
    <definedName name="OSRRefT22_0x_0" localSheetId="63">'320'!$T$28:$T$34</definedName>
    <definedName name="OSRRefT22_0x_0" localSheetId="69">'321'!$T$24:$T$28</definedName>
    <definedName name="OSRRefT22_0x_0" localSheetId="70">'322'!$T$24:$T$31</definedName>
    <definedName name="OSRRefT22_0x_0" localSheetId="71">'325'!$T$24:$T$31</definedName>
    <definedName name="OSRRefT22_0x_0" localSheetId="60">'326'!$T$49:$T$56</definedName>
    <definedName name="OSRRefT22_0x_0" localSheetId="72">'327'!$T$22</definedName>
    <definedName name="OSRRefT22_0x_0" localSheetId="52">'330'!$T$68:$T$75</definedName>
    <definedName name="OSRRefT22_0x_0" localSheetId="58">'331'!$T$61:$T$68</definedName>
    <definedName name="OSRRefT22_0x_0" localSheetId="61">'332'!$T$38:$T$45</definedName>
    <definedName name="OSRRefT22_0x_0" localSheetId="76">'405'!$T$24:$T$31</definedName>
    <definedName name="OSRRefT22_0x_0" localSheetId="77">'406'!$T$22:$T$29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5">'423'!$T$20:$T$27</definedName>
    <definedName name="OSRRefT22_0x_0" localSheetId="86">'424'!$T$23:$T$25</definedName>
    <definedName name="OSRRefT22_0x_0" localSheetId="87">'425'!$T$24:$T$31</definedName>
    <definedName name="OSRRefT22_0x_0" localSheetId="90">'430'!$T$20:$T$27</definedName>
    <definedName name="OSRRefT22_0x_0" localSheetId="91">'433'!$T$25:$T$33</definedName>
    <definedName name="OSRRefT22_0x_0" localSheetId="92">'435'!$T$20:$T$21</definedName>
    <definedName name="OSRRefT22_0x_0" localSheetId="93">'444'!$T$25:$T$33</definedName>
    <definedName name="OSRRefT22_0x_0" localSheetId="94">'445'!$T$20</definedName>
    <definedName name="OSRRefT22_0x_0" localSheetId="95">'450'!$T$24:$T$32</definedName>
    <definedName name="OSRRefT22_0x_0" localSheetId="88">'455'!$T$20:$T$26</definedName>
    <definedName name="OSRRefT22_0x_0" localSheetId="75">'491'!$T$31:$T$39</definedName>
    <definedName name="OSRRefT22_0x_0" localSheetId="89">'492'!$T$25:$T$33</definedName>
    <definedName name="OSRRefT22_0x_0" localSheetId="97">'501'!$T$21:$T$28</definedName>
    <definedName name="OSRRefT22_0x_0" localSheetId="39">'Div 2'!$T$20:$T$29</definedName>
    <definedName name="OSRRefT22_0x_0" localSheetId="47">'Div 3'!$T$142:$T$150</definedName>
    <definedName name="OSRRefT22_0x_0" localSheetId="73">'Div 4'!$T$32:$T$40</definedName>
    <definedName name="OSRRefT22_0x_0" localSheetId="96">'Div 5'!$T$21:$T$28</definedName>
    <definedName name="OSRRefT22_0x_0" localSheetId="64">'Div 6'!$T$47:$T$55</definedName>
    <definedName name="OSRRefT22_0x_0" localSheetId="2">Summary!$T$169:$T$177</definedName>
    <definedName name="OSRRefT22_10x_0" localSheetId="41">'201'!$T$50:$T$51</definedName>
    <definedName name="OSRRefT22_10x_0" localSheetId="42">'202'!$T$50</definedName>
    <definedName name="OSRRefT22_10x_0" localSheetId="43">'203'!$T$52:$T$54</definedName>
    <definedName name="OSRRefT22_10x_0" localSheetId="48">'300'!$T$173:$T$174</definedName>
    <definedName name="OSRRefT22_10x_0" localSheetId="49">'300 &amp; 317'!$T$193:$T$194</definedName>
    <definedName name="OSRRefT22_10x_0" localSheetId="50">'301'!$T$53</definedName>
    <definedName name="OSRRefT22_10x_0" localSheetId="55">'308'!$T$89:$T$91</definedName>
    <definedName name="OSRRefT22_10x_0" localSheetId="67">'309'!$T$56:$T$59</definedName>
    <definedName name="OSRRefT22_10x_0" localSheetId="66">'310'!$T$62</definedName>
    <definedName name="OSRRefT22_10x_0" localSheetId="74">'310 &amp; 491'!$T$73</definedName>
    <definedName name="OSRRefT22_10x_0" localSheetId="56">'311'!$T$88:$T$90</definedName>
    <definedName name="OSRRefT22_10x_0" localSheetId="68">'313'!$T$57:$T$59</definedName>
    <definedName name="OSRRefT22_10x_0" localSheetId="59">'315'!$T$83</definedName>
    <definedName name="OSRRefT22_10x_0" localSheetId="69">'321'!$T$54</definedName>
    <definedName name="OSRRefT22_10x_0" localSheetId="70">'322'!$T$54:$T$56</definedName>
    <definedName name="OSRRefT22_10x_0" localSheetId="71">'325'!$T$55</definedName>
    <definedName name="OSRRefT22_10x_0" localSheetId="60">'326'!$T$79</definedName>
    <definedName name="OSRRefT22_10x_0" localSheetId="58">'331'!$T$91</definedName>
    <definedName name="OSRRefT22_10x_0" localSheetId="61">'332'!$T$73</definedName>
    <definedName name="OSRRefT22_10x_0" localSheetId="76">'405'!$T$54</definedName>
    <definedName name="OSRRefT22_10x_0" localSheetId="78">'411'!$T$64</definedName>
    <definedName name="OSRRefT22_10x_0" localSheetId="79">'412'!$T$56:$T$62</definedName>
    <definedName name="OSRRefT22_10x_0" localSheetId="80">'413'!$T$56</definedName>
    <definedName name="OSRRefT22_10x_0" localSheetId="81">'414'!$T$54</definedName>
    <definedName name="OSRRefT22_10x_0" localSheetId="82">'415'!$T$55</definedName>
    <definedName name="OSRRefT22_10x_0" localSheetId="83">'418'!$T$58:$T$61</definedName>
    <definedName name="OSRRefT22_10x_0" localSheetId="87">'425'!$T$56:$T$58</definedName>
    <definedName name="OSRRefT22_10x_0" localSheetId="91">'433'!$T$64</definedName>
    <definedName name="OSRRefT22_10x_0" localSheetId="93">'444'!$T$61:$T$65</definedName>
    <definedName name="OSRRefT22_10x_0" localSheetId="95">'450'!$T$62</definedName>
    <definedName name="OSRRefT22_10x_0" localSheetId="75">'491'!$T$67</definedName>
    <definedName name="OSRRefT22_10x_0" localSheetId="89">'492'!$T$59:$T$60</definedName>
    <definedName name="OSRRefT22_10x_0" localSheetId="39">'Div 2'!$T$56</definedName>
    <definedName name="OSRRefT22_10x_0" localSheetId="47">'Div 3'!$T$178:$T$179</definedName>
    <definedName name="OSRRefT22_10x_0" localSheetId="73">'Div 4'!$T$68</definedName>
    <definedName name="OSRRefT22_10x_0" localSheetId="2">Summary!$T$206:$T$207</definedName>
    <definedName name="OSRRefT22_11x_0" localSheetId="41">'201'!$T$53</definedName>
    <definedName name="OSRRefT22_11x_0" localSheetId="42">'202'!$T$52</definedName>
    <definedName name="OSRRefT22_11x_0" localSheetId="43">'203'!$T$56</definedName>
    <definedName name="OSRRefT22_11x_0" localSheetId="48">'300'!$T$176</definedName>
    <definedName name="OSRRefT22_11x_0" localSheetId="49">'300 &amp; 317'!$T$196</definedName>
    <definedName name="OSRRefT22_11x_0" localSheetId="50">'301'!$T$55</definedName>
    <definedName name="OSRRefT22_11x_0" localSheetId="55">'308'!$T$93:$T$94</definedName>
    <definedName name="OSRRefT22_11x_0" localSheetId="67">'309'!$T$61</definedName>
    <definedName name="OSRRefT22_11x_0" localSheetId="66">'310'!$T$64</definedName>
    <definedName name="OSRRefT22_11x_0" localSheetId="74">'310 &amp; 491'!$T$75</definedName>
    <definedName name="OSRRefT22_11x_0" localSheetId="56">'311'!$T$92:$T$93</definedName>
    <definedName name="OSRRefT22_11x_0" localSheetId="68">'313'!$T$61</definedName>
    <definedName name="OSRRefT22_11x_0" localSheetId="59">'315'!$T$85</definedName>
    <definedName name="OSRRefT22_11x_0" localSheetId="69">'321'!$T$56</definedName>
    <definedName name="OSRRefT22_11x_0" localSheetId="70">'322'!$T$58:$T$61</definedName>
    <definedName name="OSRRefT22_11x_0" localSheetId="71">'325'!$T$57:$T$59</definedName>
    <definedName name="OSRRefT22_11x_0" localSheetId="60">'326'!$T$81</definedName>
    <definedName name="OSRRefT22_11x_0" localSheetId="58">'331'!$T$93</definedName>
    <definedName name="OSRRefT22_11x_0" localSheetId="76">'405'!$T$56:$T$58</definedName>
    <definedName name="OSRRefT22_11x_0" localSheetId="78">'411'!$T$66</definedName>
    <definedName name="OSRRefT22_11x_0" localSheetId="79">'412'!$T$64</definedName>
    <definedName name="OSRRefT22_11x_0" localSheetId="81">'414'!$T$56</definedName>
    <definedName name="OSRRefT22_11x_0" localSheetId="82">'415'!$T$57</definedName>
    <definedName name="OSRRefT22_11x_0" localSheetId="83">'418'!$T$63</definedName>
    <definedName name="OSRRefT22_11x_0" localSheetId="87">'425'!$T$60</definedName>
    <definedName name="OSRRefT22_11x_0" localSheetId="91">'433'!$T$66</definedName>
    <definedName name="OSRRefT22_11x_0" localSheetId="93">'444'!$T$67</definedName>
    <definedName name="OSRRefT22_11x_0" localSheetId="95">'450'!$T$64</definedName>
    <definedName name="OSRRefT22_11x_0" localSheetId="75">'491'!$T$69</definedName>
    <definedName name="OSRRefT22_11x_0" localSheetId="89">'492'!$T$62:$T$64</definedName>
    <definedName name="OSRRefT22_11x_0" localSheetId="39">'Div 2'!$T$58</definedName>
    <definedName name="OSRRefT22_11x_0" localSheetId="47">'Div 3'!$T$181</definedName>
    <definedName name="OSRRefT22_11x_0" localSheetId="73">'Div 4'!$T$70</definedName>
    <definedName name="OSRRefT22_11x_0" localSheetId="2">Summary!$T$209</definedName>
    <definedName name="OSRRefT22_12x_0" localSheetId="41">'201'!$T$55:$T$56</definedName>
    <definedName name="OSRRefT22_12x_0" localSheetId="43">'203'!$T$58</definedName>
    <definedName name="OSRRefT22_12x_0" localSheetId="48">'300'!$T$178</definedName>
    <definedName name="OSRRefT22_12x_0" localSheetId="49">'300 &amp; 317'!$T$198</definedName>
    <definedName name="OSRRefT22_12x_0" localSheetId="50">'301'!$T$57</definedName>
    <definedName name="OSRRefT22_12x_0" localSheetId="55">'308'!$T$96</definedName>
    <definedName name="OSRRefT22_12x_0" localSheetId="66">'310'!$T$66</definedName>
    <definedName name="OSRRefT22_12x_0" localSheetId="74">'310 &amp; 491'!$T$77</definedName>
    <definedName name="OSRRefT22_12x_0" localSheetId="56">'311'!$T$95</definedName>
    <definedName name="OSRRefT22_12x_0" localSheetId="68">'313'!$T$63</definedName>
    <definedName name="OSRRefT22_12x_0" localSheetId="70">'322'!$T$63</definedName>
    <definedName name="OSRRefT22_12x_0" localSheetId="71">'325'!$T$61</definedName>
    <definedName name="OSRRefT22_12x_0" localSheetId="60">'326'!$T$83:$T$85</definedName>
    <definedName name="OSRRefT22_12x_0" localSheetId="58">'331'!$T$95</definedName>
    <definedName name="OSRRefT22_12x_0" localSheetId="76">'405'!$T$60</definedName>
    <definedName name="OSRRefT22_12x_0" localSheetId="78">'411'!$T$68:$T$70</definedName>
    <definedName name="OSRRefT22_12x_0" localSheetId="81">'414'!$T$58:$T$62</definedName>
    <definedName name="OSRRefT22_12x_0" localSheetId="82">'415'!$T$59:$T$63</definedName>
    <definedName name="OSRRefT22_12x_0" localSheetId="83">'418'!$T$65</definedName>
    <definedName name="OSRRefT22_12x_0" localSheetId="87">'425'!$T$62</definedName>
    <definedName name="OSRRefT22_12x_0" localSheetId="91">'433'!$T$68:$T$69</definedName>
    <definedName name="OSRRefT22_12x_0" localSheetId="93">'444'!$T$69</definedName>
    <definedName name="OSRRefT22_12x_0" localSheetId="95">'450'!$T$66</definedName>
    <definedName name="OSRRefT22_12x_0" localSheetId="75">'491'!$T$71:$T$72</definedName>
    <definedName name="OSRRefT22_12x_0" localSheetId="89">'492'!$T$66:$T$72</definedName>
    <definedName name="OSRRefT22_12x_0" localSheetId="39">'Div 2'!$T$60:$T$63</definedName>
    <definedName name="OSRRefT22_12x_0" localSheetId="47">'Div 3'!$T$183</definedName>
    <definedName name="OSRRefT22_12x_0" localSheetId="73">'Div 4'!$T$72</definedName>
    <definedName name="OSRRefT22_12x_0" localSheetId="2">Summary!$T$211</definedName>
    <definedName name="OSRRefT22_13x_0" localSheetId="41">'201'!$T$58</definedName>
    <definedName name="OSRRefT22_13x_0" localSheetId="43">'203'!$T$60</definedName>
    <definedName name="OSRRefT22_13x_0" localSheetId="48">'300'!$T$180</definedName>
    <definedName name="OSRRefT22_13x_0" localSheetId="49">'300 &amp; 317'!$T$200</definedName>
    <definedName name="OSRRefT22_13x_0" localSheetId="50">'301'!$T$59</definedName>
    <definedName name="OSRRefT22_13x_0" localSheetId="66">'310'!$T$68</definedName>
    <definedName name="OSRRefT22_13x_0" localSheetId="74">'310 &amp; 491'!$T$79</definedName>
    <definedName name="OSRRefT22_13x_0" localSheetId="70">'322'!$T$65</definedName>
    <definedName name="OSRRefT22_13x_0" localSheetId="71">'325'!$T$63:$T$65</definedName>
    <definedName name="OSRRefT22_13x_0" localSheetId="60">'326'!$T$87</definedName>
    <definedName name="OSRRefT22_13x_0" localSheetId="58">'331'!$T$97:$T$98</definedName>
    <definedName name="OSRRefT22_13x_0" localSheetId="76">'405'!$T$62:$T$66</definedName>
    <definedName name="OSRRefT22_13x_0" localSheetId="78">'411'!$T$72</definedName>
    <definedName name="OSRRefT22_13x_0" localSheetId="81">'414'!$T$64</definedName>
    <definedName name="OSRRefT22_13x_0" localSheetId="82">'415'!$T$65</definedName>
    <definedName name="OSRRefT22_13x_0" localSheetId="87">'425'!$T$64</definedName>
    <definedName name="OSRRefT22_13x_0" localSheetId="93">'444'!$T$71</definedName>
    <definedName name="OSRRefT22_13x_0" localSheetId="75">'491'!$T$74:$T$75</definedName>
    <definedName name="OSRRefT22_13x_0" localSheetId="89">'492'!$T$74</definedName>
    <definedName name="OSRRefT22_13x_0" localSheetId="39">'Div 2'!$T$65:$T$67</definedName>
    <definedName name="OSRRefT22_13x_0" localSheetId="47">'Div 3'!$T$185</definedName>
    <definedName name="OSRRefT22_13x_0" localSheetId="73">'Div 4'!$T$74:$T$75</definedName>
    <definedName name="OSRRefT22_13x_0" localSheetId="2">Summary!$T$213</definedName>
    <definedName name="OSRRefT22_14x_0" localSheetId="41">'201'!$T$60:$T$61</definedName>
    <definedName name="OSRRefT22_14x_0" localSheetId="48">'300'!$T$182</definedName>
    <definedName name="OSRRefT22_14x_0" localSheetId="49">'300 &amp; 317'!$T$202</definedName>
    <definedName name="OSRRefT22_14x_0" localSheetId="50">'301'!$T$61:$T$63</definedName>
    <definedName name="OSRRefT22_14x_0" localSheetId="66">'310'!$T$70</definedName>
    <definedName name="OSRRefT22_14x_0" localSheetId="74">'310 &amp; 491'!$T$81:$T$82</definedName>
    <definedName name="OSRRefT22_14x_0" localSheetId="71">'325'!$T$67</definedName>
    <definedName name="OSRRefT22_14x_0" localSheetId="60">'326'!$T$89:$T$92</definedName>
    <definedName name="OSRRefT22_14x_0" localSheetId="58">'331'!$T$100:$T$102</definedName>
    <definedName name="OSRRefT22_14x_0" localSheetId="76">'405'!$T$68</definedName>
    <definedName name="OSRRefT22_14x_0" localSheetId="82">'415'!$T$67:$T$72</definedName>
    <definedName name="OSRRefT22_14x_0" localSheetId="75">'491'!$T$77:$T$81</definedName>
    <definedName name="OSRRefT22_14x_0" localSheetId="89">'492'!$T$76</definedName>
    <definedName name="OSRRefT22_14x_0" localSheetId="39">'Div 2'!$T$69:$T$70</definedName>
    <definedName name="OSRRefT22_14x_0" localSheetId="47">'Div 3'!$T$187</definedName>
    <definedName name="OSRRefT22_14x_0" localSheetId="73">'Div 4'!$T$77:$T$78</definedName>
    <definedName name="OSRRefT22_14x_0" localSheetId="2">Summary!$T$215</definedName>
    <definedName name="OSRRefT22_15x_0" localSheetId="48">'300'!$T$184</definedName>
    <definedName name="OSRRefT22_15x_0" localSheetId="49">'300 &amp; 317'!$T$204</definedName>
    <definedName name="OSRRefT22_15x_0" localSheetId="50">'301'!$T$65:$T$67</definedName>
    <definedName name="OSRRefT22_15x_0" localSheetId="66">'310'!$T$72</definedName>
    <definedName name="OSRRefT22_15x_0" localSheetId="74">'310 &amp; 491'!$T$84:$T$85</definedName>
    <definedName name="OSRRefT22_15x_0" localSheetId="71">'325'!$T$69</definedName>
    <definedName name="OSRRefT22_15x_0" localSheetId="60">'326'!$T$94</definedName>
    <definedName name="OSRRefT22_15x_0" localSheetId="58">'331'!$T$104</definedName>
    <definedName name="OSRRefT22_15x_0" localSheetId="76">'405'!$T$70</definedName>
    <definedName name="OSRRefT22_15x_0" localSheetId="82">'415'!$T$74</definedName>
    <definedName name="OSRRefT22_15x_0" localSheetId="75">'491'!$T$83</definedName>
    <definedName name="OSRRefT22_15x_0" localSheetId="89">'492'!$T$78:$T$79</definedName>
    <definedName name="OSRRefT22_15x_0" localSheetId="39">'Div 2'!$T$72</definedName>
    <definedName name="OSRRefT22_15x_0" localSheetId="47">'Div 3'!$T$189</definedName>
    <definedName name="OSRRefT22_15x_0" localSheetId="73">'Div 4'!$T$80:$T$84</definedName>
    <definedName name="OSRRefT22_15x_0" localSheetId="2">Summary!$T$217</definedName>
    <definedName name="OSRRefT22_16x_0" localSheetId="48">'300'!$T$186:$T$188</definedName>
    <definedName name="OSRRefT22_16x_0" localSheetId="49">'300 &amp; 317'!$T$206:$T$208</definedName>
    <definedName name="OSRRefT22_16x_0" localSheetId="50">'301'!$T$69</definedName>
    <definedName name="OSRRefT22_16x_0" localSheetId="66">'310'!$T$74:$T$77</definedName>
    <definedName name="OSRRefT22_16x_0" localSheetId="74">'310 &amp; 491'!$T$87:$T$91</definedName>
    <definedName name="OSRRefT22_16x_0" localSheetId="60">'326'!$T$96</definedName>
    <definedName name="OSRRefT22_16x_0" localSheetId="58">'331'!$T$106:$T$110</definedName>
    <definedName name="OSRRefT22_16x_0" localSheetId="76">'405'!$T$72</definedName>
    <definedName name="OSRRefT22_16x_0" localSheetId="82">'415'!$T$76</definedName>
    <definedName name="OSRRefT22_16x_0" localSheetId="75">'491'!$T$85:$T$92</definedName>
    <definedName name="OSRRefT22_16x_0" localSheetId="39">'Div 2'!$T$74:$T$77</definedName>
    <definedName name="OSRRefT22_16x_0" localSheetId="47">'Div 3'!$T$191</definedName>
    <definedName name="OSRRefT22_16x_0" localSheetId="73">'Div 4'!$T$86</definedName>
    <definedName name="OSRRefT22_16x_0" localSheetId="2">Summary!$T$219</definedName>
    <definedName name="OSRRefT22_17x_0" localSheetId="48">'300'!$T$190:$T$192</definedName>
    <definedName name="OSRRefT22_17x_0" localSheetId="49">'300 &amp; 317'!$T$210:$T$212</definedName>
    <definedName name="OSRRefT22_17x_0" localSheetId="50">'301'!$T$71:$T$75</definedName>
    <definedName name="OSRRefT22_17x_0" localSheetId="66">'310'!$T$79:$T$80</definedName>
    <definedName name="OSRRefT22_17x_0" localSheetId="74">'310 &amp; 491'!$T$93:$T$94</definedName>
    <definedName name="OSRRefT22_17x_0" localSheetId="60">'326'!$T$98</definedName>
    <definedName name="OSRRefT22_17x_0" localSheetId="58">'331'!$T$112</definedName>
    <definedName name="OSRRefT22_17x_0" localSheetId="82">'415'!$T$78</definedName>
    <definedName name="OSRRefT22_17x_0" localSheetId="75">'491'!$T$94</definedName>
    <definedName name="OSRRefT22_17x_0" localSheetId="39">'Div 2'!$T$79:$T$80</definedName>
    <definedName name="OSRRefT22_17x_0" localSheetId="47">'Div 3'!$T$193:$T$195</definedName>
    <definedName name="OSRRefT22_17x_0" localSheetId="73">'Div 4'!$T$88:$T$95</definedName>
    <definedName name="OSRRefT22_17x_0" localSheetId="2">Summary!$T$221</definedName>
    <definedName name="OSRRefT22_18x_0" localSheetId="48">'300'!$T$194:$T$197</definedName>
    <definedName name="OSRRefT22_18x_0" localSheetId="49">'300 &amp; 317'!$T$214:$T$217</definedName>
    <definedName name="OSRRefT22_18x_0" localSheetId="50">'301'!$T$77</definedName>
    <definedName name="OSRRefT22_18x_0" localSheetId="66">'310'!$T$82:$T$86</definedName>
    <definedName name="OSRRefT22_18x_0" localSheetId="74">'310 &amp; 491'!$T$96:$T$103</definedName>
    <definedName name="OSRRefT22_18x_0" localSheetId="58">'331'!$T$114</definedName>
    <definedName name="OSRRefT22_18x_0" localSheetId="75">'491'!$T$96</definedName>
    <definedName name="OSRRefT22_18x_0" localSheetId="39">'Div 2'!$T$82</definedName>
    <definedName name="OSRRefT22_18x_0" localSheetId="47">'Div 3'!$T$197:$T$199</definedName>
    <definedName name="OSRRefT22_18x_0" localSheetId="73">'Div 4'!$T$97</definedName>
    <definedName name="OSRRefT22_18x_0" localSheetId="2">Summary!$T$223:$T$225</definedName>
    <definedName name="OSRRefT22_19x_0" localSheetId="48">'300'!$T$199:$T$200</definedName>
    <definedName name="OSRRefT22_19x_0" localSheetId="49">'300 &amp; 317'!$T$219:$T$220</definedName>
    <definedName name="OSRRefT22_19x_0" localSheetId="50">'301'!$T$79</definedName>
    <definedName name="OSRRefT22_19x_0" localSheetId="66">'310'!$T$88</definedName>
    <definedName name="OSRRefT22_19x_0" localSheetId="74">'310 &amp; 491'!$T$105</definedName>
    <definedName name="OSRRefT22_19x_0" localSheetId="58">'331'!$T$116</definedName>
    <definedName name="OSRRefT22_19x_0" localSheetId="75">'491'!$T$98:$T$100</definedName>
    <definedName name="OSRRefT22_19x_0" localSheetId="39">'Div 2'!$T$84:$T$85</definedName>
    <definedName name="OSRRefT22_19x_0" localSheetId="47">'Div 3'!$T$201:$T$205</definedName>
    <definedName name="OSRRefT22_19x_0" localSheetId="73">'Div 4'!$T$99</definedName>
    <definedName name="OSRRefT22_19x_0" localSheetId="2">Summary!$T$227:$T$229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'203'!$T$30:$T$33</definedName>
    <definedName name="OSRRefT22_1x_0" localSheetId="44">'204'!$T$30:$T$34</definedName>
    <definedName name="OSRRefT22_1x_0" localSheetId="45">'205'!$T$29</definedName>
    <definedName name="OSRRefT22_1x_0" localSheetId="46">'206'!$T$29:$T$32</definedName>
    <definedName name="OSRRefT22_1x_0" localSheetId="48">'300'!$T$147:$T$153</definedName>
    <definedName name="OSRRefT22_1x_0" localSheetId="49">'300 &amp; 317'!$T$167:$T$173</definedName>
    <definedName name="OSRRefT22_1x_0" localSheetId="50">'301'!$T$29:$T$33</definedName>
    <definedName name="OSRRefT22_1x_0" localSheetId="51">'306'!$T$30:$T$34</definedName>
    <definedName name="OSRRefT22_1x_0" localSheetId="53">'307'!$T$63:$T$65</definedName>
    <definedName name="OSRRefT22_1x_0" localSheetId="55">'308'!$T$65:$T$69</definedName>
    <definedName name="OSRRefT22_1x_0" localSheetId="67">'309'!$T$33:$T$37</definedName>
    <definedName name="OSRRefT22_1x_0" localSheetId="66">'310'!$T$39:$T$43</definedName>
    <definedName name="OSRRefT22_1x_0" localSheetId="74">'310 &amp; 491'!$T$47:$T$53</definedName>
    <definedName name="OSRRefT22_1x_0" localSheetId="56">'311'!$T$64:$T$68</definedName>
    <definedName name="OSRRefT22_1x_0" localSheetId="68">'313'!$T$36:$T$39</definedName>
    <definedName name="OSRRefT22_1x_0" localSheetId="54">'314'!$T$57:$T$59</definedName>
    <definedName name="OSRRefT22_1x_0" localSheetId="59">'315'!$T$59:$T$62</definedName>
    <definedName name="OSRRefT22_1x_0" localSheetId="62">'316'!$T$39:$T$42</definedName>
    <definedName name="OSRRefT22_1x_0" localSheetId="65">'317'!$T$57:$T$60</definedName>
    <definedName name="OSRRefT22_1x_0" localSheetId="63">'320'!$T$36:$T$37</definedName>
    <definedName name="OSRRefT22_1x_0" localSheetId="69">'321'!$T$30:$T$33</definedName>
    <definedName name="OSRRefT22_1x_0" localSheetId="70">'322'!$T$33:$T$36</definedName>
    <definedName name="OSRRefT22_1x_0" localSheetId="71">'325'!$T$33:$T$36</definedName>
    <definedName name="OSRRefT22_1x_0" localSheetId="60">'326'!$T$58:$T$61</definedName>
    <definedName name="OSRRefT22_1x_0" localSheetId="52">'330'!$T$77:$T$79</definedName>
    <definedName name="OSRRefT22_1x_0" localSheetId="58">'331'!$T$70:$T$73</definedName>
    <definedName name="OSRRefT22_1x_0" localSheetId="61">'332'!$T$47:$T$50</definedName>
    <definedName name="OSRRefT22_1x_0" localSheetId="76">'405'!$T$33:$T$34</definedName>
    <definedName name="OSRRefT22_1x_0" localSheetId="77">'406'!$T$31:$T$33</definedName>
    <definedName name="OSRRefT22_1x_0" localSheetId="78">'411'!$T$30:$T$35</definedName>
    <definedName name="OSRRefT22_1x_0" localSheetId="79">'412'!$T$32:$T$37</definedName>
    <definedName name="OSRRefT22_1x_0" localSheetId="80">'413'!$T$33:$T$36</definedName>
    <definedName name="OSRRefT22_1x_0" localSheetId="81">'414'!$T$33:$T$36</definedName>
    <definedName name="OSRRefT22_1x_0" localSheetId="82">'415'!$T$33:$T$36</definedName>
    <definedName name="OSRRefT22_1x_0" localSheetId="83">'418'!$T$33:$T$38</definedName>
    <definedName name="OSRRefT22_1x_0" localSheetId="85">'423'!$T$29</definedName>
    <definedName name="OSRRefT22_1x_0" localSheetId="86">'424'!$T$27</definedName>
    <definedName name="OSRRefT22_1x_0" localSheetId="87">'425'!$T$33:$T$37</definedName>
    <definedName name="OSRRefT22_1x_0" localSheetId="90">'430'!$T$29</definedName>
    <definedName name="OSRRefT22_1x_0" localSheetId="91">'433'!$T$35:$T$40</definedName>
    <definedName name="OSRRefT22_1x_0" localSheetId="92">'435'!$T$23</definedName>
    <definedName name="OSRRefT22_1x_0" localSheetId="93">'444'!$T$35:$T$40</definedName>
    <definedName name="OSRRefT22_1x_0" localSheetId="95">'450'!$T$34:$T$39</definedName>
    <definedName name="OSRRefT22_1x_0" localSheetId="88">'455'!$T$28:$T$29</definedName>
    <definedName name="OSRRefT22_1x_0" localSheetId="75">'491'!$T$41:$T$47</definedName>
    <definedName name="OSRRefT22_1x_0" localSheetId="89">'492'!$T$35:$T$41</definedName>
    <definedName name="OSRRefT22_1x_0" localSheetId="97">'501'!$T$30:$T$35</definedName>
    <definedName name="OSRRefT22_1x_0" localSheetId="39">'Div 2'!$T$31:$T$37</definedName>
    <definedName name="OSRRefT22_1x_0" localSheetId="47">'Div 3'!$T$152:$T$158</definedName>
    <definedName name="OSRRefT22_1x_0" localSheetId="73">'Div 4'!$T$42:$T$48</definedName>
    <definedName name="OSRRefT22_1x_0" localSheetId="96">'Div 5'!$T$30:$T$35</definedName>
    <definedName name="OSRRefT22_1x_0" localSheetId="64">'Div 6'!$T$57:$T$60</definedName>
    <definedName name="OSRRefT22_1x_0" localSheetId="2">Summary!$T$179:$T$185</definedName>
    <definedName name="OSRRefT22_20x_0" localSheetId="48">'300'!$T$202:$T$207</definedName>
    <definedName name="OSRRefT22_20x_0" localSheetId="49">'300 &amp; 317'!$T$222:$T$227</definedName>
    <definedName name="OSRRefT22_20x_0" localSheetId="50">'301'!$T$81:$T$82</definedName>
    <definedName name="OSRRefT22_20x_0" localSheetId="66">'310'!$T$90</definedName>
    <definedName name="OSRRefT22_20x_0" localSheetId="74">'310 &amp; 491'!$T$107</definedName>
    <definedName name="OSRRefT22_20x_0" localSheetId="58">'331'!$T$118</definedName>
    <definedName name="OSRRefT22_20x_0" localSheetId="75">'491'!$T$102</definedName>
    <definedName name="OSRRefT22_20x_0" localSheetId="47">'Div 3'!$T$207:$T$208</definedName>
    <definedName name="OSRRefT22_20x_0" localSheetId="73">'Div 4'!$T$101:$T$103</definedName>
    <definedName name="OSRRefT22_20x_0" localSheetId="2">Summary!$T$231:$T$235</definedName>
    <definedName name="OSRRefT22_21x_0" localSheetId="48">'300'!$T$209:$T$210</definedName>
    <definedName name="OSRRefT22_21x_0" localSheetId="49">'300 &amp; 317'!$T$229:$T$230</definedName>
    <definedName name="OSRRefT22_21x_0" localSheetId="50">'301'!$T$84</definedName>
    <definedName name="OSRRefT22_21x_0" localSheetId="66">'310'!$T$92</definedName>
    <definedName name="OSRRefT22_21x_0" localSheetId="74">'310 &amp; 491'!$T$109:$T$111</definedName>
    <definedName name="OSRRefT22_21x_0" localSheetId="47">'Div 3'!$T$210:$T$215</definedName>
    <definedName name="OSRRefT22_21x_0" localSheetId="73">'Div 4'!$T$105</definedName>
    <definedName name="OSRRefT22_21x_0" localSheetId="2">Summary!$T$237:$T$238</definedName>
    <definedName name="OSRRefT22_22x_0" localSheetId="48">'300'!$T$212</definedName>
    <definedName name="OSRRefT22_22x_0" localSheetId="49">'300 &amp; 317'!$T$232</definedName>
    <definedName name="OSRRefT22_22x_0" localSheetId="74">'310 &amp; 491'!$T$113</definedName>
    <definedName name="OSRRefT22_22x_0" localSheetId="47">'Div 3'!$T$217:$T$218</definedName>
    <definedName name="OSRRefT22_22x_0" localSheetId="2">Summary!$T$240:$T$247</definedName>
    <definedName name="OSRRefT22_23x_0" localSheetId="48">'300'!$T$214:$T$216</definedName>
    <definedName name="OSRRefT22_23x_0" localSheetId="49">'300 &amp; 317'!$T$234:$T$236</definedName>
    <definedName name="OSRRefT22_23x_0" localSheetId="47">'Div 3'!$T$220</definedName>
    <definedName name="OSRRefT22_23x_0" localSheetId="2">Summary!$T$249:$T$250</definedName>
    <definedName name="OSRRefT22_24x_0" localSheetId="48">'300'!$T$218</definedName>
    <definedName name="OSRRefT22_24x_0" localSheetId="49">'300 &amp; 317'!$T$238</definedName>
    <definedName name="OSRRefT22_24x_0" localSheetId="47">'Div 3'!$T$222:$T$224</definedName>
    <definedName name="OSRRefT22_24x_0" localSheetId="2">Summary!$T$252</definedName>
    <definedName name="OSRRefT22_25x_0" localSheetId="47">'Div 3'!$T$226</definedName>
    <definedName name="OSRRefT22_25x_0" localSheetId="2">Summary!$T$254:$T$256</definedName>
    <definedName name="OSRRefT22_26x_0" localSheetId="2">Summary!$T$258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'203'!$T$35</definedName>
    <definedName name="OSRRefT22_2x_0" localSheetId="44">'204'!$T$36</definedName>
    <definedName name="OSRRefT22_2x_0" localSheetId="45">'205'!$T$31</definedName>
    <definedName name="OSRRefT22_2x_0" localSheetId="46">'206'!$T$34</definedName>
    <definedName name="OSRRefT22_2x_0" localSheetId="48">'300'!$T$155</definedName>
    <definedName name="OSRRefT22_2x_0" localSheetId="49">'300 &amp; 317'!$T$175</definedName>
    <definedName name="OSRRefT22_2x_0" localSheetId="50">'301'!$T$35</definedName>
    <definedName name="OSRRefT22_2x_0" localSheetId="51">'306'!$T$36</definedName>
    <definedName name="OSRRefT22_2x_0" localSheetId="53">'307'!$T$67</definedName>
    <definedName name="OSRRefT22_2x_0" localSheetId="55">'308'!$T$71</definedName>
    <definedName name="OSRRefT22_2x_0" localSheetId="67">'309'!$T$39</definedName>
    <definedName name="OSRRefT22_2x_0" localSheetId="66">'310'!$T$45</definedName>
    <definedName name="OSRRefT22_2x_0" localSheetId="74">'310 &amp; 491'!$T$55</definedName>
    <definedName name="OSRRefT22_2x_0" localSheetId="56">'311'!$T$70</definedName>
    <definedName name="OSRRefT22_2x_0" localSheetId="68">'313'!$T$41</definedName>
    <definedName name="OSRRefT22_2x_0" localSheetId="54">'314'!$T$61</definedName>
    <definedName name="OSRRefT22_2x_0" localSheetId="59">'315'!$T$64</definedName>
    <definedName name="OSRRefT22_2x_0" localSheetId="62">'316'!$T$44</definedName>
    <definedName name="OSRRefT22_2x_0" localSheetId="65">'317'!$T$62</definedName>
    <definedName name="OSRRefT22_2x_0" localSheetId="63">'320'!$T$39</definedName>
    <definedName name="OSRRefT22_2x_0" localSheetId="69">'321'!$T$35</definedName>
    <definedName name="OSRRefT22_2x_0" localSheetId="70">'322'!$T$38</definedName>
    <definedName name="OSRRefT22_2x_0" localSheetId="71">'325'!$T$38</definedName>
    <definedName name="OSRRefT22_2x_0" localSheetId="60">'326'!$T$63</definedName>
    <definedName name="OSRRefT22_2x_0" localSheetId="52">'330'!$T$81</definedName>
    <definedName name="OSRRefT22_2x_0" localSheetId="58">'331'!$T$75</definedName>
    <definedName name="OSRRefT22_2x_0" localSheetId="61">'332'!$T$52</definedName>
    <definedName name="OSRRefT22_2x_0" localSheetId="76">'405'!$T$36</definedName>
    <definedName name="OSRRefT22_2x_0" localSheetId="77">'406'!$T$35</definedName>
    <definedName name="OSRRefT22_2x_0" localSheetId="78">'411'!$T$37</definedName>
    <definedName name="OSRRefT22_2x_0" localSheetId="79">'412'!$T$39</definedName>
    <definedName name="OSRRefT22_2x_0" localSheetId="80">'413'!$T$38</definedName>
    <definedName name="OSRRefT22_2x_0" localSheetId="81">'414'!$T$38</definedName>
    <definedName name="OSRRefT22_2x_0" localSheetId="82">'415'!$T$38</definedName>
    <definedName name="OSRRefT22_2x_0" localSheetId="83">'418'!$T$40</definedName>
    <definedName name="OSRRefT22_2x_0" localSheetId="85">'423'!$T$31</definedName>
    <definedName name="OSRRefT22_2x_0" localSheetId="86">'424'!$T$29</definedName>
    <definedName name="OSRRefT22_2x_0" localSheetId="87">'425'!$T$39</definedName>
    <definedName name="OSRRefT22_2x_0" localSheetId="90">'430'!$T$31</definedName>
    <definedName name="OSRRefT22_2x_0" localSheetId="91">'433'!$T$42</definedName>
    <definedName name="OSRRefT22_2x_0" localSheetId="92">'435'!$T$25</definedName>
    <definedName name="OSRRefT22_2x_0" localSheetId="93">'444'!$T$42</definedName>
    <definedName name="OSRRefT22_2x_0" localSheetId="95">'450'!$T$41</definedName>
    <definedName name="OSRRefT22_2x_0" localSheetId="75">'491'!$T$49</definedName>
    <definedName name="OSRRefT22_2x_0" localSheetId="89">'492'!$T$43</definedName>
    <definedName name="OSRRefT22_2x_0" localSheetId="97">'501'!$T$37</definedName>
    <definedName name="OSRRefT22_2x_0" localSheetId="39">'Div 2'!$T$39</definedName>
    <definedName name="OSRRefT22_2x_0" localSheetId="47">'Div 3'!$T$160</definedName>
    <definedName name="OSRRefT22_2x_0" localSheetId="73">'Div 4'!$T$50</definedName>
    <definedName name="OSRRefT22_2x_0" localSheetId="96">'Div 5'!$T$37</definedName>
    <definedName name="OSRRefT22_2x_0" localSheetId="64">'Div 6'!$T$62</definedName>
    <definedName name="OSRRefT22_2x_0" localSheetId="2">Summary!$T$187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'203'!$T$37</definedName>
    <definedName name="OSRRefT22_3x_0" localSheetId="44">'204'!$T$38:$T$39</definedName>
    <definedName name="OSRRefT22_3x_0" localSheetId="45">'205'!$T$33</definedName>
    <definedName name="OSRRefT22_3x_0" localSheetId="46">'206'!$T$36</definedName>
    <definedName name="OSRRefT22_3x_0" localSheetId="48">'300'!$T$157</definedName>
    <definedName name="OSRRefT22_3x_0" localSheetId="49">'300 &amp; 317'!$T$177</definedName>
    <definedName name="OSRRefT22_3x_0" localSheetId="50">'301'!$T$37</definedName>
    <definedName name="OSRRefT22_3x_0" localSheetId="51">'306'!$T$38</definedName>
    <definedName name="OSRRefT22_3x_0" localSheetId="53">'307'!$T$69</definedName>
    <definedName name="OSRRefT22_3x_0" localSheetId="55">'308'!$T$73:$T$74</definedName>
    <definedName name="OSRRefT22_3x_0" localSheetId="67">'309'!$T$41</definedName>
    <definedName name="OSRRefT22_3x_0" localSheetId="66">'310'!$T$47</definedName>
    <definedName name="OSRRefT22_3x_0" localSheetId="74">'310 &amp; 491'!$T$57</definedName>
    <definedName name="OSRRefT22_3x_0" localSheetId="56">'311'!$T$72:$T$73</definedName>
    <definedName name="OSRRefT22_3x_0" localSheetId="68">'313'!$T$43</definedName>
    <definedName name="OSRRefT22_3x_0" localSheetId="54">'314'!$T$63</definedName>
    <definedName name="OSRRefT22_3x_0" localSheetId="59">'315'!$T$66</definedName>
    <definedName name="OSRRefT22_3x_0" localSheetId="62">'316'!$T$46</definedName>
    <definedName name="OSRRefT22_3x_0" localSheetId="65">'317'!$T$64</definedName>
    <definedName name="OSRRefT22_3x_0" localSheetId="63">'320'!$T$41:$T$42</definedName>
    <definedName name="OSRRefT22_3x_0" localSheetId="69">'321'!$T$37</definedName>
    <definedName name="OSRRefT22_3x_0" localSheetId="70">'322'!$T$40</definedName>
    <definedName name="OSRRefT22_3x_0" localSheetId="71">'325'!$T$40</definedName>
    <definedName name="OSRRefT22_3x_0" localSheetId="60">'326'!$T$65</definedName>
    <definedName name="OSRRefT22_3x_0" localSheetId="52">'330'!$T$83</definedName>
    <definedName name="OSRRefT22_3x_0" localSheetId="58">'331'!$T$77</definedName>
    <definedName name="OSRRefT22_3x_0" localSheetId="61">'332'!$T$54</definedName>
    <definedName name="OSRRefT22_3x_0" localSheetId="76">'405'!$T$38</definedName>
    <definedName name="OSRRefT22_3x_0" localSheetId="77">'406'!$T$37</definedName>
    <definedName name="OSRRefT22_3x_0" localSheetId="78">'411'!$T$39:$T$41</definedName>
    <definedName name="OSRRefT22_3x_0" localSheetId="79">'412'!$T$41</definedName>
    <definedName name="OSRRefT22_3x_0" localSheetId="80">'413'!$T$40</definedName>
    <definedName name="OSRRefT22_3x_0" localSheetId="81">'414'!$T$40</definedName>
    <definedName name="OSRRefT22_3x_0" localSheetId="82">'415'!$T$40</definedName>
    <definedName name="OSRRefT22_3x_0" localSheetId="83">'418'!$T$42</definedName>
    <definedName name="OSRRefT22_3x_0" localSheetId="85">'423'!$T$33</definedName>
    <definedName name="OSRRefT22_3x_0" localSheetId="86">'424'!$T$31</definedName>
    <definedName name="OSRRefT22_3x_0" localSheetId="87">'425'!$T$41</definedName>
    <definedName name="OSRRefT22_3x_0" localSheetId="90">'430'!$T$33</definedName>
    <definedName name="OSRRefT22_3x_0" localSheetId="91">'433'!$T$44</definedName>
    <definedName name="OSRRefT22_3x_0" localSheetId="92">'435'!$T$27</definedName>
    <definedName name="OSRRefT22_3x_0" localSheetId="93">'444'!$T$44</definedName>
    <definedName name="OSRRefT22_3x_0" localSheetId="95">'450'!$T$43</definedName>
    <definedName name="OSRRefT22_3x_0" localSheetId="75">'491'!$T$51</definedName>
    <definedName name="OSRRefT22_3x_0" localSheetId="89">'492'!$T$45</definedName>
    <definedName name="OSRRefT22_3x_0" localSheetId="97">'501'!$T$39</definedName>
    <definedName name="OSRRefT22_3x_0" localSheetId="39">'Div 2'!$T$41</definedName>
    <definedName name="OSRRefT22_3x_0" localSheetId="47">'Div 3'!$T$162</definedName>
    <definedName name="OSRRefT22_3x_0" localSheetId="73">'Div 4'!$T$52</definedName>
    <definedName name="OSRRefT22_3x_0" localSheetId="96">'Div 5'!$T$39</definedName>
    <definedName name="OSRRefT22_3x_0" localSheetId="64">'Div 6'!$T$64</definedName>
    <definedName name="OSRRefT22_3x_0" localSheetId="2">Summary!$T$189</definedName>
    <definedName name="OSRRefT22_4x_0" localSheetId="41">'201'!$T$37</definedName>
    <definedName name="OSRRefT22_4x_0" localSheetId="42">'202'!$T$38</definedName>
    <definedName name="OSRRefT22_4x_0" localSheetId="43">'203'!$T$39</definedName>
    <definedName name="OSRRefT22_4x_0" localSheetId="44">'204'!$T$41</definedName>
    <definedName name="OSRRefT22_4x_0" localSheetId="45">'205'!$T$35</definedName>
    <definedName name="OSRRefT22_4x_0" localSheetId="46">'206'!$T$38:$T$39</definedName>
    <definedName name="OSRRefT22_4x_0" localSheetId="48">'300'!$T$159</definedName>
    <definedName name="OSRRefT22_4x_0" localSheetId="49">'300 &amp; 317'!$T$179</definedName>
    <definedName name="OSRRefT22_4x_0" localSheetId="50">'301'!$T$39</definedName>
    <definedName name="OSRRefT22_4x_0" localSheetId="51">'306'!$T$40</definedName>
    <definedName name="OSRRefT22_4x_0" localSheetId="53">'307'!$T$71</definedName>
    <definedName name="OSRRefT22_4x_0" localSheetId="55">'308'!$T$76</definedName>
    <definedName name="OSRRefT22_4x_0" localSheetId="67">'309'!$T$43</definedName>
    <definedName name="OSRRefT22_4x_0" localSheetId="66">'310'!$T$49</definedName>
    <definedName name="OSRRefT22_4x_0" localSheetId="74">'310 &amp; 491'!$T$59</definedName>
    <definedName name="OSRRefT22_4x_0" localSheetId="56">'311'!$T$75</definedName>
    <definedName name="OSRRefT22_4x_0" localSheetId="68">'313'!$T$45</definedName>
    <definedName name="OSRRefT22_4x_0" localSheetId="54">'314'!$T$65</definedName>
    <definedName name="OSRRefT22_4x_0" localSheetId="59">'315'!$T$68</definedName>
    <definedName name="OSRRefT22_4x_0" localSheetId="62">'316'!$T$48</definedName>
    <definedName name="OSRRefT22_4x_0" localSheetId="65">'317'!$T$66</definedName>
    <definedName name="OSRRefT22_4x_0" localSheetId="63">'320'!$T$44</definedName>
    <definedName name="OSRRefT22_4x_0" localSheetId="69">'321'!$T$39</definedName>
    <definedName name="OSRRefT22_4x_0" localSheetId="70">'322'!$T$42</definedName>
    <definedName name="OSRRefT22_4x_0" localSheetId="71">'325'!$T$42</definedName>
    <definedName name="OSRRefT22_4x_0" localSheetId="60">'326'!$T$67</definedName>
    <definedName name="OSRRefT22_4x_0" localSheetId="52">'330'!$T$85</definedName>
    <definedName name="OSRRefT22_4x_0" localSheetId="58">'331'!$T$79</definedName>
    <definedName name="OSRRefT22_4x_0" localSheetId="61">'332'!$T$56</definedName>
    <definedName name="OSRRefT22_4x_0" localSheetId="76">'405'!$T$40</definedName>
    <definedName name="OSRRefT22_4x_0" localSheetId="77">'406'!$T$39</definedName>
    <definedName name="OSRRefT22_4x_0" localSheetId="78">'411'!$T$43</definedName>
    <definedName name="OSRRefT22_4x_0" localSheetId="79">'412'!$T$43</definedName>
    <definedName name="OSRRefT22_4x_0" localSheetId="80">'413'!$T$42</definedName>
    <definedName name="OSRRefT22_4x_0" localSheetId="81">'414'!$T$42</definedName>
    <definedName name="OSRRefT22_4x_0" localSheetId="82">'415'!$T$42</definedName>
    <definedName name="OSRRefT22_4x_0" localSheetId="83">'418'!$T$44</definedName>
    <definedName name="OSRRefT22_4x_0" localSheetId="85">'423'!$T$35</definedName>
    <definedName name="OSRRefT22_4x_0" localSheetId="86">'424'!$T$33</definedName>
    <definedName name="OSRRefT22_4x_0" localSheetId="87">'425'!$T$43</definedName>
    <definedName name="OSRRefT22_4x_0" localSheetId="90">'430'!$T$35:$T$36</definedName>
    <definedName name="OSRRefT22_4x_0" localSheetId="91">'433'!$T$46</definedName>
    <definedName name="OSRRefT22_4x_0" localSheetId="93">'444'!$T$46</definedName>
    <definedName name="OSRRefT22_4x_0" localSheetId="95">'450'!$T$45</definedName>
    <definedName name="OSRRefT22_4x_0" localSheetId="75">'491'!$T$53</definedName>
    <definedName name="OSRRefT22_4x_0" localSheetId="89">'492'!$T$47</definedName>
    <definedName name="OSRRefT22_4x_0" localSheetId="97">'501'!$T$41</definedName>
    <definedName name="OSRRefT22_4x_0" localSheetId="39">'Div 2'!$T$43</definedName>
    <definedName name="OSRRefT22_4x_0" localSheetId="47">'Div 3'!$T$164</definedName>
    <definedName name="OSRRefT22_4x_0" localSheetId="73">'Div 4'!$T$54</definedName>
    <definedName name="OSRRefT22_4x_0" localSheetId="96">'Div 5'!$T$41</definedName>
    <definedName name="OSRRefT22_4x_0" localSheetId="64">'Div 6'!$T$66</definedName>
    <definedName name="OSRRefT22_4x_0" localSheetId="2">Summary!$T$191</definedName>
    <definedName name="OSRRefT22_5x_0" localSheetId="41">'201'!$T$39</definedName>
    <definedName name="OSRRefT22_5x_0" localSheetId="42">'202'!$T$40</definedName>
    <definedName name="OSRRefT22_5x_0" localSheetId="43">'203'!$T$41</definedName>
    <definedName name="OSRRefT22_5x_0" localSheetId="44">'204'!$T$43</definedName>
    <definedName name="OSRRefT22_5x_0" localSheetId="45">'205'!$T$37</definedName>
    <definedName name="OSRRefT22_5x_0" localSheetId="46">'206'!$T$41</definedName>
    <definedName name="OSRRefT22_5x_0" localSheetId="48">'300'!$T$161:$T$162</definedName>
    <definedName name="OSRRefT22_5x_0" localSheetId="49">'300 &amp; 317'!$T$181:$T$182</definedName>
    <definedName name="OSRRefT22_5x_0" localSheetId="50">'301'!$T$41:$T$42</definedName>
    <definedName name="OSRRefT22_5x_0" localSheetId="51">'306'!$T$42:$T$43</definedName>
    <definedName name="OSRRefT22_5x_0" localSheetId="53">'307'!$T$73</definedName>
    <definedName name="OSRRefT22_5x_0" localSheetId="55">'308'!$T$78</definedName>
    <definedName name="OSRRefT22_5x_0" localSheetId="67">'309'!$T$45</definedName>
    <definedName name="OSRRefT22_5x_0" localSheetId="66">'310'!$T$51:$T$52</definedName>
    <definedName name="OSRRefT22_5x_0" localSheetId="74">'310 &amp; 491'!$T$61:$T$63</definedName>
    <definedName name="OSRRefT22_5x_0" localSheetId="56">'311'!$T$77</definedName>
    <definedName name="OSRRefT22_5x_0" localSheetId="68">'313'!$T$47</definedName>
    <definedName name="OSRRefT22_5x_0" localSheetId="59">'315'!$T$70</definedName>
    <definedName name="OSRRefT22_5x_0" localSheetId="62">'316'!$T$50</definedName>
    <definedName name="OSRRefT22_5x_0" localSheetId="65">'317'!$T$68</definedName>
    <definedName name="OSRRefT22_5x_0" localSheetId="63">'320'!$T$46:$T$47</definedName>
    <definedName name="OSRRefT22_5x_0" localSheetId="69">'321'!$T$41</definedName>
    <definedName name="OSRRefT22_5x_0" localSheetId="70">'322'!$T$44</definedName>
    <definedName name="OSRRefT22_5x_0" localSheetId="71">'325'!$T$44:$T$45</definedName>
    <definedName name="OSRRefT22_5x_0" localSheetId="60">'326'!$T$69</definedName>
    <definedName name="OSRRefT22_5x_0" localSheetId="52">'330'!$T$87</definedName>
    <definedName name="OSRRefT22_5x_0" localSheetId="58">'331'!$T$81</definedName>
    <definedName name="OSRRefT22_5x_0" localSheetId="61">'332'!$T$58:$T$59</definedName>
    <definedName name="OSRRefT22_5x_0" localSheetId="76">'405'!$T$42:$T$43</definedName>
    <definedName name="OSRRefT22_5x_0" localSheetId="77">'406'!$T$41</definedName>
    <definedName name="OSRRefT22_5x_0" localSheetId="78">'411'!$T$45</definedName>
    <definedName name="OSRRefT22_5x_0" localSheetId="79">'412'!$T$45</definedName>
    <definedName name="OSRRefT22_5x_0" localSheetId="80">'413'!$T$44</definedName>
    <definedName name="OSRRefT22_5x_0" localSheetId="81">'414'!$T$44</definedName>
    <definedName name="OSRRefT22_5x_0" localSheetId="82">'415'!$T$44:$T$45</definedName>
    <definedName name="OSRRefT22_5x_0" localSheetId="83">'418'!$T$46:$T$47</definedName>
    <definedName name="OSRRefT22_5x_0" localSheetId="85">'423'!$T$37</definedName>
    <definedName name="OSRRefT22_5x_0" localSheetId="86">'424'!$T$35</definedName>
    <definedName name="OSRRefT22_5x_0" localSheetId="87">'425'!$T$45</definedName>
    <definedName name="OSRRefT22_5x_0" localSheetId="90">'430'!$T$38</definedName>
    <definedName name="OSRRefT22_5x_0" localSheetId="91">'433'!$T$48</definedName>
    <definedName name="OSRRefT22_5x_0" localSheetId="93">'444'!$T$48</definedName>
    <definedName name="OSRRefT22_5x_0" localSheetId="95">'450'!$T$47</definedName>
    <definedName name="OSRRefT22_5x_0" localSheetId="75">'491'!$T$55:$T$57</definedName>
    <definedName name="OSRRefT22_5x_0" localSheetId="89">'492'!$T$49</definedName>
    <definedName name="OSRRefT22_5x_0" localSheetId="97">'501'!$T$43</definedName>
    <definedName name="OSRRefT22_5x_0" localSheetId="39">'Div 2'!$T$45:$T$46</definedName>
    <definedName name="OSRRefT22_5x_0" localSheetId="47">'Div 3'!$T$166:$T$167</definedName>
    <definedName name="OSRRefT22_5x_0" localSheetId="73">'Div 4'!$T$56:$T$58</definedName>
    <definedName name="OSRRefT22_5x_0" localSheetId="96">'Div 5'!$T$43</definedName>
    <definedName name="OSRRefT22_5x_0" localSheetId="64">'Div 6'!$T$68</definedName>
    <definedName name="OSRRefT22_5x_0" localSheetId="2">Summary!$T$193:$T$195</definedName>
    <definedName name="OSRRefT22_6x_0" localSheetId="41">'201'!$T$41</definedName>
    <definedName name="OSRRefT22_6x_0" localSheetId="42">'202'!$T$42</definedName>
    <definedName name="OSRRefT22_6x_0" localSheetId="43">'203'!$T$43</definedName>
    <definedName name="OSRRefT22_6x_0" localSheetId="44">'204'!$T$45:$T$47</definedName>
    <definedName name="OSRRefT22_6x_0" localSheetId="45">'205'!$T$39:$T$40</definedName>
    <definedName name="OSRRefT22_6x_0" localSheetId="46">'206'!$T$43</definedName>
    <definedName name="OSRRefT22_6x_0" localSheetId="48">'300'!$T$164:$T$165</definedName>
    <definedName name="OSRRefT22_6x_0" localSheetId="49">'300 &amp; 317'!$T$184:$T$185</definedName>
    <definedName name="OSRRefT22_6x_0" localSheetId="50">'301'!$T$44:$T$45</definedName>
    <definedName name="OSRRefT22_6x_0" localSheetId="51">'306'!$T$45</definedName>
    <definedName name="OSRRefT22_6x_0" localSheetId="53">'307'!$T$75</definedName>
    <definedName name="OSRRefT22_6x_0" localSheetId="55">'308'!$T$80</definedName>
    <definedName name="OSRRefT22_6x_0" localSheetId="67">'309'!$T$47</definedName>
    <definedName name="OSRRefT22_6x_0" localSheetId="66">'310'!$T$54</definedName>
    <definedName name="OSRRefT22_6x_0" localSheetId="74">'310 &amp; 491'!$T$65</definedName>
    <definedName name="OSRRefT22_6x_0" localSheetId="56">'311'!$T$79</definedName>
    <definedName name="OSRRefT22_6x_0" localSheetId="68">'313'!$T$49</definedName>
    <definedName name="OSRRefT22_6x_0" localSheetId="59">'315'!$T$72</definedName>
    <definedName name="OSRRefT22_6x_0" localSheetId="62">'316'!$T$52</definedName>
    <definedName name="OSRRefT22_6x_0" localSheetId="65">'317'!$T$70</definedName>
    <definedName name="OSRRefT22_6x_0" localSheetId="63">'320'!$T$49</definedName>
    <definedName name="OSRRefT22_6x_0" localSheetId="69">'321'!$T$43</definedName>
    <definedName name="OSRRefT22_6x_0" localSheetId="70">'322'!$T$46</definedName>
    <definedName name="OSRRefT22_6x_0" localSheetId="71">'325'!$T$47</definedName>
    <definedName name="OSRRefT22_6x_0" localSheetId="60">'326'!$T$71</definedName>
    <definedName name="OSRRefT22_6x_0" localSheetId="52">'330'!$T$89</definedName>
    <definedName name="OSRRefT22_6x_0" localSheetId="58">'331'!$T$83</definedName>
    <definedName name="OSRRefT22_6x_0" localSheetId="61">'332'!$T$61</definedName>
    <definedName name="OSRRefT22_6x_0" localSheetId="76">'405'!$T$45</definedName>
    <definedName name="OSRRefT22_6x_0" localSheetId="77">'406'!$T$43:$T$45</definedName>
    <definedName name="OSRRefT22_6x_0" localSheetId="78">'411'!$T$47</definedName>
    <definedName name="OSRRefT22_6x_0" localSheetId="79">'412'!$T$47</definedName>
    <definedName name="OSRRefT22_6x_0" localSheetId="80">'413'!$T$46</definedName>
    <definedName name="OSRRefT22_6x_0" localSheetId="81">'414'!$T$46</definedName>
    <definedName name="OSRRefT22_6x_0" localSheetId="82">'415'!$T$47</definedName>
    <definedName name="OSRRefT22_6x_0" localSheetId="83">'418'!$T$49</definedName>
    <definedName name="OSRRefT22_6x_0" localSheetId="86">'424'!$T$37</definedName>
    <definedName name="OSRRefT22_6x_0" localSheetId="87">'425'!$T$47</definedName>
    <definedName name="OSRRefT22_6x_0" localSheetId="90">'430'!$T$40</definedName>
    <definedName name="OSRRefT22_6x_0" localSheetId="91">'433'!$T$50</definedName>
    <definedName name="OSRRefT22_6x_0" localSheetId="93">'444'!$T$50</definedName>
    <definedName name="OSRRefT22_6x_0" localSheetId="95">'450'!$T$49</definedName>
    <definedName name="OSRRefT22_6x_0" localSheetId="75">'491'!$T$59</definedName>
    <definedName name="OSRRefT22_6x_0" localSheetId="89">'492'!$T$51</definedName>
    <definedName name="OSRRefT22_6x_0" localSheetId="97">'501'!$T$45</definedName>
    <definedName name="OSRRefT22_6x_0" localSheetId="39">'Div 2'!$T$48</definedName>
    <definedName name="OSRRefT22_6x_0" localSheetId="47">'Div 3'!$T$169:$T$170</definedName>
    <definedName name="OSRRefT22_6x_0" localSheetId="73">'Div 4'!$T$60</definedName>
    <definedName name="OSRRefT22_6x_0" localSheetId="96">'Div 5'!$T$45</definedName>
    <definedName name="OSRRefT22_6x_0" localSheetId="64">'Div 6'!$T$70</definedName>
    <definedName name="OSRRefT22_6x_0" localSheetId="2">Summary!$T$197:$T$198</definedName>
    <definedName name="OSRRefT22_7x_0" localSheetId="41">'201'!$T$43</definedName>
    <definedName name="OSRRefT22_7x_0" localSheetId="42">'202'!$T$44</definedName>
    <definedName name="OSRRefT22_7x_0" localSheetId="43">'203'!$T$45</definedName>
    <definedName name="OSRRefT22_7x_0" localSheetId="44">'204'!$T$49:$T$50</definedName>
    <definedName name="OSRRefT22_7x_0" localSheetId="45">'205'!$T$42</definedName>
    <definedName name="OSRRefT22_7x_0" localSheetId="48">'300'!$T$167</definedName>
    <definedName name="OSRRefT22_7x_0" localSheetId="49">'300 &amp; 317'!$T$187</definedName>
    <definedName name="OSRRefT22_7x_0" localSheetId="50">'301'!$T$47</definedName>
    <definedName name="OSRRefT22_7x_0" localSheetId="51">'306'!$T$47</definedName>
    <definedName name="OSRRefT22_7x_0" localSheetId="53">'307'!$T$77:$T$78</definedName>
    <definedName name="OSRRefT22_7x_0" localSheetId="55">'308'!$T$82</definedName>
    <definedName name="OSRRefT22_7x_0" localSheetId="67">'309'!$T$49</definedName>
    <definedName name="OSRRefT22_7x_0" localSheetId="66">'310'!$T$56</definedName>
    <definedName name="OSRRefT22_7x_0" localSheetId="74">'310 &amp; 491'!$T$67</definedName>
    <definedName name="OSRRefT22_7x_0" localSheetId="56">'311'!$T$81</definedName>
    <definedName name="OSRRefT22_7x_0" localSheetId="68">'313'!$T$51</definedName>
    <definedName name="OSRRefT22_7x_0" localSheetId="59">'315'!$T$74:$T$75</definedName>
    <definedName name="OSRRefT22_7x_0" localSheetId="62">'316'!$T$54:$T$57</definedName>
    <definedName name="OSRRefT22_7x_0" localSheetId="65">'317'!$T$72</definedName>
    <definedName name="OSRRefT22_7x_0" localSheetId="69">'321'!$T$45</definedName>
    <definedName name="OSRRefT22_7x_0" localSheetId="70">'322'!$T$48</definedName>
    <definedName name="OSRRefT22_7x_0" localSheetId="71">'325'!$T$49</definedName>
    <definedName name="OSRRefT22_7x_0" localSheetId="60">'326'!$T$73</definedName>
    <definedName name="OSRRefT22_7x_0" localSheetId="52">'330'!$T$91:$T$92</definedName>
    <definedName name="OSRRefT22_7x_0" localSheetId="58">'331'!$T$85</definedName>
    <definedName name="OSRRefT22_7x_0" localSheetId="61">'332'!$T$63</definedName>
    <definedName name="OSRRefT22_7x_0" localSheetId="76">'405'!$T$47</definedName>
    <definedName name="OSRRefT22_7x_0" localSheetId="77">'406'!$T$47</definedName>
    <definedName name="OSRRefT22_7x_0" localSheetId="78">'411'!$T$49:$T$50</definedName>
    <definedName name="OSRRefT22_7x_0" localSheetId="79">'412'!$T$49</definedName>
    <definedName name="OSRRefT22_7x_0" localSheetId="80">'413'!$T$48</definedName>
    <definedName name="OSRRefT22_7x_0" localSheetId="81">'414'!$T$48</definedName>
    <definedName name="OSRRefT22_7x_0" localSheetId="82">'415'!$T$49</definedName>
    <definedName name="OSRRefT22_7x_0" localSheetId="83">'418'!$T$51</definedName>
    <definedName name="OSRRefT22_7x_0" localSheetId="86">'424'!$T$39</definedName>
    <definedName name="OSRRefT22_7x_0" localSheetId="87">'425'!$T$49</definedName>
    <definedName name="OSRRefT22_7x_0" localSheetId="90">'430'!$T$42</definedName>
    <definedName name="OSRRefT22_7x_0" localSheetId="91">'433'!$T$52</definedName>
    <definedName name="OSRRefT22_7x_0" localSheetId="93">'444'!$T$52</definedName>
    <definedName name="OSRRefT22_7x_0" localSheetId="95">'450'!$T$51</definedName>
    <definedName name="OSRRefT22_7x_0" localSheetId="75">'491'!$T$61</definedName>
    <definedName name="OSRRefT22_7x_0" localSheetId="89">'492'!$T$53</definedName>
    <definedName name="OSRRefT22_7x_0" localSheetId="97">'501'!$T$47</definedName>
    <definedName name="OSRRefT22_7x_0" localSheetId="39">'Div 2'!$T$50</definedName>
    <definedName name="OSRRefT22_7x_0" localSheetId="47">'Div 3'!$T$172</definedName>
    <definedName name="OSRRefT22_7x_0" localSheetId="73">'Div 4'!$T$62</definedName>
    <definedName name="OSRRefT22_7x_0" localSheetId="96">'Div 5'!$T$47</definedName>
    <definedName name="OSRRefT22_7x_0" localSheetId="64">'Div 6'!$T$72</definedName>
    <definedName name="OSRRefT22_7x_0" localSheetId="2">Summary!$T$200</definedName>
    <definedName name="OSRRefT22_8x_0" localSheetId="41">'201'!$T$45</definedName>
    <definedName name="OSRRefT22_8x_0" localSheetId="42">'202'!$T$46</definedName>
    <definedName name="OSRRefT22_8x_0" localSheetId="43">'203'!$T$47</definedName>
    <definedName name="OSRRefT22_8x_0" localSheetId="44">'204'!$T$52:$T$53</definedName>
    <definedName name="OSRRefT22_8x_0" localSheetId="48">'300'!$T$169</definedName>
    <definedName name="OSRRefT22_8x_0" localSheetId="49">'300 &amp; 317'!$T$189</definedName>
    <definedName name="OSRRefT22_8x_0" localSheetId="50">'301'!$T$49</definedName>
    <definedName name="OSRRefT22_8x_0" localSheetId="53">'307'!$T$80</definedName>
    <definedName name="OSRRefT22_8x_0" localSheetId="55">'308'!$T$84:$T$85</definedName>
    <definedName name="OSRRefT22_8x_0" localSheetId="67">'309'!$T$51:$T$52</definedName>
    <definedName name="OSRRefT22_8x_0" localSheetId="66">'310'!$T$58</definedName>
    <definedName name="OSRRefT22_8x_0" localSheetId="74">'310 &amp; 491'!$T$69</definedName>
    <definedName name="OSRRefT22_8x_0" localSheetId="56">'311'!$T$83:$T$84</definedName>
    <definedName name="OSRRefT22_8x_0" localSheetId="68">'313'!$T$53</definedName>
    <definedName name="OSRRefT22_8x_0" localSheetId="59">'315'!$T$77:$T$79</definedName>
    <definedName name="OSRRefT22_8x_0" localSheetId="62">'316'!$T$59</definedName>
    <definedName name="OSRRefT22_8x_0" localSheetId="65">'317'!$T$74:$T$75</definedName>
    <definedName name="OSRRefT22_8x_0" localSheetId="69">'321'!$T$47:$T$48</definedName>
    <definedName name="OSRRefT22_8x_0" localSheetId="70">'322'!$T$50</definedName>
    <definedName name="OSRRefT22_8x_0" localSheetId="71">'325'!$T$51</definedName>
    <definedName name="OSRRefT22_8x_0" localSheetId="60">'326'!$T$75</definedName>
    <definedName name="OSRRefT22_8x_0" localSheetId="52">'330'!$T$94</definedName>
    <definedName name="OSRRefT22_8x_0" localSheetId="58">'331'!$T$87</definedName>
    <definedName name="OSRRefT22_8x_0" localSheetId="61">'332'!$T$65</definedName>
    <definedName name="OSRRefT22_8x_0" localSheetId="76">'405'!$T$49</definedName>
    <definedName name="OSRRefT22_8x_0" localSheetId="77">'406'!$T$49</definedName>
    <definedName name="OSRRefT22_8x_0" localSheetId="78">'411'!$T$52:$T$56</definedName>
    <definedName name="OSRRefT22_8x_0" localSheetId="79">'412'!$T$51</definedName>
    <definedName name="OSRRefT22_8x_0" localSheetId="80">'413'!$T$50</definedName>
    <definedName name="OSRRefT22_8x_0" localSheetId="81">'414'!$T$50</definedName>
    <definedName name="OSRRefT22_8x_0" localSheetId="82">'415'!$T$51</definedName>
    <definedName name="OSRRefT22_8x_0" localSheetId="83">'418'!$T$53:$T$54</definedName>
    <definedName name="OSRRefT22_8x_0" localSheetId="86">'424'!$T$41</definedName>
    <definedName name="OSRRefT22_8x_0" localSheetId="87">'425'!$T$51</definedName>
    <definedName name="OSRRefT22_8x_0" localSheetId="91">'433'!$T$54:$T$56</definedName>
    <definedName name="OSRRefT22_8x_0" localSheetId="93">'444'!$T$54:$T$55</definedName>
    <definedName name="OSRRefT22_8x_0" localSheetId="95">'450'!$T$53:$T$55</definedName>
    <definedName name="OSRRefT22_8x_0" localSheetId="75">'491'!$T$63</definedName>
    <definedName name="OSRRefT22_8x_0" localSheetId="89">'492'!$T$55</definedName>
    <definedName name="OSRRefT22_8x_0" localSheetId="97">'501'!$T$49:$T$50</definedName>
    <definedName name="OSRRefT22_8x_0" localSheetId="39">'Div 2'!$T$52</definedName>
    <definedName name="OSRRefT22_8x_0" localSheetId="47">'Div 3'!$T$174</definedName>
    <definedName name="OSRRefT22_8x_0" localSheetId="73">'Div 4'!$T$64</definedName>
    <definedName name="OSRRefT22_8x_0" localSheetId="96">'Div 5'!$T$49:$T$50</definedName>
    <definedName name="OSRRefT22_8x_0" localSheetId="64">'Div 6'!$T$74:$T$75</definedName>
    <definedName name="OSRRefT22_8x_0" localSheetId="2">Summary!$T$202</definedName>
    <definedName name="OSRRefT22_9x_0" localSheetId="41">'201'!$T$47:$T$48</definedName>
    <definedName name="OSRRefT22_9x_0" localSheetId="42">'202'!$T$48</definedName>
    <definedName name="OSRRefT22_9x_0" localSheetId="43">'203'!$T$49:$T$50</definedName>
    <definedName name="OSRRefT22_9x_0" localSheetId="44">'204'!$T$55</definedName>
    <definedName name="OSRRefT22_9x_0" localSheetId="48">'300'!$T$171</definedName>
    <definedName name="OSRRefT22_9x_0" localSheetId="49">'300 &amp; 317'!$T$191</definedName>
    <definedName name="OSRRefT22_9x_0" localSheetId="50">'301'!$T$51</definedName>
    <definedName name="OSRRefT22_9x_0" localSheetId="53">'307'!$T$82</definedName>
    <definedName name="OSRRefT22_9x_0" localSheetId="55">'308'!$T$87</definedName>
    <definedName name="OSRRefT22_9x_0" localSheetId="67">'309'!$T$54</definedName>
    <definedName name="OSRRefT22_9x_0" localSheetId="66">'310'!$T$60</definedName>
    <definedName name="OSRRefT22_9x_0" localSheetId="74">'310 &amp; 491'!$T$71</definedName>
    <definedName name="OSRRefT22_9x_0" localSheetId="56">'311'!$T$86</definedName>
    <definedName name="OSRRefT22_9x_0" localSheetId="68">'313'!$T$55</definedName>
    <definedName name="OSRRefT22_9x_0" localSheetId="59">'315'!$T$81</definedName>
    <definedName name="OSRRefT22_9x_0" localSheetId="65">'317'!$T$77</definedName>
    <definedName name="OSRRefT22_9x_0" localSheetId="69">'321'!$T$50:$T$52</definedName>
    <definedName name="OSRRefT22_9x_0" localSheetId="70">'322'!$T$52</definedName>
    <definedName name="OSRRefT22_9x_0" localSheetId="71">'325'!$T$53</definedName>
    <definedName name="OSRRefT22_9x_0" localSheetId="60">'326'!$T$77</definedName>
    <definedName name="OSRRefT22_9x_0" localSheetId="52">'330'!$T$96</definedName>
    <definedName name="OSRRefT22_9x_0" localSheetId="58">'331'!$T$89</definedName>
    <definedName name="OSRRefT22_9x_0" localSheetId="61">'332'!$T$67:$T$71</definedName>
    <definedName name="OSRRefT22_9x_0" localSheetId="76">'405'!$T$51:$T$52</definedName>
    <definedName name="OSRRefT22_9x_0" localSheetId="78">'411'!$T$58:$T$62</definedName>
    <definedName name="OSRRefT22_9x_0" localSheetId="79">'412'!$T$53:$T$54</definedName>
    <definedName name="OSRRefT22_9x_0" localSheetId="80">'413'!$T$52:$T$54</definedName>
    <definedName name="OSRRefT22_9x_0" localSheetId="81">'414'!$T$52</definedName>
    <definedName name="OSRRefT22_9x_0" localSheetId="82">'415'!$T$53</definedName>
    <definedName name="OSRRefT22_9x_0" localSheetId="83">'418'!$T$56</definedName>
    <definedName name="OSRRefT22_9x_0" localSheetId="86">'424'!$T$43</definedName>
    <definedName name="OSRRefT22_9x_0" localSheetId="87">'425'!$T$53:$T$54</definedName>
    <definedName name="OSRRefT22_9x_0" localSheetId="91">'433'!$T$58:$T$62</definedName>
    <definedName name="OSRRefT22_9x_0" localSheetId="93">'444'!$T$57:$T$59</definedName>
    <definedName name="OSRRefT22_9x_0" localSheetId="95">'450'!$T$57:$T$60</definedName>
    <definedName name="OSRRefT22_9x_0" localSheetId="75">'491'!$T$65</definedName>
    <definedName name="OSRRefT22_9x_0" localSheetId="89">'492'!$T$57</definedName>
    <definedName name="OSRRefT22_9x_0" localSheetId="97">'501'!$T$52</definedName>
    <definedName name="OSRRefT22_9x_0" localSheetId="39">'Div 2'!$T$54</definedName>
    <definedName name="OSRRefT22_9x_0" localSheetId="47">'Div 3'!$T$176</definedName>
    <definedName name="OSRRefT22_9x_0" localSheetId="73">'Div 4'!$T$66</definedName>
    <definedName name="OSRRefT22_9x_0" localSheetId="96">'Div 5'!$T$52</definedName>
    <definedName name="OSRRefT22_9x_0" localSheetId="64">'Div 6'!$T$77</definedName>
    <definedName name="OSRRefT22_9x_0" localSheetId="2">Summary!$T$204</definedName>
    <definedName name="OSRRefT22x_0" localSheetId="40">'200'!$T$20,'200'!$T$22,'200'!$T$24,'200'!$T$26</definedName>
    <definedName name="OSRRefT22x_0" localSheetId="41">'201'!$T$20:$T$27,'201'!$T$29:$T$31,'201'!$T$33,'201'!$T$35,'201'!$T$37,'201'!$T$39,'201'!$T$41,'201'!$T$43,'201'!$T$45,'201'!$T$47:$T$48,'201'!$T$50:$T$51,'201'!$T$53,'201'!$T$55:$T$56,'201'!$T$58,'201'!$T$60:$T$61</definedName>
    <definedName name="OSRRefT22x_0" localSheetId="42">'202'!$T$20:$T$27,'202'!$T$29:$T$32,'202'!$T$34,'202'!$T$36,'202'!$T$38,'202'!$T$40,'202'!$T$42,'202'!$T$44,'202'!$T$46,'202'!$T$48,'202'!$T$50,'202'!$T$52</definedName>
    <definedName name="OSRRefT22x_0" localSheetId="43">'203'!$T$20:$T$28,'203'!$T$30:$T$33,'203'!$T$35,'203'!$T$37,'203'!$T$39,'203'!$T$41,'203'!$T$43,'203'!$T$45,'203'!$T$47,'203'!$T$49:$T$50,'203'!$T$52:$T$54,'203'!$T$56,'203'!$T$58,'203'!$T$60</definedName>
    <definedName name="OSRRefT22x_0" localSheetId="44">'204'!$T$20:$T$28,'204'!$T$30:$T$34,'204'!$T$36,'204'!$T$38:$T$39,'204'!$T$41,'204'!$T$43,'204'!$T$45:$T$47,'204'!$T$49:$T$50,'204'!$T$52:$T$53,'204'!$T$55</definedName>
    <definedName name="OSRRefT22x_0" localSheetId="45">'205'!$T$20:$T$27,'205'!$T$29,'205'!$T$31,'205'!$T$33,'205'!$T$35,'205'!$T$37,'205'!$T$39:$T$40,'205'!$T$42</definedName>
    <definedName name="OSRRefT22x_0" localSheetId="46">'206'!$T$20:$T$27,'206'!$T$29:$T$32,'206'!$T$34,'206'!$T$36,'206'!$T$38:$T$39,'206'!$T$41,'206'!$T$43</definedName>
    <definedName name="OSRRefT22x_0" localSheetId="48">'300'!$T$137:$T$145,'300'!$T$147:$T$153,'300'!$T$155,'300'!$T$157,'300'!$T$159,'300'!$T$161:$T$162,'300'!$T$164:$T$165,'300'!$T$167,'300'!$T$169,'300'!$T$171,'300'!$T$173:$T$174,'300'!$T$176,'300'!$T$178,'300'!$T$180,'300'!$T$182,'300'!$T$184,'300'!$T$186:$T$188,'300'!$T$190:$T$192,'300'!$T$194:$T$197,'300'!$T$199:$T$200,'300'!$T$202:$T$207,'300'!$T$209:$T$210,'300'!$T$212,'300'!$T$214:$T$216,'300'!$T$218</definedName>
    <definedName name="OSRRefT22x_0" localSheetId="49">'300 &amp; 317'!$T$157:$T$165,'300 &amp; 317'!$T$167:$T$173,'300 &amp; 317'!$T$175,'300 &amp; 317'!$T$177,'300 &amp; 317'!$T$179,'300 &amp; 317'!$T$181:$T$182,'300 &amp; 317'!$T$184:$T$185,'300 &amp; 317'!$T$187,'300 &amp; 317'!$T$189,'300 &amp; 317'!$T$191,'300 &amp; 317'!$T$193:$T$194,'300 &amp; 317'!$T$196,'300 &amp; 317'!$T$198,'300 &amp; 317'!$T$200,'300 &amp; 317'!$T$202,'300 &amp; 317'!$T$204,'300 &amp; 317'!$T$206:$T$208,'300 &amp; 317'!$T$210:$T$212,'300 &amp; 317'!$T$214:$T$217,'300 &amp; 317'!$T$219:$T$220,'300 &amp; 317'!$T$222:$T$227,'300 &amp; 317'!$T$229:$T$230,'300 &amp; 317'!$T$232,'300 &amp; 317'!$T$234:$T$236,'300 &amp; 317'!$T$238</definedName>
    <definedName name="OSRRefT22x_0" localSheetId="50">'301'!$T$20:$T$27,'301'!$T$29:$T$33,'301'!$T$35,'301'!$T$37,'301'!$T$39,'301'!$T$41:$T$42,'301'!$T$44:$T$45,'301'!$T$47,'301'!$T$49,'301'!$T$51,'301'!$T$53,'301'!$T$55,'301'!$T$57,'301'!$T$59,'301'!$T$61:$T$63,'301'!$T$65:$T$67,'301'!$T$69,'301'!$T$71:$T$75,'301'!$T$77,'301'!$T$79,'301'!$T$81:$T$82,'301'!$T$84</definedName>
    <definedName name="OSRRefT22x_0" localSheetId="51">'306'!$T$20:$T$28,'306'!$T$30:$T$34,'306'!$T$36,'306'!$T$38,'306'!$T$40,'306'!$T$42:$T$43,'306'!$T$45,'306'!$T$47</definedName>
    <definedName name="OSRRefT22x_0" localSheetId="53">'307'!$T$54:$T$61,'307'!$T$63:$T$65,'307'!$T$67,'307'!$T$69,'307'!$T$71,'307'!$T$73,'307'!$T$75,'307'!$T$77:$T$78,'307'!$T$80,'307'!$T$82</definedName>
    <definedName name="OSRRefT22x_0" localSheetId="55">'308'!$T$55:$T$63,'308'!$T$65:$T$69,'308'!$T$71,'308'!$T$73:$T$74,'308'!$T$76,'308'!$T$78,'308'!$T$80,'308'!$T$82,'308'!$T$84:$T$85,'308'!$T$87,'308'!$T$89:$T$91,'308'!$T$93:$T$94,'308'!$T$96</definedName>
    <definedName name="OSRRefT22x_0" localSheetId="67">'309'!$T$24:$T$31,'309'!$T$33:$T$37,'309'!$T$39,'309'!$T$41,'309'!$T$43,'309'!$T$45,'309'!$T$47,'309'!$T$49,'309'!$T$51:$T$52,'309'!$T$54,'309'!$T$56:$T$59,'309'!$T$61</definedName>
    <definedName name="OSRRefT22x_0" localSheetId="66">'310'!$T$30:$T$37,'310'!$T$39:$T$43,'310'!$T$45,'310'!$T$47,'310'!$T$49,'310'!$T$51:$T$52,'310'!$T$54,'310'!$T$56,'310'!$T$58,'310'!$T$60,'310'!$T$62,'310'!$T$64,'310'!$T$66,'310'!$T$68,'310'!$T$70,'310'!$T$72,'310'!$T$74:$T$77,'310'!$T$79:$T$80,'310'!$T$82:$T$86,'310'!$T$88,'310'!$T$90,'310'!$T$92</definedName>
    <definedName name="OSRRefT22x_0" localSheetId="74">'310 &amp; 491'!$T$37:$T$45,'310 &amp; 491'!$T$47:$T$53,'310 &amp; 491'!$T$55,'310 &amp; 491'!$T$57,'310 &amp; 491'!$T$59,'310 &amp; 491'!$T$61:$T$63,'310 &amp; 491'!$T$65,'310 &amp; 491'!$T$67,'310 &amp; 491'!$T$69,'310 &amp; 491'!$T$71,'310 &amp; 491'!$T$73,'310 &amp; 491'!$T$75,'310 &amp; 491'!$T$77,'310 &amp; 491'!$T$79,'310 &amp; 491'!$T$81:$T$82,'310 &amp; 491'!$T$84:$T$85,'310 &amp; 491'!$T$87:$T$91,'310 &amp; 491'!$T$93:$T$94,'310 &amp; 491'!$T$96:$T$103,'310 &amp; 491'!$T$105,'310 &amp; 491'!$T$107,'310 &amp; 491'!$T$109:$T$111,'310 &amp; 491'!$T$113</definedName>
    <definedName name="OSRRefT22x_0" localSheetId="56">'311'!$T$54:$T$62,'311'!$T$64:$T$68,'311'!$T$70,'311'!$T$72:$T$73,'311'!$T$75,'311'!$T$77,'311'!$T$79,'311'!$T$81,'311'!$T$83:$T$84,'311'!$T$86,'311'!$T$88:$T$90,'311'!$T$92:$T$93,'311'!$T$95</definedName>
    <definedName name="OSRRefT22x_0" localSheetId="68">'313'!$T$27:$T$34,'313'!$T$36:$T$39,'313'!$T$41,'313'!$T$43,'313'!$T$45,'313'!$T$47,'313'!$T$49,'313'!$T$51,'313'!$T$53,'313'!$T$55,'313'!$T$57:$T$59,'313'!$T$61,'313'!$T$63</definedName>
    <definedName name="OSRRefT22x_0" localSheetId="54">'314'!$T$49:$T$55,'314'!$T$57:$T$59,'314'!$T$61,'314'!$T$63,'314'!$T$65</definedName>
    <definedName name="OSRRefT22x_0" localSheetId="59">'315'!$T$50:$T$57,'315'!$T$59:$T$62,'315'!$T$64,'315'!$T$66,'315'!$T$68,'315'!$T$70,'315'!$T$72,'315'!$T$74:$T$75,'315'!$T$77:$T$79,'315'!$T$81,'315'!$T$83,'315'!$T$85</definedName>
    <definedName name="OSRRefT22x_0" localSheetId="62">'316'!$T$30:$T$37,'316'!$T$39:$T$42,'316'!$T$44,'316'!$T$46,'316'!$T$48,'316'!$T$50,'316'!$T$52,'316'!$T$54:$T$57,'316'!$T$59</definedName>
    <definedName name="OSRRefT22x_0" localSheetId="65">'317'!$T$47:$T$55,'317'!$T$57:$T$60,'317'!$T$62,'317'!$T$64,'317'!$T$66,'317'!$T$68,'317'!$T$70,'317'!$T$72,'317'!$T$74:$T$75,'317'!$T$77</definedName>
    <definedName name="OSRRefT22x_0" localSheetId="63">'320'!$T$28:$T$34,'320'!$T$36:$T$37,'320'!$T$39,'320'!$T$41:$T$42,'320'!$T$44,'320'!$T$46:$T$47,'320'!$T$49</definedName>
    <definedName name="OSRRefT22x_0" localSheetId="69">'321'!$T$24:$T$28,'321'!$T$30:$T$33,'321'!$T$35,'321'!$T$37,'321'!$T$39,'321'!$T$41,'321'!$T$43,'321'!$T$45,'321'!$T$47:$T$48,'321'!$T$50:$T$52,'321'!$T$54,'321'!$T$56</definedName>
    <definedName name="OSRRefT22x_0" localSheetId="70">'322'!$T$24:$T$31,'322'!$T$33:$T$36,'322'!$T$38,'322'!$T$40,'322'!$T$42,'322'!$T$44,'322'!$T$46,'322'!$T$48,'322'!$T$50,'322'!$T$52,'322'!$T$54:$T$56,'322'!$T$58:$T$61,'322'!$T$63,'322'!$T$65</definedName>
    <definedName name="OSRRefT22x_0" localSheetId="71">'325'!$T$24:$T$31,'325'!$T$33:$T$36,'325'!$T$38,'325'!$T$40,'325'!$T$42,'325'!$T$44:$T$45,'325'!$T$47,'325'!$T$49,'325'!$T$51,'325'!$T$53,'325'!$T$55,'325'!$T$57:$T$59,'325'!$T$61,'325'!$T$63:$T$65,'325'!$T$67,'325'!$T$69</definedName>
    <definedName name="OSRRefT22x_0" localSheetId="60">'326'!$T$49:$T$56,'326'!$T$58:$T$61,'326'!$T$63,'326'!$T$65,'326'!$T$67,'326'!$T$69,'326'!$T$71,'326'!$T$73,'326'!$T$75,'326'!$T$77,'326'!$T$79,'326'!$T$81,'326'!$T$83:$T$85,'326'!$T$87,'326'!$T$89:$T$92,'326'!$T$94,'326'!$T$96,'326'!$T$98</definedName>
    <definedName name="OSRRefT22x_0" localSheetId="72">'327'!$T$22</definedName>
    <definedName name="OSRRefT22x_0" localSheetId="52">'330'!$T$68:$T$75,'330'!$T$77:$T$79,'330'!$T$81,'330'!$T$83,'330'!$T$85,'330'!$T$87,'330'!$T$89,'330'!$T$91:$T$92,'330'!$T$94,'330'!$T$96</definedName>
    <definedName name="OSRRefT22x_0" localSheetId="58">'331'!$T$61:$T$68,'331'!$T$70:$T$73,'331'!$T$75,'331'!$T$77,'331'!$T$79,'331'!$T$81,'331'!$T$83,'331'!$T$85,'331'!$T$87,'331'!$T$89,'331'!$T$91,'331'!$T$93,'331'!$T$95,'331'!$T$97:$T$98,'331'!$T$100:$T$102,'331'!$T$104,'331'!$T$106:$T$110,'331'!$T$112,'331'!$T$114,'331'!$T$116,'331'!$T$118</definedName>
    <definedName name="OSRRefT22x_0" localSheetId="61">'332'!$T$38:$T$45,'332'!$T$47:$T$50,'332'!$T$52,'332'!$T$54,'332'!$T$56,'332'!$T$58:$T$59,'332'!$T$61,'332'!$T$63,'332'!$T$65,'332'!$T$67:$T$71,'332'!$T$73</definedName>
    <definedName name="OSRRefT22x_0" localSheetId="76">'405'!$T$24:$T$31,'405'!$T$33:$T$34,'405'!$T$36,'405'!$T$38,'405'!$T$40,'405'!$T$42:$T$43,'405'!$T$45,'405'!$T$47,'405'!$T$49,'405'!$T$51:$T$52,'405'!$T$54,'405'!$T$56:$T$58,'405'!$T$60,'405'!$T$62:$T$66,'405'!$T$68,'405'!$T$70,'405'!$T$72</definedName>
    <definedName name="OSRRefT22x_0" localSheetId="77">'406'!$T$22:$T$29,'406'!$T$31:$T$33,'406'!$T$35,'406'!$T$37,'406'!$T$39,'406'!$T$41,'406'!$T$43:$T$45,'406'!$T$47,'406'!$T$49</definedName>
    <definedName name="OSRRefT22x_0" localSheetId="78">'411'!$T$20:$T$28,'411'!$T$30:$T$35,'411'!$T$37,'411'!$T$39:$T$41,'411'!$T$43,'411'!$T$45,'411'!$T$47,'411'!$T$49:$T$50,'411'!$T$52:$T$56,'411'!$T$58:$T$62,'411'!$T$64,'411'!$T$66,'411'!$T$68:$T$70,'411'!$T$72</definedName>
    <definedName name="OSRRefT22x_0" localSheetId="79">'412'!$T$23:$T$30,'412'!$T$32:$T$37,'412'!$T$39,'412'!$T$41,'412'!$T$43,'412'!$T$45,'412'!$T$47,'412'!$T$49,'412'!$T$51,'412'!$T$53:$T$54,'412'!$T$56:$T$62,'412'!$T$64</definedName>
    <definedName name="OSRRefT22x_0" localSheetId="80">'413'!$T$24:$T$31,'413'!$T$33:$T$36,'413'!$T$38,'413'!$T$40,'413'!$T$42,'413'!$T$44,'413'!$T$46,'413'!$T$48,'413'!$T$50,'413'!$T$52:$T$54,'413'!$T$56</definedName>
    <definedName name="OSRRefT22x_0" localSheetId="81">'414'!$T$24:$T$31,'414'!$T$33:$T$36,'414'!$T$38,'414'!$T$40,'414'!$T$42,'414'!$T$44,'414'!$T$46,'414'!$T$48,'414'!$T$50,'414'!$T$52,'414'!$T$54,'414'!$T$56,'414'!$T$58:$T$62,'414'!$T$64</definedName>
    <definedName name="OSRRefT22x_0" localSheetId="82">'415'!$T$24:$T$31,'415'!$T$33:$T$36,'415'!$T$38,'415'!$T$40,'415'!$T$42,'415'!$T$44:$T$45,'415'!$T$47,'415'!$T$49,'415'!$T$51,'415'!$T$53,'415'!$T$55,'415'!$T$57,'415'!$T$59:$T$63,'415'!$T$65,'415'!$T$67:$T$72,'415'!$T$74,'415'!$T$76,'415'!$T$78</definedName>
    <definedName name="OSRRefT22x_0" localSheetId="83">'418'!$T$24:$T$31,'418'!$T$33:$T$38,'418'!$T$40,'418'!$T$42,'418'!$T$44,'418'!$T$46:$T$47,'418'!$T$49,'418'!$T$51,'418'!$T$53:$T$54,'418'!$T$56,'418'!$T$58:$T$61,'418'!$T$63,'418'!$T$65</definedName>
    <definedName name="OSRRefT22x_0" localSheetId="85">'423'!$T$20:$T$27,'423'!$T$29,'423'!$T$31,'423'!$T$33,'423'!$T$35,'423'!$T$37</definedName>
    <definedName name="OSRRefT22x_0" localSheetId="86">'424'!$T$23:$T$25,'424'!$T$27,'424'!$T$29,'424'!$T$31,'424'!$T$33,'424'!$T$35,'424'!$T$37,'424'!$T$39,'424'!$T$41,'424'!$T$43</definedName>
    <definedName name="OSRRefT22x_0" localSheetId="87">'425'!$T$24:$T$31,'425'!$T$33:$T$37,'425'!$T$39,'425'!$T$41,'425'!$T$43,'425'!$T$45,'425'!$T$47,'425'!$T$49,'425'!$T$51,'425'!$T$53:$T$54,'425'!$T$56:$T$58,'425'!$T$60,'425'!$T$62,'425'!$T$64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'433'!$T$25:$T$33,'433'!$T$35:$T$40,'433'!$T$42,'433'!$T$44,'433'!$T$46,'433'!$T$48,'433'!$T$50,'433'!$T$52,'433'!$T$54:$T$56,'433'!$T$58:$T$62,'433'!$T$64,'433'!$T$66,'433'!$T$68:$T$69</definedName>
    <definedName name="OSRRefT22x_0" localSheetId="92">'435'!$T$20:$T$21,'435'!$T$23,'435'!$T$25,'435'!$T$27</definedName>
    <definedName name="OSRRefT22x_0" localSheetId="93">'444'!$T$25:$T$33,'444'!$T$35:$T$40,'444'!$T$42,'444'!$T$44,'444'!$T$46,'444'!$T$48,'444'!$T$50,'444'!$T$52,'444'!$T$54:$T$55,'444'!$T$57:$T$59,'444'!$T$61:$T$65,'444'!$T$67,'444'!$T$69,'444'!$T$71</definedName>
    <definedName name="OSRRefT22x_0" localSheetId="94">'445'!$T$20</definedName>
    <definedName name="OSRRefT22x_0" localSheetId="95">'450'!$T$24:$T$32,'450'!$T$34:$T$39,'450'!$T$41,'450'!$T$43,'450'!$T$45,'450'!$T$47,'450'!$T$49,'450'!$T$51,'450'!$T$53:$T$55,'450'!$T$57:$T$60,'450'!$T$62,'450'!$T$64,'450'!$T$66</definedName>
    <definedName name="OSRRefT22x_0" localSheetId="88">'455'!$T$20:$T$26,'455'!$T$28:$T$29</definedName>
    <definedName name="OSRRefT22x_0" localSheetId="75">'491'!$T$31:$T$39,'491'!$T$41:$T$47,'491'!$T$49,'491'!$T$51,'491'!$T$53,'491'!$T$55:$T$57,'491'!$T$59,'491'!$T$61,'491'!$T$63,'491'!$T$65,'491'!$T$67,'491'!$T$69,'491'!$T$71:$T$72,'491'!$T$74:$T$75,'491'!$T$77:$T$81,'491'!$T$83,'491'!$T$85:$T$92,'491'!$T$94,'491'!$T$96,'491'!$T$98:$T$100,'491'!$T$102</definedName>
    <definedName name="OSRRefT22x_0" localSheetId="89">'492'!$T$25:$T$33,'492'!$T$35:$T$41,'492'!$T$43,'492'!$T$45,'492'!$T$47,'492'!$T$49,'492'!$T$51,'492'!$T$53,'492'!$T$55,'492'!$T$57,'492'!$T$59:$T$60,'492'!$T$62:$T$64,'492'!$T$66:$T$72,'492'!$T$74,'492'!$T$76,'492'!$T$78:$T$79</definedName>
    <definedName name="OSRRefT22x_0" localSheetId="97">'501'!$T$21:$T$28,'501'!$T$30:$T$35,'501'!$T$37,'501'!$T$39,'501'!$T$41,'501'!$T$43,'501'!$T$45,'501'!$T$47,'501'!$T$49:$T$50,'501'!$T$52</definedName>
    <definedName name="OSRRefT22x_0" localSheetId="39">'Div 2'!$T$20:$T$29,'Div 2'!$T$31:$T$37,'Div 2'!$T$39,'Div 2'!$T$41,'Div 2'!$T$43,'Div 2'!$T$45:$T$46,'Div 2'!$T$48,'Div 2'!$T$50,'Div 2'!$T$52,'Div 2'!$T$54,'Div 2'!$T$56,'Div 2'!$T$58,'Div 2'!$T$60:$T$63,'Div 2'!$T$65:$T$67,'Div 2'!$T$69:$T$70,'Div 2'!$T$72,'Div 2'!$T$74:$T$77,'Div 2'!$T$79:$T$80,'Div 2'!$T$82,'Div 2'!$T$84:$T$85</definedName>
    <definedName name="OSRRefT22x_0" localSheetId="47">'Div 3'!$T$142:$T$150,'Div 3'!$T$152:$T$158,'Div 3'!$T$160,'Div 3'!$T$162,'Div 3'!$T$164,'Div 3'!$T$166:$T$167,'Div 3'!$T$169:$T$170,'Div 3'!$T$172,'Div 3'!$T$174,'Div 3'!$T$176,'Div 3'!$T$178:$T$179,'Div 3'!$T$181,'Div 3'!$T$183,'Div 3'!$T$185,'Div 3'!$T$187,'Div 3'!$T$189,'Div 3'!$T$191,'Div 3'!$T$193:$T$195,'Div 3'!$T$197:$T$199,'Div 3'!$T$201:$T$205,'Div 3'!$T$207:$T$208,'Div 3'!$T$210:$T$215,'Div 3'!$T$217:$T$218,'Div 3'!$T$220,'Div 3'!$T$222:$T$224,'Div 3'!$T$226</definedName>
    <definedName name="OSRRefT22x_0" localSheetId="73">'Div 4'!$T$32:$T$40,'Div 4'!$T$42:$T$48,'Div 4'!$T$50,'Div 4'!$T$52,'Div 4'!$T$54,'Div 4'!$T$56:$T$58,'Div 4'!$T$60,'Div 4'!$T$62,'Div 4'!$T$64,'Div 4'!$T$66,'Div 4'!$T$68,'Div 4'!$T$70,'Div 4'!$T$72,'Div 4'!$T$74:$T$75,'Div 4'!$T$77:$T$78,'Div 4'!$T$80:$T$84,'Div 4'!$T$86,'Div 4'!$T$88:$T$95,'Div 4'!$T$97,'Div 4'!$T$99,'Div 4'!$T$101:$T$103,'Div 4'!$T$105</definedName>
    <definedName name="OSRRefT22x_0" localSheetId="96">'Div 5'!$T$21:$T$28,'Div 5'!$T$30:$T$35,'Div 5'!$T$37,'Div 5'!$T$39,'Div 5'!$T$41,'Div 5'!$T$43,'Div 5'!$T$45,'Div 5'!$T$47,'Div 5'!$T$49:$T$50,'Div 5'!$T$52</definedName>
    <definedName name="OSRRefT22x_0" localSheetId="64">'Div 6'!$T$47:$T$55,'Div 6'!$T$57:$T$60,'Div 6'!$T$62,'Div 6'!$T$64,'Div 6'!$T$66,'Div 6'!$T$68,'Div 6'!$T$70,'Div 6'!$T$72,'Div 6'!$T$74:$T$75,'Div 6'!$T$77</definedName>
    <definedName name="OSRRefT22x_0" localSheetId="2">Summary!$T$169:$T$177,Summary!$T$179:$T$185,Summary!$T$187,Summary!$T$189,Summary!$T$191,Summary!$T$193:$T$195,Summary!$T$197:$T$198,Summary!$T$200,Summary!$T$202,Summary!$T$204,Summary!$T$206:$T$207,Summary!$T$209,Summary!$T$211,Summary!$T$213,Summary!$T$215,Summary!$T$217,Summary!$T$219,Summary!$T$221,Summary!$T$223:$T$225,Summary!$T$227:$T$229,Summary!$T$231:$T$235,Summary!$T$237:$T$238,Summary!$T$240:$T$247,Summary!$T$249:$T$250,Summary!$T$252,Summary!$T$254:$T$256,Summary!$T$258</definedName>
    <definedName name="OSRRefT25x_0" localSheetId="48">'300'!$T$221:$T$225</definedName>
    <definedName name="OSRRefT25x_0" localSheetId="49">'300 &amp; 317'!$T$241:$T$247</definedName>
    <definedName name="OSRRefT25x_0" localSheetId="50">'301'!$T$87:$T$88</definedName>
    <definedName name="OSRRefT25x_0" localSheetId="55">'308'!$T$99:$T$100</definedName>
    <definedName name="OSRRefT25x_0" localSheetId="74">'310 &amp; 491'!$T$116:$T$118</definedName>
    <definedName name="OSRRefT25x_0" localSheetId="56">'311'!$T$98:$T$99</definedName>
    <definedName name="OSRRefT25x_0" localSheetId="59">'315'!$T$88</definedName>
    <definedName name="OSRRefT25x_0" localSheetId="62">'316'!$T$62</definedName>
    <definedName name="OSRRefT25x_0" localSheetId="65">'317'!$T$80:$T$82</definedName>
    <definedName name="OSRRefT25x_0" localSheetId="63">'320'!$T$52:$T$53</definedName>
    <definedName name="OSRRefT25x_0" localSheetId="58">'331'!$T$121</definedName>
    <definedName name="OSRRefT25x_0" localSheetId="61">'332'!$T$76:$T$78</definedName>
    <definedName name="OSRRefT25x_0" localSheetId="78">'411'!$T$75:$T$76</definedName>
    <definedName name="OSRRefT25x_0" localSheetId="80">'413'!$T$59</definedName>
    <definedName name="OSRRefT25x_0" localSheetId="85">'423'!$T$40</definedName>
    <definedName name="OSRRefT25x_0" localSheetId="86">'424'!$T$46</definedName>
    <definedName name="OSRRefT25x_0" localSheetId="87">'425'!$T$67</definedName>
    <definedName name="OSRRefT25x_0" localSheetId="88">'455'!$T$32:$T$33</definedName>
    <definedName name="OSRRefT25x_0" localSheetId="75">'491'!$T$105:$T$107</definedName>
    <definedName name="OSRRefT25x_0" localSheetId="97">'501'!$T$55</definedName>
    <definedName name="OSRRefT25x_0" localSheetId="47">'Div 3'!$T$229:$T$233</definedName>
    <definedName name="OSRRefT25x_0" localSheetId="73">'Div 4'!$T$108:$T$110</definedName>
    <definedName name="OSRRefT25x_0" localSheetId="96">'Div 5'!$T$55</definedName>
    <definedName name="OSRRefT25x_0" localSheetId="64">'Div 6'!$T$80:$T$82</definedName>
    <definedName name="OSRRefT25x_0" localSheetId="2">Summary!$T$261:$T$269</definedName>
    <definedName name="_xlnm.Print_Area" localSheetId="38">'100'!$A$1:$Z$34</definedName>
    <definedName name="_xlnm.Print_Area" localSheetId="40">'200'!$A$1:$Z$40</definedName>
    <definedName name="_xlnm.Print_Area" localSheetId="41">'201'!$A$1:$Z$75</definedName>
    <definedName name="_xlnm.Print_Area" localSheetId="42">'202'!$A$1:$Z$66</definedName>
    <definedName name="_xlnm.Print_Area" localSheetId="43">'203'!$A$1:$Z$74</definedName>
    <definedName name="_xlnm.Print_Area" localSheetId="44">'204'!$A$1:$Z$69</definedName>
    <definedName name="_xlnm.Print_Area" localSheetId="45">'205'!$A$1:$Z$56</definedName>
    <definedName name="_xlnm.Print_Area" localSheetId="46">'206'!$A$1:$Z$57</definedName>
    <definedName name="_xlnm.Print_Area" localSheetId="48">'300'!$A$1:$Z$237</definedName>
    <definedName name="_xlnm.Print_Area" localSheetId="49">'300 &amp; 317'!$A$1:$Z$259</definedName>
    <definedName name="_xlnm.Print_Area" localSheetId="50">'301'!$A$1:$Z$100</definedName>
    <definedName name="_xlnm.Print_Area" localSheetId="51">'306'!$A$1:$Z$61</definedName>
    <definedName name="_xlnm.Print_Area" localSheetId="53">'307'!$A$1:$Z$96</definedName>
    <definedName name="_xlnm.Print_Area" localSheetId="55">'308'!$A$1:$Z$112</definedName>
    <definedName name="_xlnm.Print_Area" localSheetId="67">'309'!$A$1:$Z$75</definedName>
    <definedName name="_xlnm.Print_Area" localSheetId="66">'310'!$A$1:$Z$106</definedName>
    <definedName name="_xlnm.Print_Area" localSheetId="74">'310 &amp; 491'!$A$1:$Z$130</definedName>
    <definedName name="_xlnm.Print_Area" localSheetId="56">'311'!$A$1:$Z$111</definedName>
    <definedName name="_xlnm.Print_Area" localSheetId="68">'313'!$A$1:$Z$77</definedName>
    <definedName name="_xlnm.Print_Area" localSheetId="54">'314'!$A$1:$Z$79</definedName>
    <definedName name="_xlnm.Print_Area" localSheetId="59">'315'!$A$1:$Z$100</definedName>
    <definedName name="_xlnm.Print_Area" localSheetId="62">'316'!$A$1:$Z$74</definedName>
    <definedName name="_xlnm.Print_Area" localSheetId="65">'317'!$A$1:$Z$94</definedName>
    <definedName name="_xlnm.Print_Area" localSheetId="63">'320'!$A$1:$Z$65</definedName>
    <definedName name="_xlnm.Print_Area" localSheetId="69">'321'!$A$1:$Z$70</definedName>
    <definedName name="_xlnm.Print_Area" localSheetId="70">'322'!$A$1:$Z$79</definedName>
    <definedName name="_xlnm.Print_Area" localSheetId="57">'324'!$A$1:$Z$37</definedName>
    <definedName name="_xlnm.Print_Area" localSheetId="71">'325'!$A$1:$Z$83</definedName>
    <definedName name="_xlnm.Print_Area" localSheetId="60">'326'!$A$1:$Z$112</definedName>
    <definedName name="_xlnm.Print_Area" localSheetId="72">'327'!$A$1:$Z$36</definedName>
    <definedName name="_xlnm.Print_Area" localSheetId="52">'330'!$A$1:$Z$110</definedName>
    <definedName name="_xlnm.Print_Area" localSheetId="58">'331'!$A$1:$Z$133</definedName>
    <definedName name="_xlnm.Print_Area" localSheetId="61">'332'!$A$1:$Z$90</definedName>
    <definedName name="_xlnm.Print_Area" localSheetId="76">'405'!$A$1:$Z$86</definedName>
    <definedName name="_xlnm.Print_Area" localSheetId="77">'406'!$A$1:$Z$63</definedName>
    <definedName name="_xlnm.Print_Area" localSheetId="78">'411'!$A$1:$Z$88</definedName>
    <definedName name="_xlnm.Print_Area" localSheetId="79">'412'!$A$1:$Z$78</definedName>
    <definedName name="_xlnm.Print_Area" localSheetId="80">'413'!$A$1:$Z$71</definedName>
    <definedName name="_xlnm.Print_Area" localSheetId="81">'414'!$A$1:$Z$78</definedName>
    <definedName name="_xlnm.Print_Area" localSheetId="82">'415'!$A$1:$Z$92</definedName>
    <definedName name="_xlnm.Print_Area" localSheetId="83">'418'!$A$1:$Z$79</definedName>
    <definedName name="_xlnm.Print_Area" localSheetId="84">'420'!$A$1:$Z$32</definedName>
    <definedName name="_xlnm.Print_Area" localSheetId="85">'423'!$A$1:$Z$52</definedName>
    <definedName name="_xlnm.Print_Area" localSheetId="86">'424'!$A$1:$Z$58</definedName>
    <definedName name="_xlnm.Print_Area" localSheetId="87">'425'!$A$1:$Z$79</definedName>
    <definedName name="_xlnm.Print_Area" localSheetId="90">'430'!$A$1:$Z$56</definedName>
    <definedName name="_xlnm.Print_Area" localSheetId="91">'433'!$A$1:$Z$83</definedName>
    <definedName name="_xlnm.Print_Area" localSheetId="92">'435'!$A$1:$Z$41</definedName>
    <definedName name="_xlnm.Print_Area" localSheetId="93">'444'!$A$1:$Z$85</definedName>
    <definedName name="_xlnm.Print_Area" localSheetId="94">'445'!$A$1:$Z$34</definedName>
    <definedName name="_xlnm.Print_Area" localSheetId="95">'450'!$A$1:$Z$80</definedName>
    <definedName name="_xlnm.Print_Area" localSheetId="88">'455'!$A$1:$Z$45</definedName>
    <definedName name="_xlnm.Print_Area" localSheetId="75">'491'!$A$1:$Z$119</definedName>
    <definedName name="_xlnm.Print_Area" localSheetId="89">'492'!$A$1:$Z$93</definedName>
    <definedName name="_xlnm.Print_Area" localSheetId="97">'501'!$A$1:$Z$67</definedName>
    <definedName name="_xlnm.Print_Area" localSheetId="98">Dept!$A$1:$Z$39</definedName>
    <definedName name="_xlnm.Print_Area" localSheetId="37">'Div 1'!$A$1:$Z$34</definedName>
    <definedName name="_xlnm.Print_Area" localSheetId="39">'Div 2'!$A$1:$Z$99</definedName>
    <definedName name="_xlnm.Print_Area" localSheetId="47">'Div 3'!$A$1:$Z$245</definedName>
    <definedName name="_xlnm.Print_Area" localSheetId="73">'Div 4'!$A$1:$Z$122</definedName>
    <definedName name="_xlnm.Print_Area" localSheetId="96">'Div 5'!$A$1:$Z$67</definedName>
    <definedName name="_xlnm.Print_Area" localSheetId="64">'Div 6'!$A$1:$Z$94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Summary!$A$1:$Z$283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59" i="110" l="1"/>
  <c r="X59" i="110"/>
  <c r="L59" i="110"/>
  <c r="N59" i="110" s="1"/>
  <c r="T55" i="110"/>
  <c r="P55" i="110"/>
  <c r="X55" i="110" s="1"/>
  <c r="H55" i="110"/>
  <c r="D55" i="110"/>
  <c r="L55" i="110" s="1"/>
  <c r="B55" i="110"/>
  <c r="D54" i="110"/>
  <c r="X52" i="110"/>
  <c r="Z52" i="110" s="1"/>
  <c r="L52" i="110"/>
  <c r="N52" i="110" s="1"/>
  <c r="B52" i="110"/>
  <c r="T51" i="110"/>
  <c r="Z51" i="110" s="1"/>
  <c r="P51" i="110"/>
  <c r="X51" i="110" s="1"/>
  <c r="H51" i="110"/>
  <c r="D51" i="110"/>
  <c r="L51" i="110" s="1"/>
  <c r="N51" i="110" s="1"/>
  <c r="B51" i="110"/>
  <c r="X50" i="110"/>
  <c r="Z50" i="110" s="1"/>
  <c r="N50" i="110"/>
  <c r="L50" i="110"/>
  <c r="B50" i="110"/>
  <c r="Z49" i="110"/>
  <c r="X49" i="110"/>
  <c r="N49" i="110"/>
  <c r="L49" i="110"/>
  <c r="B49" i="110"/>
  <c r="T48" i="110"/>
  <c r="P48" i="110"/>
  <c r="L48" i="110"/>
  <c r="H48" i="110"/>
  <c r="N48" i="110" s="1"/>
  <c r="D48" i="110"/>
  <c r="B48" i="110"/>
  <c r="X47" i="110"/>
  <c r="Z47" i="110" s="1"/>
  <c r="V47" i="110"/>
  <c r="R47" i="110"/>
  <c r="N47" i="110"/>
  <c r="L47" i="110"/>
  <c r="B47" i="110"/>
  <c r="T46" i="110"/>
  <c r="P46" i="110"/>
  <c r="X46" i="110" s="1"/>
  <c r="Z46" i="110" s="1"/>
  <c r="N46" i="110"/>
  <c r="H46" i="110"/>
  <c r="D46" i="110"/>
  <c r="L46" i="110" s="1"/>
  <c r="B46" i="110"/>
  <c r="Z45" i="110"/>
  <c r="X45" i="110"/>
  <c r="N45" i="110"/>
  <c r="L45" i="110"/>
  <c r="B45" i="110"/>
  <c r="T44" i="110"/>
  <c r="P44" i="110"/>
  <c r="L44" i="110"/>
  <c r="H44" i="110"/>
  <c r="D44" i="110"/>
  <c r="B44" i="110"/>
  <c r="X43" i="110"/>
  <c r="Z43" i="110" s="1"/>
  <c r="L43" i="110"/>
  <c r="N43" i="110" s="1"/>
  <c r="B43" i="110"/>
  <c r="X42" i="110"/>
  <c r="T42" i="110"/>
  <c r="Z42" i="110" s="1"/>
  <c r="P42" i="110"/>
  <c r="H42" i="110"/>
  <c r="D42" i="110"/>
  <c r="B42" i="110"/>
  <c r="Z41" i="110"/>
  <c r="X41" i="110"/>
  <c r="N41" i="110"/>
  <c r="L41" i="110"/>
  <c r="B41" i="110"/>
  <c r="Z40" i="110"/>
  <c r="T40" i="110"/>
  <c r="X40" i="110" s="1"/>
  <c r="P40" i="110"/>
  <c r="H40" i="110"/>
  <c r="D40" i="110"/>
  <c r="L40" i="110" s="1"/>
  <c r="N40" i="110" s="1"/>
  <c r="B40" i="110"/>
  <c r="Z39" i="110"/>
  <c r="X39" i="110"/>
  <c r="L39" i="110"/>
  <c r="N39" i="110" s="1"/>
  <c r="B39" i="110"/>
  <c r="X38" i="110"/>
  <c r="V38" i="110"/>
  <c r="T38" i="110"/>
  <c r="P38" i="110"/>
  <c r="L38" i="110"/>
  <c r="H38" i="110"/>
  <c r="N38" i="110" s="1"/>
  <c r="D38" i="110"/>
  <c r="B38" i="110"/>
  <c r="X37" i="110"/>
  <c r="Z37" i="110" s="1"/>
  <c r="N37" i="110"/>
  <c r="L37" i="110"/>
  <c r="B37" i="110"/>
  <c r="T36" i="110"/>
  <c r="R36" i="110"/>
  <c r="P36" i="110"/>
  <c r="X36" i="110" s="1"/>
  <c r="L36" i="110"/>
  <c r="H36" i="110"/>
  <c r="N36" i="110" s="1"/>
  <c r="D36" i="110"/>
  <c r="B36" i="110"/>
  <c r="Z35" i="110"/>
  <c r="X35" i="110"/>
  <c r="V35" i="110"/>
  <c r="R35" i="110"/>
  <c r="N35" i="110"/>
  <c r="L35" i="110"/>
  <c r="B35" i="110"/>
  <c r="Z34" i="110"/>
  <c r="X34" i="110"/>
  <c r="L34" i="110"/>
  <c r="N34" i="110" s="1"/>
  <c r="B34" i="110"/>
  <c r="Z33" i="110"/>
  <c r="X33" i="110"/>
  <c r="N33" i="110"/>
  <c r="L33" i="110"/>
  <c r="B33" i="110"/>
  <c r="Z32" i="110"/>
  <c r="X32" i="110"/>
  <c r="L32" i="110"/>
  <c r="N32" i="110" s="1"/>
  <c r="B32" i="110"/>
  <c r="Z31" i="110"/>
  <c r="X31" i="110"/>
  <c r="V31" i="110"/>
  <c r="N31" i="110"/>
  <c r="L31" i="110"/>
  <c r="B31" i="110"/>
  <c r="Z30" i="110"/>
  <c r="X30" i="110"/>
  <c r="L30" i="110"/>
  <c r="N30" i="110" s="1"/>
  <c r="B30" i="110"/>
  <c r="T29" i="110"/>
  <c r="Z29" i="110" s="1"/>
  <c r="P29" i="110"/>
  <c r="X29" i="110" s="1"/>
  <c r="H29" i="110"/>
  <c r="D29" i="110"/>
  <c r="L29" i="110" s="1"/>
  <c r="B29" i="110"/>
  <c r="X28" i="110"/>
  <c r="Z28" i="110" s="1"/>
  <c r="L28" i="110"/>
  <c r="N28" i="110" s="1"/>
  <c r="B28" i="110"/>
  <c r="Z27" i="110"/>
  <c r="X27" i="110"/>
  <c r="N27" i="110"/>
  <c r="L27" i="110"/>
  <c r="B27" i="110"/>
  <c r="X26" i="110"/>
  <c r="Z26" i="110" s="1"/>
  <c r="V26" i="110"/>
  <c r="L26" i="110"/>
  <c r="N26" i="110" s="1"/>
  <c r="B26" i="110"/>
  <c r="Z25" i="110"/>
  <c r="X25" i="110"/>
  <c r="N25" i="110"/>
  <c r="L25" i="110"/>
  <c r="B25" i="110"/>
  <c r="X24" i="110"/>
  <c r="Z24" i="110" s="1"/>
  <c r="L24" i="110"/>
  <c r="N24" i="110" s="1"/>
  <c r="B24" i="110"/>
  <c r="Z23" i="110"/>
  <c r="X23" i="110"/>
  <c r="L23" i="110"/>
  <c r="N23" i="110" s="1"/>
  <c r="B23" i="110"/>
  <c r="X22" i="110"/>
  <c r="Z22" i="110" s="1"/>
  <c r="V22" i="110"/>
  <c r="L22" i="110"/>
  <c r="N22" i="110" s="1"/>
  <c r="B22" i="110"/>
  <c r="Z21" i="110"/>
  <c r="X21" i="110"/>
  <c r="L21" i="110"/>
  <c r="N21" i="110" s="1"/>
  <c r="B21" i="110"/>
  <c r="X20" i="110"/>
  <c r="V20" i="110"/>
  <c r="T20" i="110"/>
  <c r="Z20" i="110" s="1"/>
  <c r="P20" i="110"/>
  <c r="L20" i="110"/>
  <c r="H20" i="110"/>
  <c r="D20" i="110"/>
  <c r="B20" i="110"/>
  <c r="X19" i="110"/>
  <c r="T19" i="110"/>
  <c r="Z19" i="110" s="1"/>
  <c r="P19" i="110"/>
  <c r="N19" i="110"/>
  <c r="L19" i="110"/>
  <c r="H19" i="110"/>
  <c r="D19" i="110"/>
  <c r="X15" i="110"/>
  <c r="T15" i="110"/>
  <c r="Z15" i="110" s="1"/>
  <c r="P15" i="110"/>
  <c r="N15" i="110"/>
  <c r="L15" i="110"/>
  <c r="H15" i="110"/>
  <c r="D15" i="110"/>
  <c r="X13" i="110"/>
  <c r="Z13" i="110" s="1"/>
  <c r="T13" i="110"/>
  <c r="P13" i="110"/>
  <c r="P12" i="110" s="1"/>
  <c r="R48" i="110" s="1"/>
  <c r="H13" i="110"/>
  <c r="D13" i="110"/>
  <c r="B13" i="110"/>
  <c r="T12" i="110"/>
  <c r="V49" i="110" s="1"/>
  <c r="D6" i="110"/>
  <c r="D4" i="110"/>
  <c r="Z37" i="109"/>
  <c r="X37" i="109"/>
  <c r="N37" i="109"/>
  <c r="L37" i="109"/>
  <c r="T33" i="109"/>
  <c r="R33" i="109"/>
  <c r="P33" i="109"/>
  <c r="H33" i="109"/>
  <c r="D33" i="109"/>
  <c r="B33" i="109"/>
  <c r="V32" i="109"/>
  <c r="T32" i="109"/>
  <c r="P32" i="109"/>
  <c r="H32" i="109"/>
  <c r="N32" i="109" s="1"/>
  <c r="D32" i="109"/>
  <c r="L32" i="109" s="1"/>
  <c r="B32" i="109"/>
  <c r="P31" i="109"/>
  <c r="Z29" i="109"/>
  <c r="X29" i="109"/>
  <c r="V29" i="109"/>
  <c r="N29" i="109"/>
  <c r="L29" i="109"/>
  <c r="B29" i="109"/>
  <c r="X28" i="109"/>
  <c r="Z28" i="109" s="1"/>
  <c r="L28" i="109"/>
  <c r="N28" i="109" s="1"/>
  <c r="B28" i="109"/>
  <c r="X27" i="109"/>
  <c r="Z27" i="109" s="1"/>
  <c r="T27" i="109"/>
  <c r="P27" i="109"/>
  <c r="L27" i="109"/>
  <c r="N27" i="109" s="1"/>
  <c r="J27" i="109"/>
  <c r="H27" i="109"/>
  <c r="D27" i="109"/>
  <c r="B27" i="109"/>
  <c r="X26" i="109"/>
  <c r="Z26" i="109" s="1"/>
  <c r="L26" i="109"/>
  <c r="N26" i="109" s="1"/>
  <c r="B26" i="109"/>
  <c r="X25" i="109"/>
  <c r="Z25" i="109" s="1"/>
  <c r="N25" i="109"/>
  <c r="L25" i="109"/>
  <c r="B25" i="109"/>
  <c r="X24" i="109"/>
  <c r="Z24" i="109" s="1"/>
  <c r="L24" i="109"/>
  <c r="N24" i="109" s="1"/>
  <c r="B24" i="109"/>
  <c r="Z23" i="109"/>
  <c r="X23" i="109"/>
  <c r="R23" i="109"/>
  <c r="N23" i="109"/>
  <c r="L23" i="109"/>
  <c r="B23" i="109"/>
  <c r="X22" i="109"/>
  <c r="Z22" i="109" s="1"/>
  <c r="L22" i="109"/>
  <c r="N22" i="109" s="1"/>
  <c r="B22" i="109"/>
  <c r="X21" i="109"/>
  <c r="Z21" i="109" s="1"/>
  <c r="N21" i="109"/>
  <c r="L21" i="109"/>
  <c r="B21" i="109"/>
  <c r="Z20" i="109"/>
  <c r="X20" i="109"/>
  <c r="L20" i="109"/>
  <c r="N20" i="109" s="1"/>
  <c r="B20" i="109"/>
  <c r="T19" i="109"/>
  <c r="R19" i="109"/>
  <c r="P19" i="109"/>
  <c r="X19" i="109" s="1"/>
  <c r="L19" i="109"/>
  <c r="J19" i="109"/>
  <c r="H19" i="109"/>
  <c r="N19" i="109" s="1"/>
  <c r="F19" i="109"/>
  <c r="D19" i="109"/>
  <c r="B19" i="109"/>
  <c r="T18" i="109"/>
  <c r="P18" i="109"/>
  <c r="J18" i="109"/>
  <c r="H18" i="109"/>
  <c r="F18" i="109"/>
  <c r="D18" i="109"/>
  <c r="J16" i="109"/>
  <c r="F16" i="109"/>
  <c r="X14" i="109"/>
  <c r="V14" i="109"/>
  <c r="T14" i="109"/>
  <c r="Z14" i="109" s="1"/>
  <c r="R14" i="109"/>
  <c r="P14" i="109"/>
  <c r="H14" i="109"/>
  <c r="N14" i="109" s="1"/>
  <c r="D14" i="109"/>
  <c r="L14" i="109" s="1"/>
  <c r="Z12" i="109"/>
  <c r="X12" i="109"/>
  <c r="T12" i="109"/>
  <c r="P12" i="109"/>
  <c r="P16" i="109" s="1"/>
  <c r="N12" i="109"/>
  <c r="H12" i="109"/>
  <c r="J26" i="109" s="1"/>
  <c r="D12" i="109"/>
  <c r="F26" i="109" s="1"/>
  <c r="D6" i="109"/>
  <c r="D4" i="109"/>
  <c r="V77" i="108"/>
  <c r="Z72" i="108"/>
  <c r="X72" i="108"/>
  <c r="V72" i="108"/>
  <c r="N72" i="108"/>
  <c r="L72" i="108"/>
  <c r="T68" i="108"/>
  <c r="Z68" i="108" s="1"/>
  <c r="P68" i="108"/>
  <c r="X68" i="108" s="1"/>
  <c r="N68" i="108"/>
  <c r="L68" i="108"/>
  <c r="H68" i="108"/>
  <c r="D68" i="108"/>
  <c r="Z66" i="108"/>
  <c r="X66" i="108"/>
  <c r="N66" i="108"/>
  <c r="L66" i="108"/>
  <c r="B66" i="108"/>
  <c r="Z65" i="108"/>
  <c r="X65" i="108"/>
  <c r="T65" i="108"/>
  <c r="P65" i="108"/>
  <c r="H65" i="108"/>
  <c r="N65" i="108" s="1"/>
  <c r="D65" i="108"/>
  <c r="B65" i="108"/>
  <c r="Z64" i="108"/>
  <c r="X64" i="108"/>
  <c r="L64" i="108"/>
  <c r="N64" i="108" s="1"/>
  <c r="B64" i="108"/>
  <c r="Z63" i="108"/>
  <c r="X63" i="108"/>
  <c r="T63" i="108"/>
  <c r="P63" i="108"/>
  <c r="H63" i="108"/>
  <c r="D63" i="108"/>
  <c r="L63" i="108" s="1"/>
  <c r="N63" i="108" s="1"/>
  <c r="B63" i="108"/>
  <c r="Z62" i="108"/>
  <c r="X62" i="108"/>
  <c r="L62" i="108"/>
  <c r="N62" i="108" s="1"/>
  <c r="B62" i="108"/>
  <c r="Z61" i="108"/>
  <c r="T61" i="108"/>
  <c r="X61" i="108" s="1"/>
  <c r="P61" i="108"/>
  <c r="H61" i="108"/>
  <c r="N61" i="108" s="1"/>
  <c r="D61" i="108"/>
  <c r="L61" i="108" s="1"/>
  <c r="B61" i="108"/>
  <c r="X60" i="108"/>
  <c r="Z60" i="108" s="1"/>
  <c r="N60" i="108"/>
  <c r="L60" i="108"/>
  <c r="B60" i="108"/>
  <c r="Z59" i="108"/>
  <c r="X59" i="108"/>
  <c r="N59" i="108"/>
  <c r="L59" i="108"/>
  <c r="B59" i="108"/>
  <c r="X58" i="108"/>
  <c r="Z58" i="108" s="1"/>
  <c r="L58" i="108"/>
  <c r="N58" i="108" s="1"/>
  <c r="B58" i="108"/>
  <c r="Z57" i="108"/>
  <c r="X57" i="108"/>
  <c r="N57" i="108"/>
  <c r="L57" i="108"/>
  <c r="B57" i="108"/>
  <c r="Z56" i="108"/>
  <c r="X56" i="108"/>
  <c r="T56" i="108"/>
  <c r="P56" i="108"/>
  <c r="H56" i="108"/>
  <c r="N56" i="108" s="1"/>
  <c r="D56" i="108"/>
  <c r="L56" i="108" s="1"/>
  <c r="B56" i="108"/>
  <c r="Z55" i="108"/>
  <c r="X55" i="108"/>
  <c r="N55" i="108"/>
  <c r="L55" i="108"/>
  <c r="B55" i="108"/>
  <c r="X54" i="108"/>
  <c r="Z54" i="108" s="1"/>
  <c r="N54" i="108"/>
  <c r="L54" i="108"/>
  <c r="B54" i="108"/>
  <c r="Z53" i="108"/>
  <c r="X53" i="108"/>
  <c r="N53" i="108"/>
  <c r="L53" i="108"/>
  <c r="B53" i="108"/>
  <c r="T52" i="108"/>
  <c r="P52" i="108"/>
  <c r="X52" i="108" s="1"/>
  <c r="Z52" i="108" s="1"/>
  <c r="L52" i="108"/>
  <c r="H52" i="108"/>
  <c r="D52" i="108"/>
  <c r="B52" i="108"/>
  <c r="Z51" i="108"/>
  <c r="X51" i="108"/>
  <c r="N51" i="108"/>
  <c r="L51" i="108"/>
  <c r="B51" i="108"/>
  <c r="Z50" i="108"/>
  <c r="T50" i="108"/>
  <c r="P50" i="108"/>
  <c r="X50" i="108" s="1"/>
  <c r="H50" i="108"/>
  <c r="N50" i="108" s="1"/>
  <c r="D50" i="108"/>
  <c r="B50" i="108"/>
  <c r="X49" i="108"/>
  <c r="Z49" i="108" s="1"/>
  <c r="N49" i="108"/>
  <c r="L49" i="108"/>
  <c r="B49" i="108"/>
  <c r="Z48" i="108"/>
  <c r="X48" i="108"/>
  <c r="T48" i="108"/>
  <c r="P48" i="108"/>
  <c r="H48" i="108"/>
  <c r="N48" i="108" s="1"/>
  <c r="D48" i="108"/>
  <c r="L48" i="108" s="1"/>
  <c r="B48" i="108"/>
  <c r="Z47" i="108"/>
  <c r="X47" i="108"/>
  <c r="L47" i="108"/>
  <c r="N47" i="108" s="1"/>
  <c r="B47" i="108"/>
  <c r="X46" i="108"/>
  <c r="V46" i="108"/>
  <c r="T46" i="108"/>
  <c r="P46" i="108"/>
  <c r="H46" i="108"/>
  <c r="D46" i="108"/>
  <c r="L46" i="108" s="1"/>
  <c r="N46" i="108" s="1"/>
  <c r="B46" i="108"/>
  <c r="Z45" i="108"/>
  <c r="X45" i="108"/>
  <c r="L45" i="108"/>
  <c r="N45" i="108" s="1"/>
  <c r="B45" i="108"/>
  <c r="T44" i="108"/>
  <c r="P44" i="108"/>
  <c r="X44" i="108" s="1"/>
  <c r="N44" i="108"/>
  <c r="H44" i="108"/>
  <c r="D44" i="108"/>
  <c r="L44" i="108" s="1"/>
  <c r="B44" i="108"/>
  <c r="Z43" i="108"/>
  <c r="X43" i="108"/>
  <c r="R43" i="108"/>
  <c r="N43" i="108"/>
  <c r="L43" i="108"/>
  <c r="B43" i="108"/>
  <c r="T42" i="108"/>
  <c r="Z42" i="108" s="1"/>
  <c r="P42" i="108"/>
  <c r="X42" i="108" s="1"/>
  <c r="N42" i="108"/>
  <c r="L42" i="108"/>
  <c r="H42" i="108"/>
  <c r="D42" i="108"/>
  <c r="B42" i="108"/>
  <c r="Z41" i="108"/>
  <c r="X41" i="108"/>
  <c r="L41" i="108"/>
  <c r="N41" i="108" s="1"/>
  <c r="B41" i="108"/>
  <c r="T40" i="108"/>
  <c r="Z40" i="108" s="1"/>
  <c r="P40" i="108"/>
  <c r="X40" i="108" s="1"/>
  <c r="H40" i="108"/>
  <c r="D40" i="108"/>
  <c r="B40" i="108"/>
  <c r="Z39" i="108"/>
  <c r="X39" i="108"/>
  <c r="N39" i="108"/>
  <c r="L39" i="108"/>
  <c r="B39" i="108"/>
  <c r="Z38" i="108"/>
  <c r="X38" i="108"/>
  <c r="L38" i="108"/>
  <c r="N38" i="108" s="1"/>
  <c r="B38" i="108"/>
  <c r="Z37" i="108"/>
  <c r="X37" i="108"/>
  <c r="V37" i="108"/>
  <c r="R37" i="108"/>
  <c r="N37" i="108"/>
  <c r="L37" i="108"/>
  <c r="B37" i="108"/>
  <c r="X36" i="108"/>
  <c r="Z36" i="108" s="1"/>
  <c r="L36" i="108"/>
  <c r="N36" i="108" s="1"/>
  <c r="J36" i="108"/>
  <c r="B36" i="108"/>
  <c r="X35" i="108"/>
  <c r="Z35" i="108" s="1"/>
  <c r="N35" i="108"/>
  <c r="L35" i="108"/>
  <c r="B35" i="108"/>
  <c r="Z34" i="108"/>
  <c r="X34" i="108"/>
  <c r="L34" i="108"/>
  <c r="N34" i="108" s="1"/>
  <c r="B34" i="108"/>
  <c r="Z33" i="108"/>
  <c r="T33" i="108"/>
  <c r="X33" i="108" s="1"/>
  <c r="P33" i="108"/>
  <c r="H33" i="108"/>
  <c r="D33" i="108"/>
  <c r="L33" i="108" s="1"/>
  <c r="N33" i="108" s="1"/>
  <c r="B33" i="108"/>
  <c r="X32" i="108"/>
  <c r="Z32" i="108" s="1"/>
  <c r="N32" i="108"/>
  <c r="L32" i="108"/>
  <c r="B32" i="108"/>
  <c r="Z31" i="108"/>
  <c r="X31" i="108"/>
  <c r="N31" i="108"/>
  <c r="L31" i="108"/>
  <c r="B31" i="108"/>
  <c r="X30" i="108"/>
  <c r="Z30" i="108" s="1"/>
  <c r="L30" i="108"/>
  <c r="N30" i="108" s="1"/>
  <c r="J30" i="108"/>
  <c r="B30" i="108"/>
  <c r="X29" i="108"/>
  <c r="Z29" i="108" s="1"/>
  <c r="N29" i="108"/>
  <c r="L29" i="108"/>
  <c r="B29" i="108"/>
  <c r="Z28" i="108"/>
  <c r="X28" i="108"/>
  <c r="N28" i="108"/>
  <c r="L28" i="108"/>
  <c r="B28" i="108"/>
  <c r="Z27" i="108"/>
  <c r="X27" i="108"/>
  <c r="R27" i="108"/>
  <c r="N27" i="108"/>
  <c r="L27" i="108"/>
  <c r="B27" i="108"/>
  <c r="X26" i="108"/>
  <c r="Z26" i="108" s="1"/>
  <c r="L26" i="108"/>
  <c r="N26" i="108" s="1"/>
  <c r="B26" i="108"/>
  <c r="X25" i="108"/>
  <c r="Z25" i="108" s="1"/>
  <c r="N25" i="108"/>
  <c r="L25" i="108"/>
  <c r="B25" i="108"/>
  <c r="Z24" i="108"/>
  <c r="X24" i="108"/>
  <c r="N24" i="108"/>
  <c r="L24" i="108"/>
  <c r="B24" i="108"/>
  <c r="T23" i="108"/>
  <c r="R23" i="108"/>
  <c r="P23" i="108"/>
  <c r="L23" i="108"/>
  <c r="N23" i="108" s="1"/>
  <c r="H23" i="108"/>
  <c r="D23" i="108"/>
  <c r="B23" i="108"/>
  <c r="T22" i="108"/>
  <c r="P22" i="108"/>
  <c r="H22" i="108"/>
  <c r="N22" i="108" s="1"/>
  <c r="D22" i="108"/>
  <c r="L22" i="108" s="1"/>
  <c r="T20" i="108"/>
  <c r="Z18" i="108"/>
  <c r="X18" i="108"/>
  <c r="N18" i="108"/>
  <c r="L18" i="108"/>
  <c r="B18" i="108"/>
  <c r="Z17" i="108"/>
  <c r="X17" i="108"/>
  <c r="L17" i="108"/>
  <c r="N17" i="108" s="1"/>
  <c r="B17" i="108"/>
  <c r="T16" i="108"/>
  <c r="P16" i="108"/>
  <c r="X16" i="108" s="1"/>
  <c r="H16" i="108"/>
  <c r="D16" i="108"/>
  <c r="Z14" i="108"/>
  <c r="T14" i="108"/>
  <c r="P14" i="108"/>
  <c r="X14" i="108" s="1"/>
  <c r="H14" i="108"/>
  <c r="N14" i="108" s="1"/>
  <c r="D14" i="108"/>
  <c r="B14" i="108"/>
  <c r="Z13" i="108"/>
  <c r="X13" i="108"/>
  <c r="T13" i="108"/>
  <c r="P13" i="108"/>
  <c r="H13" i="108"/>
  <c r="H12" i="108" s="1"/>
  <c r="J41" i="108" s="1"/>
  <c r="D13" i="108"/>
  <c r="B13" i="108"/>
  <c r="X12" i="108"/>
  <c r="T12" i="108"/>
  <c r="P12" i="108"/>
  <c r="R18" i="108" s="1"/>
  <c r="D6" i="108"/>
  <c r="D4" i="108"/>
  <c r="R31" i="107"/>
  <c r="R28" i="107"/>
  <c r="Z26" i="107"/>
  <c r="X26" i="107"/>
  <c r="R26" i="107"/>
  <c r="N26" i="107"/>
  <c r="L26" i="107"/>
  <c r="J26" i="107"/>
  <c r="J24" i="107"/>
  <c r="F24" i="107"/>
  <c r="T22" i="107"/>
  <c r="Z22" i="107" s="1"/>
  <c r="P22" i="107"/>
  <c r="X22" i="107" s="1"/>
  <c r="L22" i="107"/>
  <c r="J22" i="107"/>
  <c r="H22" i="107"/>
  <c r="N22" i="107" s="1"/>
  <c r="F22" i="107"/>
  <c r="D22" i="107"/>
  <c r="Z20" i="107"/>
  <c r="X20" i="107"/>
  <c r="R20" i="107"/>
  <c r="L20" i="107"/>
  <c r="N20" i="107" s="1"/>
  <c r="F20" i="107"/>
  <c r="B20" i="107"/>
  <c r="Z19" i="107"/>
  <c r="X19" i="107"/>
  <c r="T19" i="107"/>
  <c r="P19" i="107"/>
  <c r="J19" i="107"/>
  <c r="H19" i="107"/>
  <c r="F19" i="107"/>
  <c r="D19" i="107"/>
  <c r="L19" i="107" s="1"/>
  <c r="N19" i="107" s="1"/>
  <c r="B19" i="107"/>
  <c r="T18" i="107"/>
  <c r="P18" i="107"/>
  <c r="X18" i="107" s="1"/>
  <c r="Z18" i="107" s="1"/>
  <c r="H18" i="107"/>
  <c r="F18" i="107"/>
  <c r="D18" i="107"/>
  <c r="H16" i="107"/>
  <c r="N16" i="107" s="1"/>
  <c r="F16" i="107"/>
  <c r="Z14" i="107"/>
  <c r="T14" i="107"/>
  <c r="P14" i="107"/>
  <c r="X14" i="107" s="1"/>
  <c r="H14" i="107"/>
  <c r="N14" i="107" s="1"/>
  <c r="F14" i="107"/>
  <c r="D14" i="107"/>
  <c r="L14" i="107" s="1"/>
  <c r="Z12" i="107"/>
  <c r="X12" i="107"/>
  <c r="T12" i="107"/>
  <c r="V19" i="107" s="1"/>
  <c r="P12" i="107"/>
  <c r="R19" i="107" s="1"/>
  <c r="L12" i="107"/>
  <c r="H12" i="107"/>
  <c r="J31" i="107" s="1"/>
  <c r="D12" i="107"/>
  <c r="F26" i="107" s="1"/>
  <c r="D6" i="107"/>
  <c r="D4" i="107"/>
  <c r="X77" i="106"/>
  <c r="Z77" i="106" s="1"/>
  <c r="N77" i="106"/>
  <c r="L77" i="106"/>
  <c r="T73" i="106"/>
  <c r="Z73" i="106" s="1"/>
  <c r="P73" i="106"/>
  <c r="X73" i="106" s="1"/>
  <c r="N73" i="106"/>
  <c r="H73" i="106"/>
  <c r="D73" i="106"/>
  <c r="L73" i="106" s="1"/>
  <c r="Z71" i="106"/>
  <c r="X71" i="106"/>
  <c r="N71" i="106"/>
  <c r="L71" i="106"/>
  <c r="B71" i="106"/>
  <c r="T70" i="106"/>
  <c r="Z70" i="106" s="1"/>
  <c r="P70" i="106"/>
  <c r="X70" i="106" s="1"/>
  <c r="L70" i="106"/>
  <c r="H70" i="106"/>
  <c r="N70" i="106" s="1"/>
  <c r="D70" i="106"/>
  <c r="B70" i="106"/>
  <c r="X69" i="106"/>
  <c r="Z69" i="106" s="1"/>
  <c r="L69" i="106"/>
  <c r="N69" i="106" s="1"/>
  <c r="B69" i="106"/>
  <c r="X68" i="106"/>
  <c r="T68" i="106"/>
  <c r="Z68" i="106" s="1"/>
  <c r="P68" i="106"/>
  <c r="H68" i="106"/>
  <c r="D68" i="106"/>
  <c r="L68" i="106" s="1"/>
  <c r="B68" i="106"/>
  <c r="Z67" i="106"/>
  <c r="X67" i="106"/>
  <c r="L67" i="106"/>
  <c r="N67" i="106" s="1"/>
  <c r="B67" i="106"/>
  <c r="X66" i="106"/>
  <c r="Z66" i="106" s="1"/>
  <c r="T66" i="106"/>
  <c r="P66" i="106"/>
  <c r="H66" i="106"/>
  <c r="D66" i="106"/>
  <c r="L66" i="106" s="1"/>
  <c r="N66" i="106" s="1"/>
  <c r="B66" i="106"/>
  <c r="Z65" i="106"/>
  <c r="X65" i="106"/>
  <c r="L65" i="106"/>
  <c r="N65" i="106" s="1"/>
  <c r="B65" i="106"/>
  <c r="X64" i="106"/>
  <c r="Z64" i="106" s="1"/>
  <c r="L64" i="106"/>
  <c r="N64" i="106" s="1"/>
  <c r="B64" i="106"/>
  <c r="X63" i="106"/>
  <c r="Z63" i="106" s="1"/>
  <c r="N63" i="106"/>
  <c r="L63" i="106"/>
  <c r="B63" i="106"/>
  <c r="X62" i="106"/>
  <c r="Z62" i="106" s="1"/>
  <c r="L62" i="106"/>
  <c r="N62" i="106" s="1"/>
  <c r="B62" i="106"/>
  <c r="Z61" i="106"/>
  <c r="X61" i="106"/>
  <c r="L61" i="106"/>
  <c r="N61" i="106" s="1"/>
  <c r="B61" i="106"/>
  <c r="X60" i="106"/>
  <c r="T60" i="106"/>
  <c r="Z60" i="106" s="1"/>
  <c r="P60" i="106"/>
  <c r="H60" i="106"/>
  <c r="N60" i="106" s="1"/>
  <c r="D60" i="106"/>
  <c r="L60" i="106" s="1"/>
  <c r="B60" i="106"/>
  <c r="Z59" i="106"/>
  <c r="X59" i="106"/>
  <c r="N59" i="106"/>
  <c r="L59" i="106"/>
  <c r="B59" i="106"/>
  <c r="X58" i="106"/>
  <c r="Z58" i="106" s="1"/>
  <c r="N58" i="106"/>
  <c r="L58" i="106"/>
  <c r="B58" i="106"/>
  <c r="X57" i="106"/>
  <c r="Z57" i="106" s="1"/>
  <c r="L57" i="106"/>
  <c r="N57" i="106" s="1"/>
  <c r="B57" i="106"/>
  <c r="X56" i="106"/>
  <c r="T56" i="106"/>
  <c r="Z56" i="106" s="1"/>
  <c r="P56" i="106"/>
  <c r="H56" i="106"/>
  <c r="D56" i="106"/>
  <c r="B56" i="106"/>
  <c r="Z55" i="106"/>
  <c r="X55" i="106"/>
  <c r="N55" i="106"/>
  <c r="L55" i="106"/>
  <c r="B55" i="106"/>
  <c r="X54" i="106"/>
  <c r="Z54" i="106" s="1"/>
  <c r="N54" i="106"/>
  <c r="L54" i="106"/>
  <c r="B54" i="106"/>
  <c r="X53" i="106"/>
  <c r="T53" i="106"/>
  <c r="P53" i="106"/>
  <c r="H53" i="106"/>
  <c r="N53" i="106" s="1"/>
  <c r="D53" i="106"/>
  <c r="L53" i="106" s="1"/>
  <c r="B53" i="106"/>
  <c r="X52" i="106"/>
  <c r="Z52" i="106" s="1"/>
  <c r="L52" i="106"/>
  <c r="N52" i="106" s="1"/>
  <c r="B52" i="106"/>
  <c r="T51" i="106"/>
  <c r="P51" i="106"/>
  <c r="N51" i="106"/>
  <c r="H51" i="106"/>
  <c r="D51" i="106"/>
  <c r="L51" i="106" s="1"/>
  <c r="B51" i="106"/>
  <c r="X50" i="106"/>
  <c r="Z50" i="106" s="1"/>
  <c r="N50" i="106"/>
  <c r="L50" i="106"/>
  <c r="B50" i="106"/>
  <c r="T49" i="106"/>
  <c r="P49" i="106"/>
  <c r="X49" i="106" s="1"/>
  <c r="L49" i="106"/>
  <c r="N49" i="106" s="1"/>
  <c r="H49" i="106"/>
  <c r="D49" i="106"/>
  <c r="B49" i="106"/>
  <c r="Z48" i="106"/>
  <c r="X48" i="106"/>
  <c r="N48" i="106"/>
  <c r="L48" i="106"/>
  <c r="B48" i="106"/>
  <c r="T47" i="106"/>
  <c r="P47" i="106"/>
  <c r="L47" i="106"/>
  <c r="H47" i="106"/>
  <c r="D47" i="106"/>
  <c r="B47" i="106"/>
  <c r="Z46" i="106"/>
  <c r="X46" i="106"/>
  <c r="L46" i="106"/>
  <c r="N46" i="106" s="1"/>
  <c r="B46" i="106"/>
  <c r="T45" i="106"/>
  <c r="P45" i="106"/>
  <c r="X45" i="106" s="1"/>
  <c r="H45" i="106"/>
  <c r="D45" i="106"/>
  <c r="L45" i="106" s="1"/>
  <c r="B45" i="106"/>
  <c r="X44" i="106"/>
  <c r="Z44" i="106" s="1"/>
  <c r="N44" i="106"/>
  <c r="L44" i="106"/>
  <c r="B44" i="106"/>
  <c r="T43" i="106"/>
  <c r="P43" i="106"/>
  <c r="X43" i="106" s="1"/>
  <c r="L43" i="106"/>
  <c r="H43" i="106"/>
  <c r="D43" i="106"/>
  <c r="B43" i="106"/>
  <c r="Z42" i="106"/>
  <c r="X42" i="106"/>
  <c r="N42" i="106"/>
  <c r="L42" i="106"/>
  <c r="B42" i="106"/>
  <c r="T41" i="106"/>
  <c r="P41" i="106"/>
  <c r="H41" i="106"/>
  <c r="N41" i="106" s="1"/>
  <c r="D41" i="106"/>
  <c r="L41" i="106" s="1"/>
  <c r="B41" i="106"/>
  <c r="X40" i="106"/>
  <c r="Z40" i="106" s="1"/>
  <c r="L40" i="106"/>
  <c r="N40" i="106" s="1"/>
  <c r="B40" i="106"/>
  <c r="Z39" i="106"/>
  <c r="X39" i="106"/>
  <c r="L39" i="106"/>
  <c r="N39" i="106" s="1"/>
  <c r="B39" i="106"/>
  <c r="Z38" i="106"/>
  <c r="X38" i="106"/>
  <c r="N38" i="106"/>
  <c r="L38" i="106"/>
  <c r="B38" i="106"/>
  <c r="Z37" i="106"/>
  <c r="X37" i="106"/>
  <c r="L37" i="106"/>
  <c r="N37" i="106" s="1"/>
  <c r="F37" i="106"/>
  <c r="B37" i="106"/>
  <c r="X36" i="106"/>
  <c r="Z36" i="106" s="1"/>
  <c r="L36" i="106"/>
  <c r="N36" i="106" s="1"/>
  <c r="B36" i="106"/>
  <c r="X35" i="106"/>
  <c r="Z35" i="106" s="1"/>
  <c r="N35" i="106"/>
  <c r="L35" i="106"/>
  <c r="B35" i="106"/>
  <c r="T34" i="106"/>
  <c r="P34" i="106"/>
  <c r="L34" i="106"/>
  <c r="H34" i="106"/>
  <c r="D34" i="106"/>
  <c r="B34" i="106"/>
  <c r="X33" i="106"/>
  <c r="Z33" i="106" s="1"/>
  <c r="N33" i="106"/>
  <c r="L33" i="106"/>
  <c r="B33" i="106"/>
  <c r="X32" i="106"/>
  <c r="Z32" i="106" s="1"/>
  <c r="L32" i="106"/>
  <c r="N32" i="106" s="1"/>
  <c r="B32" i="106"/>
  <c r="X31" i="106"/>
  <c r="Z31" i="106" s="1"/>
  <c r="N31" i="106"/>
  <c r="L31" i="106"/>
  <c r="B31" i="106"/>
  <c r="Z30" i="106"/>
  <c r="X30" i="106"/>
  <c r="N30" i="106"/>
  <c r="L30" i="106"/>
  <c r="B30" i="106"/>
  <c r="X29" i="106"/>
  <c r="Z29" i="106" s="1"/>
  <c r="N29" i="106"/>
  <c r="L29" i="106"/>
  <c r="F29" i="106"/>
  <c r="B29" i="106"/>
  <c r="X28" i="106"/>
  <c r="Z28" i="106" s="1"/>
  <c r="L28" i="106"/>
  <c r="N28" i="106" s="1"/>
  <c r="B28" i="106"/>
  <c r="X27" i="106"/>
  <c r="Z27" i="106" s="1"/>
  <c r="N27" i="106"/>
  <c r="L27" i="106"/>
  <c r="B27" i="106"/>
  <c r="Z26" i="106"/>
  <c r="X26" i="106"/>
  <c r="N26" i="106"/>
  <c r="L26" i="106"/>
  <c r="B26" i="106"/>
  <c r="X25" i="106"/>
  <c r="Z25" i="106" s="1"/>
  <c r="N25" i="106"/>
  <c r="L25" i="106"/>
  <c r="F25" i="106"/>
  <c r="B25" i="106"/>
  <c r="T24" i="106"/>
  <c r="P24" i="106"/>
  <c r="X24" i="106" s="1"/>
  <c r="H24" i="106"/>
  <c r="D24" i="106"/>
  <c r="B24" i="106"/>
  <c r="T23" i="106"/>
  <c r="P23" i="106"/>
  <c r="X23" i="106" s="1"/>
  <c r="Z23" i="106" s="1"/>
  <c r="H23" i="106"/>
  <c r="D23" i="106"/>
  <c r="Z19" i="106"/>
  <c r="X19" i="106"/>
  <c r="N19" i="106"/>
  <c r="L19" i="106"/>
  <c r="B19" i="106"/>
  <c r="Z18" i="106"/>
  <c r="X18" i="106"/>
  <c r="N18" i="106"/>
  <c r="L18" i="106"/>
  <c r="B18" i="106"/>
  <c r="T17" i="106"/>
  <c r="P17" i="106"/>
  <c r="X17" i="106" s="1"/>
  <c r="H17" i="106"/>
  <c r="D17" i="106"/>
  <c r="L17" i="106" s="1"/>
  <c r="N17" i="106" s="1"/>
  <c r="T15" i="106"/>
  <c r="P15" i="106"/>
  <c r="H15" i="106"/>
  <c r="D15" i="106"/>
  <c r="L15" i="106" s="1"/>
  <c r="B15" i="106"/>
  <c r="X14" i="106"/>
  <c r="T14" i="106"/>
  <c r="P14" i="106"/>
  <c r="H14" i="106"/>
  <c r="D14" i="106"/>
  <c r="B14" i="106"/>
  <c r="T13" i="106"/>
  <c r="P13" i="106"/>
  <c r="X13" i="106" s="1"/>
  <c r="Z13" i="106" s="1"/>
  <c r="L13" i="106"/>
  <c r="N13" i="106" s="1"/>
  <c r="H13" i="106"/>
  <c r="D13" i="106"/>
  <c r="B13" i="106"/>
  <c r="D12" i="106"/>
  <c r="D6" i="106"/>
  <c r="D4" i="106"/>
  <c r="V38" i="105"/>
  <c r="F38" i="105"/>
  <c r="V35" i="105"/>
  <c r="F35" i="105"/>
  <c r="Z33" i="105"/>
  <c r="X33" i="105"/>
  <c r="V33" i="105"/>
  <c r="N33" i="105"/>
  <c r="L33" i="105"/>
  <c r="V31" i="105"/>
  <c r="Z29" i="105"/>
  <c r="V29" i="105"/>
  <c r="T29" i="105"/>
  <c r="P29" i="105"/>
  <c r="X29" i="105" s="1"/>
  <c r="H29" i="105"/>
  <c r="L29" i="105" s="1"/>
  <c r="D29" i="105"/>
  <c r="X27" i="105"/>
  <c r="Z27" i="105" s="1"/>
  <c r="V27" i="105"/>
  <c r="L27" i="105"/>
  <c r="N27" i="105" s="1"/>
  <c r="J27" i="105"/>
  <c r="B27" i="105"/>
  <c r="T26" i="105"/>
  <c r="R26" i="105"/>
  <c r="P26" i="105"/>
  <c r="X26" i="105" s="1"/>
  <c r="Z26" i="105" s="1"/>
  <c r="J26" i="105"/>
  <c r="H26" i="105"/>
  <c r="D26" i="105"/>
  <c r="L26" i="105" s="1"/>
  <c r="B26" i="105"/>
  <c r="Z25" i="105"/>
  <c r="X25" i="105"/>
  <c r="V25" i="105"/>
  <c r="R25" i="105"/>
  <c r="N25" i="105"/>
  <c r="L25" i="105"/>
  <c r="F25" i="105"/>
  <c r="B25" i="105"/>
  <c r="V24" i="105"/>
  <c r="T24" i="105"/>
  <c r="Z24" i="105" s="1"/>
  <c r="P24" i="105"/>
  <c r="X24" i="105" s="1"/>
  <c r="N24" i="105"/>
  <c r="H24" i="105"/>
  <c r="F24" i="105"/>
  <c r="D24" i="105"/>
  <c r="L24" i="105" s="1"/>
  <c r="B24" i="105"/>
  <c r="X23" i="105"/>
  <c r="Z23" i="105" s="1"/>
  <c r="L23" i="105"/>
  <c r="N23" i="105" s="1"/>
  <c r="J23" i="105"/>
  <c r="B23" i="105"/>
  <c r="X22" i="105"/>
  <c r="Z22" i="105" s="1"/>
  <c r="T22" i="105"/>
  <c r="R22" i="105"/>
  <c r="P22" i="105"/>
  <c r="J22" i="105"/>
  <c r="H22" i="105"/>
  <c r="D22" i="105"/>
  <c r="B22" i="105"/>
  <c r="Z21" i="105"/>
  <c r="X21" i="105"/>
  <c r="R21" i="105"/>
  <c r="N21" i="105"/>
  <c r="L21" i="105"/>
  <c r="J21" i="105"/>
  <c r="F21" i="105"/>
  <c r="B21" i="105"/>
  <c r="Z20" i="105"/>
  <c r="X20" i="105"/>
  <c r="V20" i="105"/>
  <c r="R20" i="105"/>
  <c r="N20" i="105"/>
  <c r="L20" i="105"/>
  <c r="J20" i="105"/>
  <c r="B20" i="105"/>
  <c r="Z19" i="105"/>
  <c r="X19" i="105"/>
  <c r="V19" i="105"/>
  <c r="T19" i="105"/>
  <c r="P19" i="105"/>
  <c r="N19" i="105"/>
  <c r="H19" i="105"/>
  <c r="L19" i="105" s="1"/>
  <c r="D19" i="105"/>
  <c r="B19" i="105"/>
  <c r="T18" i="105"/>
  <c r="R18" i="105"/>
  <c r="P18" i="105"/>
  <c r="X18" i="105" s="1"/>
  <c r="Z18" i="105" s="1"/>
  <c r="J18" i="105"/>
  <c r="H18" i="105"/>
  <c r="F18" i="105"/>
  <c r="D18" i="105"/>
  <c r="L18" i="105" s="1"/>
  <c r="R16" i="105"/>
  <c r="P16" i="105"/>
  <c r="J16" i="105"/>
  <c r="F16" i="105"/>
  <c r="Z14" i="105"/>
  <c r="X14" i="105"/>
  <c r="T14" i="105"/>
  <c r="R14" i="105"/>
  <c r="P14" i="105"/>
  <c r="J14" i="105"/>
  <c r="H14" i="105"/>
  <c r="N14" i="105" s="1"/>
  <c r="F14" i="105"/>
  <c r="D14" i="105"/>
  <c r="L14" i="105" s="1"/>
  <c r="Z12" i="105"/>
  <c r="X12" i="105"/>
  <c r="T12" i="105"/>
  <c r="V22" i="105" s="1"/>
  <c r="P12" i="105"/>
  <c r="R33" i="105" s="1"/>
  <c r="N12" i="105"/>
  <c r="L12" i="105"/>
  <c r="H12" i="105"/>
  <c r="J31" i="105" s="1"/>
  <c r="D12" i="105"/>
  <c r="F27" i="105" s="1"/>
  <c r="D6" i="105"/>
  <c r="D4" i="105"/>
  <c r="X75" i="104"/>
  <c r="Z75" i="104" s="1"/>
  <c r="N75" i="104"/>
  <c r="L75" i="104"/>
  <c r="T71" i="104"/>
  <c r="Z71" i="104" s="1"/>
  <c r="P71" i="104"/>
  <c r="X71" i="104" s="1"/>
  <c r="N71" i="104"/>
  <c r="L71" i="104"/>
  <c r="H71" i="104"/>
  <c r="D71" i="104"/>
  <c r="X69" i="104"/>
  <c r="Z69" i="104" s="1"/>
  <c r="L69" i="104"/>
  <c r="N69" i="104" s="1"/>
  <c r="B69" i="104"/>
  <c r="Z68" i="104"/>
  <c r="X68" i="104"/>
  <c r="N68" i="104"/>
  <c r="L68" i="104"/>
  <c r="B68" i="104"/>
  <c r="Z67" i="104"/>
  <c r="T67" i="104"/>
  <c r="P67" i="104"/>
  <c r="X67" i="104" s="1"/>
  <c r="H67" i="104"/>
  <c r="D67" i="104"/>
  <c r="L67" i="104" s="1"/>
  <c r="B67" i="104"/>
  <c r="Z66" i="104"/>
  <c r="X66" i="104"/>
  <c r="N66" i="104"/>
  <c r="L66" i="104"/>
  <c r="B66" i="104"/>
  <c r="T65" i="104"/>
  <c r="P65" i="104"/>
  <c r="L65" i="104"/>
  <c r="N65" i="104" s="1"/>
  <c r="H65" i="104"/>
  <c r="D65" i="104"/>
  <c r="B65" i="104"/>
  <c r="X64" i="104"/>
  <c r="Z64" i="104" s="1"/>
  <c r="L64" i="104"/>
  <c r="N64" i="104" s="1"/>
  <c r="B64" i="104"/>
  <c r="T63" i="104"/>
  <c r="P63" i="104"/>
  <c r="X63" i="104" s="1"/>
  <c r="Z63" i="104" s="1"/>
  <c r="H63" i="104"/>
  <c r="N63" i="104" s="1"/>
  <c r="D63" i="104"/>
  <c r="L63" i="104" s="1"/>
  <c r="B63" i="104"/>
  <c r="Z62" i="104"/>
  <c r="X62" i="104"/>
  <c r="N62" i="104"/>
  <c r="L62" i="104"/>
  <c r="B62" i="104"/>
  <c r="X61" i="104"/>
  <c r="Z61" i="104" s="1"/>
  <c r="L61" i="104"/>
  <c r="N61" i="104" s="1"/>
  <c r="J61" i="104"/>
  <c r="B61" i="104"/>
  <c r="X60" i="104"/>
  <c r="Z60" i="104" s="1"/>
  <c r="L60" i="104"/>
  <c r="N60" i="104" s="1"/>
  <c r="B60" i="104"/>
  <c r="X59" i="104"/>
  <c r="Z59" i="104" s="1"/>
  <c r="L59" i="104"/>
  <c r="N59" i="104" s="1"/>
  <c r="B59" i="104"/>
  <c r="Z58" i="104"/>
  <c r="X58" i="104"/>
  <c r="N58" i="104"/>
  <c r="L58" i="104"/>
  <c r="B58" i="104"/>
  <c r="T57" i="104"/>
  <c r="Z57" i="104" s="1"/>
  <c r="P57" i="104"/>
  <c r="X57" i="104" s="1"/>
  <c r="L57" i="104"/>
  <c r="N57" i="104" s="1"/>
  <c r="H57" i="104"/>
  <c r="D57" i="104"/>
  <c r="B57" i="104"/>
  <c r="X56" i="104"/>
  <c r="Z56" i="104" s="1"/>
  <c r="L56" i="104"/>
  <c r="N56" i="104" s="1"/>
  <c r="B56" i="104"/>
  <c r="Z55" i="104"/>
  <c r="X55" i="104"/>
  <c r="N55" i="104"/>
  <c r="L55" i="104"/>
  <c r="B55" i="104"/>
  <c r="Z54" i="104"/>
  <c r="X54" i="104"/>
  <c r="N54" i="104"/>
  <c r="L54" i="104"/>
  <c r="B54" i="104"/>
  <c r="T53" i="104"/>
  <c r="P53" i="104"/>
  <c r="L53" i="104"/>
  <c r="N53" i="104" s="1"/>
  <c r="H53" i="104"/>
  <c r="D53" i="104"/>
  <c r="B53" i="104"/>
  <c r="X52" i="104"/>
  <c r="Z52" i="104" s="1"/>
  <c r="L52" i="104"/>
  <c r="N52" i="104" s="1"/>
  <c r="B52" i="104"/>
  <c r="Z51" i="104"/>
  <c r="T51" i="104"/>
  <c r="P51" i="104"/>
  <c r="X51" i="104" s="1"/>
  <c r="H51" i="104"/>
  <c r="D51" i="104"/>
  <c r="L51" i="104" s="1"/>
  <c r="B51" i="104"/>
  <c r="Z50" i="104"/>
  <c r="X50" i="104"/>
  <c r="N50" i="104"/>
  <c r="L50" i="104"/>
  <c r="B50" i="104"/>
  <c r="T49" i="104"/>
  <c r="Z49" i="104" s="1"/>
  <c r="P49" i="104"/>
  <c r="X49" i="104" s="1"/>
  <c r="H49" i="104"/>
  <c r="D49" i="104"/>
  <c r="L49" i="104" s="1"/>
  <c r="N49" i="104" s="1"/>
  <c r="B49" i="104"/>
  <c r="X48" i="104"/>
  <c r="Z48" i="104" s="1"/>
  <c r="L48" i="104"/>
  <c r="N48" i="104" s="1"/>
  <c r="B48" i="104"/>
  <c r="Z47" i="104"/>
  <c r="X47" i="104"/>
  <c r="T47" i="104"/>
  <c r="P47" i="104"/>
  <c r="H47" i="104"/>
  <c r="D47" i="104"/>
  <c r="B47" i="104"/>
  <c r="Z46" i="104"/>
  <c r="X46" i="104"/>
  <c r="N46" i="104"/>
  <c r="L46" i="104"/>
  <c r="B46" i="104"/>
  <c r="T45" i="104"/>
  <c r="P45" i="104"/>
  <c r="H45" i="104"/>
  <c r="D45" i="104"/>
  <c r="L45" i="104" s="1"/>
  <c r="N45" i="104" s="1"/>
  <c r="B45" i="104"/>
  <c r="X44" i="104"/>
  <c r="Z44" i="104" s="1"/>
  <c r="L44" i="104"/>
  <c r="N44" i="104" s="1"/>
  <c r="B44" i="104"/>
  <c r="T43" i="104"/>
  <c r="P43" i="104"/>
  <c r="X43" i="104" s="1"/>
  <c r="Z43" i="104" s="1"/>
  <c r="H43" i="104"/>
  <c r="N43" i="104" s="1"/>
  <c r="D43" i="104"/>
  <c r="L43" i="104" s="1"/>
  <c r="B43" i="104"/>
  <c r="Z42" i="104"/>
  <c r="X42" i="104"/>
  <c r="N42" i="104"/>
  <c r="L42" i="104"/>
  <c r="F42" i="104"/>
  <c r="B42" i="104"/>
  <c r="T41" i="104"/>
  <c r="P41" i="104"/>
  <c r="L41" i="104"/>
  <c r="N41" i="104" s="1"/>
  <c r="H41" i="104"/>
  <c r="D41" i="104"/>
  <c r="B41" i="104"/>
  <c r="X40" i="104"/>
  <c r="Z40" i="104" s="1"/>
  <c r="L40" i="104"/>
  <c r="N40" i="104" s="1"/>
  <c r="B40" i="104"/>
  <c r="Z39" i="104"/>
  <c r="X39" i="104"/>
  <c r="N39" i="104"/>
  <c r="L39" i="104"/>
  <c r="B39" i="104"/>
  <c r="Z38" i="104"/>
  <c r="X38" i="104"/>
  <c r="N38" i="104"/>
  <c r="L38" i="104"/>
  <c r="B38" i="104"/>
  <c r="Z37" i="104"/>
  <c r="X37" i="104"/>
  <c r="L37" i="104"/>
  <c r="N37" i="104" s="1"/>
  <c r="B37" i="104"/>
  <c r="X36" i="104"/>
  <c r="Z36" i="104" s="1"/>
  <c r="L36" i="104"/>
  <c r="N36" i="104" s="1"/>
  <c r="B36" i="104"/>
  <c r="Z35" i="104"/>
  <c r="X35" i="104"/>
  <c r="N35" i="104"/>
  <c r="L35" i="104"/>
  <c r="B35" i="104"/>
  <c r="T34" i="104"/>
  <c r="P34" i="104"/>
  <c r="L34" i="104"/>
  <c r="N34" i="104" s="1"/>
  <c r="H34" i="104"/>
  <c r="D34" i="104"/>
  <c r="B34" i="104"/>
  <c r="X33" i="104"/>
  <c r="Z33" i="104" s="1"/>
  <c r="L33" i="104"/>
  <c r="N33" i="104" s="1"/>
  <c r="B33" i="104"/>
  <c r="X32" i="104"/>
  <c r="Z32" i="104" s="1"/>
  <c r="V32" i="104"/>
  <c r="L32" i="104"/>
  <c r="N32" i="104" s="1"/>
  <c r="B32" i="104"/>
  <c r="Z31" i="104"/>
  <c r="X31" i="104"/>
  <c r="L31" i="104"/>
  <c r="N31" i="104" s="1"/>
  <c r="B31" i="104"/>
  <c r="X30" i="104"/>
  <c r="Z30" i="104" s="1"/>
  <c r="V30" i="104"/>
  <c r="N30" i="104"/>
  <c r="L30" i="104"/>
  <c r="B30" i="104"/>
  <c r="X29" i="104"/>
  <c r="Z29" i="104" s="1"/>
  <c r="N29" i="104"/>
  <c r="L29" i="104"/>
  <c r="B29" i="104"/>
  <c r="X28" i="104"/>
  <c r="Z28" i="104" s="1"/>
  <c r="L28" i="104"/>
  <c r="N28" i="104" s="1"/>
  <c r="B28" i="104"/>
  <c r="X27" i="104"/>
  <c r="Z27" i="104" s="1"/>
  <c r="L27" i="104"/>
  <c r="N27" i="104" s="1"/>
  <c r="B27" i="104"/>
  <c r="X26" i="104"/>
  <c r="Z26" i="104" s="1"/>
  <c r="L26" i="104"/>
  <c r="N26" i="104" s="1"/>
  <c r="B26" i="104"/>
  <c r="X25" i="104"/>
  <c r="Z25" i="104" s="1"/>
  <c r="N25" i="104"/>
  <c r="L25" i="104"/>
  <c r="B25" i="104"/>
  <c r="T24" i="104"/>
  <c r="P24" i="104"/>
  <c r="X24" i="104" s="1"/>
  <c r="Z24" i="104" s="1"/>
  <c r="H24" i="104"/>
  <c r="D24" i="104"/>
  <c r="B24" i="104"/>
  <c r="T23" i="104"/>
  <c r="P23" i="104"/>
  <c r="X23" i="104" s="1"/>
  <c r="Z23" i="104" s="1"/>
  <c r="H23" i="104"/>
  <c r="D23" i="104"/>
  <c r="H21" i="104"/>
  <c r="Z19" i="104"/>
  <c r="X19" i="104"/>
  <c r="L19" i="104"/>
  <c r="N19" i="104" s="1"/>
  <c r="F19" i="104"/>
  <c r="B19" i="104"/>
  <c r="X18" i="104"/>
  <c r="Z18" i="104" s="1"/>
  <c r="N18" i="104"/>
  <c r="L18" i="104"/>
  <c r="B18" i="104"/>
  <c r="X17" i="104"/>
  <c r="T17" i="104"/>
  <c r="P17" i="104"/>
  <c r="L17" i="104"/>
  <c r="H17" i="104"/>
  <c r="N17" i="104" s="1"/>
  <c r="D17" i="104"/>
  <c r="T15" i="104"/>
  <c r="P15" i="104"/>
  <c r="L15" i="104"/>
  <c r="H15" i="104"/>
  <c r="D15" i="104"/>
  <c r="B15" i="104"/>
  <c r="X14" i="104"/>
  <c r="Z14" i="104" s="1"/>
  <c r="T14" i="104"/>
  <c r="P14" i="104"/>
  <c r="L14" i="104"/>
  <c r="H14" i="104"/>
  <c r="D14" i="104"/>
  <c r="B14" i="104"/>
  <c r="T13" i="104"/>
  <c r="P13" i="104"/>
  <c r="X13" i="104" s="1"/>
  <c r="Z13" i="104" s="1"/>
  <c r="H13" i="104"/>
  <c r="H12" i="104" s="1"/>
  <c r="D13" i="104"/>
  <c r="D12" i="104" s="1"/>
  <c r="B13" i="104"/>
  <c r="T12" i="104"/>
  <c r="P12" i="104"/>
  <c r="D6" i="104"/>
  <c r="D4" i="104"/>
  <c r="R53" i="103"/>
  <c r="R50" i="103"/>
  <c r="Z48" i="103"/>
  <c r="X48" i="103"/>
  <c r="N48" i="103"/>
  <c r="L48" i="103"/>
  <c r="J48" i="103"/>
  <c r="F46" i="103"/>
  <c r="T44" i="103"/>
  <c r="Z44" i="103" s="1"/>
  <c r="P44" i="103"/>
  <c r="X44" i="103" s="1"/>
  <c r="H44" i="103"/>
  <c r="L44" i="103" s="1"/>
  <c r="F44" i="103"/>
  <c r="D44" i="103"/>
  <c r="Z42" i="103"/>
  <c r="X42" i="103"/>
  <c r="L42" i="103"/>
  <c r="N42" i="103" s="1"/>
  <c r="J42" i="103"/>
  <c r="B42" i="103"/>
  <c r="X41" i="103"/>
  <c r="Z41" i="103" s="1"/>
  <c r="T41" i="103"/>
  <c r="P41" i="103"/>
  <c r="H41" i="103"/>
  <c r="D41" i="103"/>
  <c r="L41" i="103" s="1"/>
  <c r="B41" i="103"/>
  <c r="Z40" i="103"/>
  <c r="X40" i="103"/>
  <c r="N40" i="103"/>
  <c r="L40" i="103"/>
  <c r="B40" i="103"/>
  <c r="T39" i="103"/>
  <c r="P39" i="103"/>
  <c r="H39" i="103"/>
  <c r="D39" i="103"/>
  <c r="L39" i="103" s="1"/>
  <c r="B39" i="103"/>
  <c r="X38" i="103"/>
  <c r="Z38" i="103" s="1"/>
  <c r="V38" i="103"/>
  <c r="N38" i="103"/>
  <c r="L38" i="103"/>
  <c r="B38" i="103"/>
  <c r="T37" i="103"/>
  <c r="R37" i="103"/>
  <c r="P37" i="103"/>
  <c r="X37" i="103" s="1"/>
  <c r="H37" i="103"/>
  <c r="D37" i="103"/>
  <c r="L37" i="103" s="1"/>
  <c r="B37" i="103"/>
  <c r="Z36" i="103"/>
  <c r="X36" i="103"/>
  <c r="R36" i="103"/>
  <c r="N36" i="103"/>
  <c r="L36" i="103"/>
  <c r="B36" i="103"/>
  <c r="X35" i="103"/>
  <c r="Z35" i="103" s="1"/>
  <c r="R35" i="103"/>
  <c r="L35" i="103"/>
  <c r="N35" i="103" s="1"/>
  <c r="J35" i="103"/>
  <c r="F35" i="103"/>
  <c r="B35" i="103"/>
  <c r="T34" i="103"/>
  <c r="P34" i="103"/>
  <c r="X34" i="103" s="1"/>
  <c r="N34" i="103"/>
  <c r="J34" i="103"/>
  <c r="H34" i="103"/>
  <c r="L34" i="103" s="1"/>
  <c r="F34" i="103"/>
  <c r="D34" i="103"/>
  <c r="B34" i="103"/>
  <c r="Z33" i="103"/>
  <c r="X33" i="103"/>
  <c r="N33" i="103"/>
  <c r="L33" i="103"/>
  <c r="F33" i="103"/>
  <c r="B33" i="103"/>
  <c r="Z32" i="103"/>
  <c r="T32" i="103"/>
  <c r="R32" i="103"/>
  <c r="P32" i="103"/>
  <c r="X32" i="103" s="1"/>
  <c r="J32" i="103"/>
  <c r="H32" i="103"/>
  <c r="N32" i="103" s="1"/>
  <c r="F32" i="103"/>
  <c r="D32" i="103"/>
  <c r="L32" i="103" s="1"/>
  <c r="B32" i="103"/>
  <c r="X31" i="103"/>
  <c r="Z31" i="103" s="1"/>
  <c r="R31" i="103"/>
  <c r="L31" i="103"/>
  <c r="N31" i="103" s="1"/>
  <c r="F31" i="103"/>
  <c r="B31" i="103"/>
  <c r="X30" i="103"/>
  <c r="Z30" i="103" s="1"/>
  <c r="T30" i="103"/>
  <c r="P30" i="103"/>
  <c r="H30" i="103"/>
  <c r="F30" i="103"/>
  <c r="D30" i="103"/>
  <c r="L30" i="103" s="1"/>
  <c r="N30" i="103" s="1"/>
  <c r="B30" i="103"/>
  <c r="Z29" i="103"/>
  <c r="X29" i="103"/>
  <c r="L29" i="103"/>
  <c r="N29" i="103" s="1"/>
  <c r="B29" i="103"/>
  <c r="T28" i="103"/>
  <c r="X28" i="103" s="1"/>
  <c r="R28" i="103"/>
  <c r="P28" i="103"/>
  <c r="H28" i="103"/>
  <c r="D28" i="103"/>
  <c r="L28" i="103" s="1"/>
  <c r="N28" i="103" s="1"/>
  <c r="B28" i="103"/>
  <c r="X27" i="103"/>
  <c r="Z27" i="103" s="1"/>
  <c r="R27" i="103"/>
  <c r="L27" i="103"/>
  <c r="N27" i="103" s="1"/>
  <c r="F27" i="103"/>
  <c r="B27" i="103"/>
  <c r="X26" i="103"/>
  <c r="Z26" i="103" s="1"/>
  <c r="L26" i="103"/>
  <c r="N26" i="103" s="1"/>
  <c r="J26" i="103"/>
  <c r="B26" i="103"/>
  <c r="X25" i="103"/>
  <c r="Z25" i="103" s="1"/>
  <c r="L25" i="103"/>
  <c r="N25" i="103" s="1"/>
  <c r="F25" i="103"/>
  <c r="B25" i="103"/>
  <c r="Z24" i="103"/>
  <c r="X24" i="103"/>
  <c r="N24" i="103"/>
  <c r="L24" i="103"/>
  <c r="F24" i="103"/>
  <c r="B24" i="103"/>
  <c r="X23" i="103"/>
  <c r="Z23" i="103" s="1"/>
  <c r="R23" i="103"/>
  <c r="L23" i="103"/>
  <c r="N23" i="103" s="1"/>
  <c r="F23" i="103"/>
  <c r="B23" i="103"/>
  <c r="X22" i="103"/>
  <c r="Z22" i="103" s="1"/>
  <c r="L22" i="103"/>
  <c r="N22" i="103" s="1"/>
  <c r="J22" i="103"/>
  <c r="B22" i="103"/>
  <c r="X21" i="103"/>
  <c r="Z21" i="103" s="1"/>
  <c r="L21" i="103"/>
  <c r="N21" i="103" s="1"/>
  <c r="F21" i="103"/>
  <c r="B21" i="103"/>
  <c r="Z20" i="103"/>
  <c r="X20" i="103"/>
  <c r="N20" i="103"/>
  <c r="L20" i="103"/>
  <c r="F20" i="103"/>
  <c r="B20" i="103"/>
  <c r="T19" i="103"/>
  <c r="P19" i="103"/>
  <c r="H19" i="103"/>
  <c r="N19" i="103" s="1"/>
  <c r="F19" i="103"/>
  <c r="D19" i="103"/>
  <c r="L19" i="103" s="1"/>
  <c r="B19" i="103"/>
  <c r="X18" i="103"/>
  <c r="Z18" i="103" s="1"/>
  <c r="T18" i="103"/>
  <c r="P18" i="103"/>
  <c r="H18" i="103"/>
  <c r="F18" i="103"/>
  <c r="D18" i="103"/>
  <c r="L18" i="103" s="1"/>
  <c r="N18" i="103" s="1"/>
  <c r="V16" i="103"/>
  <c r="F16" i="103"/>
  <c r="Z14" i="103"/>
  <c r="X14" i="103"/>
  <c r="T14" i="103"/>
  <c r="P14" i="103"/>
  <c r="P16" i="103" s="1"/>
  <c r="N14" i="103"/>
  <c r="H14" i="103"/>
  <c r="F14" i="103"/>
  <c r="D14" i="103"/>
  <c r="L14" i="103" s="1"/>
  <c r="T12" i="103"/>
  <c r="P12" i="103"/>
  <c r="R39" i="103" s="1"/>
  <c r="H12" i="103"/>
  <c r="J53" i="103" s="1"/>
  <c r="D12" i="103"/>
  <c r="F48" i="103" s="1"/>
  <c r="D6" i="103"/>
  <c r="D4" i="103"/>
  <c r="Z71" i="102"/>
  <c r="X71" i="102"/>
  <c r="N71" i="102"/>
  <c r="L71" i="102"/>
  <c r="Z67" i="102"/>
  <c r="T67" i="102"/>
  <c r="P67" i="102"/>
  <c r="X67" i="102" s="1"/>
  <c r="N67" i="102"/>
  <c r="L67" i="102"/>
  <c r="H67" i="102"/>
  <c r="H66" i="102" s="1"/>
  <c r="N66" i="102" s="1"/>
  <c r="D67" i="102"/>
  <c r="B67" i="102"/>
  <c r="T66" i="102"/>
  <c r="Z66" i="102" s="1"/>
  <c r="P66" i="102"/>
  <c r="D66" i="102"/>
  <c r="X64" i="102"/>
  <c r="Z64" i="102" s="1"/>
  <c r="L64" i="102"/>
  <c r="N64" i="102" s="1"/>
  <c r="B64" i="102"/>
  <c r="T63" i="102"/>
  <c r="P63" i="102"/>
  <c r="X63" i="102" s="1"/>
  <c r="H63" i="102"/>
  <c r="L63" i="102" s="1"/>
  <c r="D63" i="102"/>
  <c r="B63" i="102"/>
  <c r="X62" i="102"/>
  <c r="Z62" i="102" s="1"/>
  <c r="L62" i="102"/>
  <c r="N62" i="102" s="1"/>
  <c r="B62" i="102"/>
  <c r="T61" i="102"/>
  <c r="X61" i="102" s="1"/>
  <c r="Z61" i="102" s="1"/>
  <c r="P61" i="102"/>
  <c r="H61" i="102"/>
  <c r="D61" i="102"/>
  <c r="L61" i="102" s="1"/>
  <c r="B61" i="102"/>
  <c r="Z60" i="102"/>
  <c r="X60" i="102"/>
  <c r="L60" i="102"/>
  <c r="N60" i="102" s="1"/>
  <c r="B60" i="102"/>
  <c r="Z59" i="102"/>
  <c r="X59" i="102"/>
  <c r="T59" i="102"/>
  <c r="P59" i="102"/>
  <c r="H59" i="102"/>
  <c r="D59" i="102"/>
  <c r="L59" i="102" s="1"/>
  <c r="N59" i="102" s="1"/>
  <c r="B59" i="102"/>
  <c r="X58" i="102"/>
  <c r="Z58" i="102" s="1"/>
  <c r="L58" i="102"/>
  <c r="N58" i="102" s="1"/>
  <c r="B58" i="102"/>
  <c r="Z57" i="102"/>
  <c r="X57" i="102"/>
  <c r="N57" i="102"/>
  <c r="L57" i="102"/>
  <c r="B57" i="102"/>
  <c r="Z56" i="102"/>
  <c r="X56" i="102"/>
  <c r="N56" i="102"/>
  <c r="L56" i="102"/>
  <c r="B56" i="102"/>
  <c r="T55" i="102"/>
  <c r="P55" i="102"/>
  <c r="X55" i="102" s="1"/>
  <c r="N55" i="102"/>
  <c r="H55" i="102"/>
  <c r="L55" i="102" s="1"/>
  <c r="D55" i="102"/>
  <c r="B55" i="102"/>
  <c r="X54" i="102"/>
  <c r="Z54" i="102" s="1"/>
  <c r="L54" i="102"/>
  <c r="N54" i="102" s="1"/>
  <c r="B54" i="102"/>
  <c r="Z53" i="102"/>
  <c r="X53" i="102"/>
  <c r="N53" i="102"/>
  <c r="L53" i="102"/>
  <c r="B53" i="102"/>
  <c r="T52" i="102"/>
  <c r="P52" i="102"/>
  <c r="H52" i="102"/>
  <c r="D52" i="102"/>
  <c r="L52" i="102" s="1"/>
  <c r="N52" i="102" s="1"/>
  <c r="B52" i="102"/>
  <c r="X51" i="102"/>
  <c r="Z51" i="102" s="1"/>
  <c r="L51" i="102"/>
  <c r="N51" i="102" s="1"/>
  <c r="B51" i="102"/>
  <c r="T50" i="102"/>
  <c r="P50" i="102"/>
  <c r="H50" i="102"/>
  <c r="D50" i="102"/>
  <c r="B50" i="102"/>
  <c r="Z49" i="102"/>
  <c r="X49" i="102"/>
  <c r="N49" i="102"/>
  <c r="L49" i="102"/>
  <c r="B49" i="102"/>
  <c r="T48" i="102"/>
  <c r="P48" i="102"/>
  <c r="H48" i="102"/>
  <c r="D48" i="102"/>
  <c r="L48" i="102" s="1"/>
  <c r="N48" i="102" s="1"/>
  <c r="B48" i="102"/>
  <c r="X47" i="102"/>
  <c r="Z47" i="102" s="1"/>
  <c r="N47" i="102"/>
  <c r="L47" i="102"/>
  <c r="B47" i="102"/>
  <c r="X46" i="102"/>
  <c r="Z46" i="102" s="1"/>
  <c r="T46" i="102"/>
  <c r="P46" i="102"/>
  <c r="H46" i="102"/>
  <c r="D46" i="102"/>
  <c r="B46" i="102"/>
  <c r="Z45" i="102"/>
  <c r="X45" i="102"/>
  <c r="N45" i="102"/>
  <c r="L45" i="102"/>
  <c r="B45" i="102"/>
  <c r="T44" i="102"/>
  <c r="P44" i="102"/>
  <c r="H44" i="102"/>
  <c r="N44" i="102" s="1"/>
  <c r="D44" i="102"/>
  <c r="L44" i="102" s="1"/>
  <c r="B44" i="102"/>
  <c r="X43" i="102"/>
  <c r="Z43" i="102" s="1"/>
  <c r="L43" i="102"/>
  <c r="N43" i="102" s="1"/>
  <c r="B43" i="102"/>
  <c r="T42" i="102"/>
  <c r="P42" i="102"/>
  <c r="X42" i="102" s="1"/>
  <c r="Z42" i="102" s="1"/>
  <c r="H42" i="102"/>
  <c r="D42" i="102"/>
  <c r="B42" i="102"/>
  <c r="Z41" i="102"/>
  <c r="X41" i="102"/>
  <c r="N41" i="102"/>
  <c r="L41" i="102"/>
  <c r="B41" i="102"/>
  <c r="T40" i="102"/>
  <c r="P40" i="102"/>
  <c r="L40" i="102"/>
  <c r="N40" i="102" s="1"/>
  <c r="H40" i="102"/>
  <c r="D40" i="102"/>
  <c r="B40" i="102"/>
  <c r="X39" i="102"/>
  <c r="Z39" i="102" s="1"/>
  <c r="L39" i="102"/>
  <c r="N39" i="102" s="1"/>
  <c r="B39" i="102"/>
  <c r="Z38" i="102"/>
  <c r="X38" i="102"/>
  <c r="T38" i="102"/>
  <c r="P38" i="102"/>
  <c r="H38" i="102"/>
  <c r="D38" i="102"/>
  <c r="L38" i="102" s="1"/>
  <c r="B38" i="102"/>
  <c r="Z37" i="102"/>
  <c r="X37" i="102"/>
  <c r="N37" i="102"/>
  <c r="L37" i="102"/>
  <c r="B37" i="102"/>
  <c r="X36" i="102"/>
  <c r="Z36" i="102" s="1"/>
  <c r="L36" i="102"/>
  <c r="N36" i="102" s="1"/>
  <c r="B36" i="102"/>
  <c r="Z35" i="102"/>
  <c r="X35" i="102"/>
  <c r="N35" i="102"/>
  <c r="L35" i="102"/>
  <c r="B35" i="102"/>
  <c r="X34" i="102"/>
  <c r="Z34" i="102" s="1"/>
  <c r="L34" i="102"/>
  <c r="N34" i="102" s="1"/>
  <c r="B34" i="102"/>
  <c r="Z33" i="102"/>
  <c r="X33" i="102"/>
  <c r="N33" i="102"/>
  <c r="L33" i="102"/>
  <c r="B33" i="102"/>
  <c r="T32" i="102"/>
  <c r="P32" i="102"/>
  <c r="X32" i="102" s="1"/>
  <c r="N32" i="102"/>
  <c r="H32" i="102"/>
  <c r="D32" i="102"/>
  <c r="L32" i="102" s="1"/>
  <c r="B32" i="102"/>
  <c r="X31" i="102"/>
  <c r="Z31" i="102" s="1"/>
  <c r="N31" i="102"/>
  <c r="L31" i="102"/>
  <c r="B31" i="102"/>
  <c r="X30" i="102"/>
  <c r="Z30" i="102" s="1"/>
  <c r="N30" i="102"/>
  <c r="L30" i="102"/>
  <c r="B30" i="102"/>
  <c r="Z29" i="102"/>
  <c r="X29" i="102"/>
  <c r="N29" i="102"/>
  <c r="L29" i="102"/>
  <c r="B29" i="102"/>
  <c r="X28" i="102"/>
  <c r="Z28" i="102" s="1"/>
  <c r="N28" i="102"/>
  <c r="L28" i="102"/>
  <c r="B28" i="102"/>
  <c r="X27" i="102"/>
  <c r="Z27" i="102" s="1"/>
  <c r="V27" i="102"/>
  <c r="N27" i="102"/>
  <c r="L27" i="102"/>
  <c r="B27" i="102"/>
  <c r="X26" i="102"/>
  <c r="Z26" i="102" s="1"/>
  <c r="N26" i="102"/>
  <c r="L26" i="102"/>
  <c r="B26" i="102"/>
  <c r="Z25" i="102"/>
  <c r="X25" i="102"/>
  <c r="N25" i="102"/>
  <c r="L25" i="102"/>
  <c r="B25" i="102"/>
  <c r="X24" i="102"/>
  <c r="Z24" i="102" s="1"/>
  <c r="L24" i="102"/>
  <c r="N24" i="102" s="1"/>
  <c r="B24" i="102"/>
  <c r="X23" i="102"/>
  <c r="T23" i="102"/>
  <c r="Z23" i="102" s="1"/>
  <c r="P23" i="102"/>
  <c r="N23" i="102"/>
  <c r="H23" i="102"/>
  <c r="D23" i="102"/>
  <c r="L23" i="102" s="1"/>
  <c r="B23" i="102"/>
  <c r="T22" i="102"/>
  <c r="P22" i="102"/>
  <c r="H22" i="102"/>
  <c r="D22" i="102"/>
  <c r="L22" i="102" s="1"/>
  <c r="X18" i="102"/>
  <c r="Z18" i="102" s="1"/>
  <c r="V18" i="102"/>
  <c r="L18" i="102"/>
  <c r="N18" i="102" s="1"/>
  <c r="B18" i="102"/>
  <c r="Z17" i="102"/>
  <c r="X17" i="102"/>
  <c r="L17" i="102"/>
  <c r="N17" i="102" s="1"/>
  <c r="B17" i="102"/>
  <c r="Z16" i="102"/>
  <c r="X16" i="102"/>
  <c r="V16" i="102"/>
  <c r="T16" i="102"/>
  <c r="P16" i="102"/>
  <c r="H16" i="102"/>
  <c r="N16" i="102" s="1"/>
  <c r="D16" i="102"/>
  <c r="L16" i="102" s="1"/>
  <c r="X14" i="102"/>
  <c r="T14" i="102"/>
  <c r="P14" i="102"/>
  <c r="H14" i="102"/>
  <c r="N14" i="102" s="1"/>
  <c r="D14" i="102"/>
  <c r="L14" i="102" s="1"/>
  <c r="B14" i="102"/>
  <c r="T13" i="102"/>
  <c r="P13" i="102"/>
  <c r="L13" i="102"/>
  <c r="N13" i="102" s="1"/>
  <c r="H13" i="102"/>
  <c r="D13" i="102"/>
  <c r="B13" i="102"/>
  <c r="T12" i="102"/>
  <c r="V52" i="102" s="1"/>
  <c r="H12" i="102"/>
  <c r="D12" i="102"/>
  <c r="F23" i="102" s="1"/>
  <c r="D6" i="102"/>
  <c r="D4" i="102"/>
  <c r="Z50" i="101"/>
  <c r="X50" i="101"/>
  <c r="N50" i="101"/>
  <c r="L50" i="101"/>
  <c r="Z46" i="101"/>
  <c r="X46" i="101"/>
  <c r="T46" i="101"/>
  <c r="T45" i="101" s="1"/>
  <c r="Z45" i="101" s="1"/>
  <c r="P46" i="101"/>
  <c r="P45" i="101" s="1"/>
  <c r="X45" i="101" s="1"/>
  <c r="H46" i="101"/>
  <c r="N46" i="101" s="1"/>
  <c r="D46" i="101"/>
  <c r="L46" i="101" s="1"/>
  <c r="B46" i="101"/>
  <c r="N45" i="101"/>
  <c r="H45" i="101"/>
  <c r="D45" i="101"/>
  <c r="L45" i="101" s="1"/>
  <c r="Z43" i="101"/>
  <c r="X43" i="101"/>
  <c r="N43" i="101"/>
  <c r="L43" i="101"/>
  <c r="B43" i="101"/>
  <c r="T42" i="101"/>
  <c r="P42" i="101"/>
  <c r="H42" i="101"/>
  <c r="D42" i="101"/>
  <c r="L42" i="101" s="1"/>
  <c r="B42" i="101"/>
  <c r="X41" i="101"/>
  <c r="Z41" i="101" s="1"/>
  <c r="N41" i="101"/>
  <c r="L41" i="101"/>
  <c r="B41" i="101"/>
  <c r="T40" i="101"/>
  <c r="P40" i="101"/>
  <c r="X40" i="101" s="1"/>
  <c r="Z40" i="101" s="1"/>
  <c r="N40" i="101"/>
  <c r="H40" i="101"/>
  <c r="D40" i="101"/>
  <c r="L40" i="101" s="1"/>
  <c r="B40" i="101"/>
  <c r="Z39" i="101"/>
  <c r="X39" i="101"/>
  <c r="N39" i="101"/>
  <c r="L39" i="101"/>
  <c r="B39" i="101"/>
  <c r="T38" i="101"/>
  <c r="Z38" i="101" s="1"/>
  <c r="P38" i="101"/>
  <c r="X38" i="101" s="1"/>
  <c r="N38" i="101"/>
  <c r="L38" i="101"/>
  <c r="H38" i="101"/>
  <c r="D38" i="101"/>
  <c r="B38" i="101"/>
  <c r="Z37" i="101"/>
  <c r="X37" i="101"/>
  <c r="N37" i="101"/>
  <c r="L37" i="101"/>
  <c r="B37" i="101"/>
  <c r="T36" i="101"/>
  <c r="Z36" i="101" s="1"/>
  <c r="P36" i="101"/>
  <c r="X36" i="101" s="1"/>
  <c r="H36" i="101"/>
  <c r="D36" i="101"/>
  <c r="B36" i="101"/>
  <c r="Z35" i="101"/>
  <c r="X35" i="101"/>
  <c r="L35" i="101"/>
  <c r="N35" i="101" s="1"/>
  <c r="B35" i="101"/>
  <c r="Z34" i="101"/>
  <c r="T34" i="101"/>
  <c r="P34" i="101"/>
  <c r="X34" i="101" s="1"/>
  <c r="H34" i="101"/>
  <c r="D34" i="101"/>
  <c r="L34" i="101" s="1"/>
  <c r="N34" i="101" s="1"/>
  <c r="B34" i="101"/>
  <c r="Z33" i="101"/>
  <c r="X33" i="101"/>
  <c r="N33" i="101"/>
  <c r="L33" i="101"/>
  <c r="B33" i="101"/>
  <c r="Z32" i="101"/>
  <c r="X32" i="101"/>
  <c r="T32" i="101"/>
  <c r="P32" i="101"/>
  <c r="H32" i="101"/>
  <c r="N32" i="101" s="1"/>
  <c r="D32" i="101"/>
  <c r="L32" i="101" s="1"/>
  <c r="B32" i="101"/>
  <c r="Z31" i="101"/>
  <c r="X31" i="101"/>
  <c r="N31" i="101"/>
  <c r="L31" i="101"/>
  <c r="B31" i="101"/>
  <c r="T30" i="101"/>
  <c r="P30" i="101"/>
  <c r="H30" i="101"/>
  <c r="N30" i="101" s="1"/>
  <c r="D30" i="101"/>
  <c r="L30" i="101" s="1"/>
  <c r="B30" i="101"/>
  <c r="X29" i="101"/>
  <c r="Z29" i="101" s="1"/>
  <c r="N29" i="101"/>
  <c r="L29" i="101"/>
  <c r="B29" i="101"/>
  <c r="T28" i="101"/>
  <c r="P28" i="101"/>
  <c r="X28" i="101" s="1"/>
  <c r="Z28" i="101" s="1"/>
  <c r="H28" i="101"/>
  <c r="D28" i="101"/>
  <c r="L28" i="101" s="1"/>
  <c r="N28" i="101" s="1"/>
  <c r="B28" i="101"/>
  <c r="X27" i="101"/>
  <c r="Z27" i="101" s="1"/>
  <c r="N27" i="101"/>
  <c r="L27" i="101"/>
  <c r="B27" i="101"/>
  <c r="T26" i="101"/>
  <c r="Z26" i="101" s="1"/>
  <c r="P26" i="101"/>
  <c r="X26" i="101" s="1"/>
  <c r="N26" i="101"/>
  <c r="L26" i="101"/>
  <c r="H26" i="101"/>
  <c r="D26" i="101"/>
  <c r="B26" i="101"/>
  <c r="X25" i="101"/>
  <c r="Z25" i="101" s="1"/>
  <c r="L25" i="101"/>
  <c r="N25" i="101" s="1"/>
  <c r="B25" i="101"/>
  <c r="X24" i="101"/>
  <c r="Z24" i="101" s="1"/>
  <c r="N24" i="101"/>
  <c r="L24" i="101"/>
  <c r="B24" i="101"/>
  <c r="Z23" i="101"/>
  <c r="X23" i="101"/>
  <c r="N23" i="101"/>
  <c r="L23" i="101"/>
  <c r="B23" i="101"/>
  <c r="T22" i="101"/>
  <c r="P22" i="101"/>
  <c r="H22" i="101"/>
  <c r="D22" i="101"/>
  <c r="L22" i="101" s="1"/>
  <c r="B22" i="101"/>
  <c r="T21" i="101"/>
  <c r="P21" i="101"/>
  <c r="H21" i="101"/>
  <c r="D21" i="101"/>
  <c r="X17" i="101"/>
  <c r="Z17" i="101" s="1"/>
  <c r="N17" i="101"/>
  <c r="L17" i="101"/>
  <c r="B17" i="101"/>
  <c r="Z16" i="101"/>
  <c r="X16" i="101"/>
  <c r="L16" i="101"/>
  <c r="N16" i="101" s="1"/>
  <c r="B16" i="101"/>
  <c r="T15" i="101"/>
  <c r="P15" i="101"/>
  <c r="X15" i="101" s="1"/>
  <c r="L15" i="101"/>
  <c r="H15" i="101"/>
  <c r="N15" i="101" s="1"/>
  <c r="D15" i="101"/>
  <c r="T13" i="101"/>
  <c r="P13" i="101"/>
  <c r="H13" i="101"/>
  <c r="D13" i="101"/>
  <c r="B13" i="101"/>
  <c r="D6" i="101"/>
  <c r="D4" i="101"/>
  <c r="J49" i="100"/>
  <c r="J46" i="100"/>
  <c r="Z44" i="100"/>
  <c r="X44" i="100"/>
  <c r="N44" i="100"/>
  <c r="L44" i="100"/>
  <c r="R42" i="100"/>
  <c r="T40" i="100"/>
  <c r="T39" i="100" s="1"/>
  <c r="R40" i="100"/>
  <c r="P40" i="100"/>
  <c r="X40" i="100" s="1"/>
  <c r="N40" i="100"/>
  <c r="H40" i="100"/>
  <c r="H39" i="100" s="1"/>
  <c r="D40" i="100"/>
  <c r="L40" i="100" s="1"/>
  <c r="B40" i="100"/>
  <c r="R39" i="100"/>
  <c r="P39" i="100"/>
  <c r="X39" i="100" s="1"/>
  <c r="D39" i="100"/>
  <c r="L39" i="100" s="1"/>
  <c r="X37" i="100"/>
  <c r="Z37" i="100" s="1"/>
  <c r="V37" i="100"/>
  <c r="R37" i="100"/>
  <c r="L37" i="100"/>
  <c r="N37" i="100" s="1"/>
  <c r="B37" i="100"/>
  <c r="T36" i="100"/>
  <c r="P36" i="100"/>
  <c r="X36" i="100" s="1"/>
  <c r="L36" i="100"/>
  <c r="N36" i="100" s="1"/>
  <c r="J36" i="100"/>
  <c r="H36" i="100"/>
  <c r="D36" i="100"/>
  <c r="B36" i="100"/>
  <c r="Z35" i="100"/>
  <c r="X35" i="100"/>
  <c r="N35" i="100"/>
  <c r="L35" i="100"/>
  <c r="J35" i="100"/>
  <c r="F35" i="100"/>
  <c r="B35" i="100"/>
  <c r="T34" i="100"/>
  <c r="R34" i="100"/>
  <c r="P34" i="100"/>
  <c r="L34" i="100"/>
  <c r="J34" i="100"/>
  <c r="H34" i="100"/>
  <c r="N34" i="100" s="1"/>
  <c r="D34" i="100"/>
  <c r="B34" i="100"/>
  <c r="Z33" i="100"/>
  <c r="X33" i="100"/>
  <c r="R33" i="100"/>
  <c r="L33" i="100"/>
  <c r="N33" i="100" s="1"/>
  <c r="J33" i="100"/>
  <c r="F33" i="100"/>
  <c r="B33" i="100"/>
  <c r="T32" i="100"/>
  <c r="P32" i="100"/>
  <c r="X32" i="100" s="1"/>
  <c r="Z32" i="100" s="1"/>
  <c r="J32" i="100"/>
  <c r="H32" i="100"/>
  <c r="D32" i="100"/>
  <c r="B32" i="100"/>
  <c r="Z31" i="100"/>
  <c r="X31" i="100"/>
  <c r="L31" i="100"/>
  <c r="N31" i="100" s="1"/>
  <c r="B31" i="100"/>
  <c r="Z30" i="100"/>
  <c r="X30" i="100"/>
  <c r="V30" i="100"/>
  <c r="T30" i="100"/>
  <c r="P30" i="100"/>
  <c r="J30" i="100"/>
  <c r="H30" i="100"/>
  <c r="N30" i="100" s="1"/>
  <c r="D30" i="100"/>
  <c r="L30" i="100" s="1"/>
  <c r="B30" i="100"/>
  <c r="X29" i="100"/>
  <c r="Z29" i="100" s="1"/>
  <c r="N29" i="100"/>
  <c r="L29" i="100"/>
  <c r="J29" i="100"/>
  <c r="F29" i="100"/>
  <c r="B29" i="100"/>
  <c r="T28" i="100"/>
  <c r="R28" i="100"/>
  <c r="P28" i="100"/>
  <c r="H28" i="100"/>
  <c r="D28" i="100"/>
  <c r="L28" i="100" s="1"/>
  <c r="B28" i="100"/>
  <c r="X27" i="100"/>
  <c r="Z27" i="100" s="1"/>
  <c r="R27" i="100"/>
  <c r="N27" i="100"/>
  <c r="L27" i="100"/>
  <c r="B27" i="100"/>
  <c r="Z26" i="100"/>
  <c r="X26" i="100"/>
  <c r="R26" i="100"/>
  <c r="L26" i="100"/>
  <c r="N26" i="100" s="1"/>
  <c r="J26" i="100"/>
  <c r="B26" i="100"/>
  <c r="Z25" i="100"/>
  <c r="X25" i="100"/>
  <c r="V25" i="100"/>
  <c r="R25" i="100"/>
  <c r="L25" i="100"/>
  <c r="N25" i="100" s="1"/>
  <c r="J25" i="100"/>
  <c r="B25" i="100"/>
  <c r="Z24" i="100"/>
  <c r="X24" i="100"/>
  <c r="L24" i="100"/>
  <c r="N24" i="100" s="1"/>
  <c r="J24" i="100"/>
  <c r="B24" i="100"/>
  <c r="X23" i="100"/>
  <c r="Z23" i="100" s="1"/>
  <c r="V23" i="100"/>
  <c r="R23" i="100"/>
  <c r="N23" i="100"/>
  <c r="L23" i="100"/>
  <c r="B23" i="100"/>
  <c r="Z22" i="100"/>
  <c r="X22" i="100"/>
  <c r="V22" i="100"/>
  <c r="R22" i="100"/>
  <c r="N22" i="100"/>
  <c r="L22" i="100"/>
  <c r="J22" i="100"/>
  <c r="B22" i="100"/>
  <c r="Z21" i="100"/>
  <c r="X21" i="100"/>
  <c r="R21" i="100"/>
  <c r="L21" i="100"/>
  <c r="N21" i="100" s="1"/>
  <c r="J21" i="100"/>
  <c r="F21" i="100"/>
  <c r="B21" i="100"/>
  <c r="Z20" i="100"/>
  <c r="X20" i="100"/>
  <c r="L20" i="100"/>
  <c r="N20" i="100" s="1"/>
  <c r="J20" i="100"/>
  <c r="B20" i="100"/>
  <c r="X19" i="100"/>
  <c r="Z19" i="100" s="1"/>
  <c r="T19" i="100"/>
  <c r="P19" i="100"/>
  <c r="J19" i="100"/>
  <c r="H19" i="100"/>
  <c r="D19" i="100"/>
  <c r="L19" i="100" s="1"/>
  <c r="B19" i="100"/>
  <c r="Z18" i="100"/>
  <c r="X18" i="100"/>
  <c r="T18" i="100"/>
  <c r="P18" i="100"/>
  <c r="L18" i="100"/>
  <c r="J18" i="100"/>
  <c r="H18" i="100"/>
  <c r="N18" i="100" s="1"/>
  <c r="F18" i="100"/>
  <c r="D18" i="100"/>
  <c r="V16" i="100"/>
  <c r="J16" i="100"/>
  <c r="Z14" i="100"/>
  <c r="X14" i="100"/>
  <c r="V14" i="100"/>
  <c r="T14" i="100"/>
  <c r="P14" i="100"/>
  <c r="L14" i="100"/>
  <c r="J14" i="100"/>
  <c r="H14" i="100"/>
  <c r="N14" i="100" s="1"/>
  <c r="F14" i="100"/>
  <c r="D14" i="100"/>
  <c r="T12" i="100"/>
  <c r="V36" i="100" s="1"/>
  <c r="P12" i="100"/>
  <c r="R44" i="100" s="1"/>
  <c r="N12" i="100"/>
  <c r="H12" i="100"/>
  <c r="J37" i="100" s="1"/>
  <c r="D12" i="100"/>
  <c r="D6" i="100"/>
  <c r="D4" i="100"/>
  <c r="V26" i="99"/>
  <c r="Z24" i="99"/>
  <c r="X24" i="99"/>
  <c r="N24" i="99"/>
  <c r="L24" i="99"/>
  <c r="J22" i="99"/>
  <c r="X20" i="99"/>
  <c r="V20" i="99"/>
  <c r="T20" i="99"/>
  <c r="Z20" i="99" s="1"/>
  <c r="P20" i="99"/>
  <c r="N20" i="99"/>
  <c r="L20" i="99"/>
  <c r="H20" i="99"/>
  <c r="D20" i="99"/>
  <c r="T18" i="99"/>
  <c r="T22" i="99" s="1"/>
  <c r="P18" i="99"/>
  <c r="J18" i="99"/>
  <c r="H18" i="99"/>
  <c r="D18" i="99"/>
  <c r="T16" i="99"/>
  <c r="Z16" i="99" s="1"/>
  <c r="J16" i="99"/>
  <c r="X14" i="99"/>
  <c r="V14" i="99"/>
  <c r="T14" i="99"/>
  <c r="Z14" i="99" s="1"/>
  <c r="P14" i="99"/>
  <c r="J14" i="99"/>
  <c r="H14" i="99"/>
  <c r="D14" i="99"/>
  <c r="T12" i="99"/>
  <c r="Z12" i="99" s="1"/>
  <c r="P12" i="99"/>
  <c r="N12" i="99"/>
  <c r="H12" i="99"/>
  <c r="D12" i="99"/>
  <c r="F29" i="99" s="1"/>
  <c r="D6" i="99"/>
  <c r="D4" i="99"/>
  <c r="X71" i="98"/>
  <c r="Z71" i="98" s="1"/>
  <c r="L71" i="98"/>
  <c r="N71" i="98" s="1"/>
  <c r="X67" i="98"/>
  <c r="T67" i="98"/>
  <c r="Z67" i="98" s="1"/>
  <c r="P67" i="98"/>
  <c r="L67" i="98"/>
  <c r="H67" i="98"/>
  <c r="N67" i="98" s="1"/>
  <c r="D67" i="98"/>
  <c r="Z65" i="98"/>
  <c r="X65" i="98"/>
  <c r="N65" i="98"/>
  <c r="L65" i="98"/>
  <c r="B65" i="98"/>
  <c r="T64" i="98"/>
  <c r="Z64" i="98" s="1"/>
  <c r="P64" i="98"/>
  <c r="X64" i="98" s="1"/>
  <c r="N64" i="98"/>
  <c r="H64" i="98"/>
  <c r="D64" i="98"/>
  <c r="L64" i="98" s="1"/>
  <c r="B64" i="98"/>
  <c r="X63" i="98"/>
  <c r="Z63" i="98" s="1"/>
  <c r="L63" i="98"/>
  <c r="N63" i="98" s="1"/>
  <c r="B63" i="98"/>
  <c r="X62" i="98"/>
  <c r="Z62" i="98" s="1"/>
  <c r="T62" i="98"/>
  <c r="P62" i="98"/>
  <c r="L62" i="98"/>
  <c r="H62" i="98"/>
  <c r="N62" i="98" s="1"/>
  <c r="D62" i="98"/>
  <c r="B62" i="98"/>
  <c r="Z61" i="98"/>
  <c r="X61" i="98"/>
  <c r="N61" i="98"/>
  <c r="L61" i="98"/>
  <c r="F61" i="98"/>
  <c r="B61" i="98"/>
  <c r="Z60" i="98"/>
  <c r="X60" i="98"/>
  <c r="L60" i="98"/>
  <c r="N60" i="98" s="1"/>
  <c r="B60" i="98"/>
  <c r="Z59" i="98"/>
  <c r="X59" i="98"/>
  <c r="L59" i="98"/>
  <c r="N59" i="98" s="1"/>
  <c r="B59" i="98"/>
  <c r="X58" i="98"/>
  <c r="Z58" i="98" s="1"/>
  <c r="N58" i="98"/>
  <c r="L58" i="98"/>
  <c r="B58" i="98"/>
  <c r="T57" i="98"/>
  <c r="P57" i="98"/>
  <c r="X57" i="98" s="1"/>
  <c r="Z57" i="98" s="1"/>
  <c r="H57" i="98"/>
  <c r="D57" i="98"/>
  <c r="L57" i="98" s="1"/>
  <c r="N57" i="98" s="1"/>
  <c r="B57" i="98"/>
  <c r="Z56" i="98"/>
  <c r="X56" i="98"/>
  <c r="N56" i="98"/>
  <c r="L56" i="98"/>
  <c r="B56" i="98"/>
  <c r="Z55" i="98"/>
  <c r="X55" i="98"/>
  <c r="T55" i="98"/>
  <c r="P55" i="98"/>
  <c r="H55" i="98"/>
  <c r="N55" i="98" s="1"/>
  <c r="D55" i="98"/>
  <c r="B55" i="98"/>
  <c r="Z54" i="98"/>
  <c r="X54" i="98"/>
  <c r="L54" i="98"/>
  <c r="N54" i="98" s="1"/>
  <c r="F54" i="98"/>
  <c r="B54" i="98"/>
  <c r="X53" i="98"/>
  <c r="Z53" i="98" s="1"/>
  <c r="N53" i="98"/>
  <c r="L53" i="98"/>
  <c r="B53" i="98"/>
  <c r="X52" i="98"/>
  <c r="T52" i="98"/>
  <c r="Z52" i="98" s="1"/>
  <c r="P52" i="98"/>
  <c r="L52" i="98"/>
  <c r="N52" i="98" s="1"/>
  <c r="H52" i="98"/>
  <c r="D52" i="98"/>
  <c r="B52" i="98"/>
  <c r="Z51" i="98"/>
  <c r="X51" i="98"/>
  <c r="L51" i="98"/>
  <c r="N51" i="98" s="1"/>
  <c r="B51" i="98"/>
  <c r="T50" i="98"/>
  <c r="P50" i="98"/>
  <c r="H50" i="98"/>
  <c r="D50" i="98"/>
  <c r="B50" i="98"/>
  <c r="Z49" i="98"/>
  <c r="X49" i="98"/>
  <c r="L49" i="98"/>
  <c r="N49" i="98" s="1"/>
  <c r="F49" i="98"/>
  <c r="B49" i="98"/>
  <c r="T48" i="98"/>
  <c r="P48" i="98"/>
  <c r="X48" i="98" s="1"/>
  <c r="H48" i="98"/>
  <c r="F48" i="98"/>
  <c r="D48" i="98"/>
  <c r="L48" i="98" s="1"/>
  <c r="N48" i="98" s="1"/>
  <c r="B48" i="98"/>
  <c r="Z47" i="98"/>
  <c r="X47" i="98"/>
  <c r="L47" i="98"/>
  <c r="N47" i="98" s="1"/>
  <c r="B47" i="98"/>
  <c r="X46" i="98"/>
  <c r="Z46" i="98" s="1"/>
  <c r="L46" i="98"/>
  <c r="N46" i="98" s="1"/>
  <c r="F46" i="98"/>
  <c r="B46" i="98"/>
  <c r="T45" i="98"/>
  <c r="P45" i="98"/>
  <c r="H45" i="98"/>
  <c r="D45" i="98"/>
  <c r="L45" i="98" s="1"/>
  <c r="B45" i="98"/>
  <c r="Z44" i="98"/>
  <c r="X44" i="98"/>
  <c r="L44" i="98"/>
  <c r="N44" i="98" s="1"/>
  <c r="B44" i="98"/>
  <c r="T43" i="98"/>
  <c r="P43" i="98"/>
  <c r="X43" i="98" s="1"/>
  <c r="Z43" i="98" s="1"/>
  <c r="N43" i="98"/>
  <c r="H43" i="98"/>
  <c r="D43" i="98"/>
  <c r="L43" i="98" s="1"/>
  <c r="B43" i="98"/>
  <c r="Z42" i="98"/>
  <c r="X42" i="98"/>
  <c r="N42" i="98"/>
  <c r="L42" i="98"/>
  <c r="B42" i="98"/>
  <c r="T41" i="98"/>
  <c r="P41" i="98"/>
  <c r="X41" i="98" s="1"/>
  <c r="L41" i="98"/>
  <c r="N41" i="98" s="1"/>
  <c r="H41" i="98"/>
  <c r="D41" i="98"/>
  <c r="B41" i="98"/>
  <c r="X40" i="98"/>
  <c r="Z40" i="98" s="1"/>
  <c r="N40" i="98"/>
  <c r="L40" i="98"/>
  <c r="B40" i="98"/>
  <c r="T39" i="98"/>
  <c r="Z39" i="98" s="1"/>
  <c r="P39" i="98"/>
  <c r="X39" i="98" s="1"/>
  <c r="H39" i="98"/>
  <c r="D39" i="98"/>
  <c r="B39" i="98"/>
  <c r="X38" i="98"/>
  <c r="Z38" i="98" s="1"/>
  <c r="N38" i="98"/>
  <c r="L38" i="98"/>
  <c r="B38" i="98"/>
  <c r="Z37" i="98"/>
  <c r="X37" i="98"/>
  <c r="N37" i="98"/>
  <c r="L37" i="98"/>
  <c r="F37" i="98"/>
  <c r="B37" i="98"/>
  <c r="Z36" i="98"/>
  <c r="X36" i="98"/>
  <c r="N36" i="98"/>
  <c r="L36" i="98"/>
  <c r="B36" i="98"/>
  <c r="X35" i="98"/>
  <c r="Z35" i="98" s="1"/>
  <c r="L35" i="98"/>
  <c r="N35" i="98" s="1"/>
  <c r="B35" i="98"/>
  <c r="X34" i="98"/>
  <c r="Z34" i="98" s="1"/>
  <c r="N34" i="98"/>
  <c r="L34" i="98"/>
  <c r="B34" i="98"/>
  <c r="Z33" i="98"/>
  <c r="X33" i="98"/>
  <c r="N33" i="98"/>
  <c r="L33" i="98"/>
  <c r="F33" i="98"/>
  <c r="B33" i="98"/>
  <c r="T32" i="98"/>
  <c r="P32" i="98"/>
  <c r="H32" i="98"/>
  <c r="D32" i="98"/>
  <c r="B32" i="98"/>
  <c r="X31" i="98"/>
  <c r="Z31" i="98" s="1"/>
  <c r="N31" i="98"/>
  <c r="L31" i="98"/>
  <c r="B31" i="98"/>
  <c r="Z30" i="98"/>
  <c r="X30" i="98"/>
  <c r="L30" i="98"/>
  <c r="N30" i="98" s="1"/>
  <c r="B30" i="98"/>
  <c r="Z29" i="98"/>
  <c r="X29" i="98"/>
  <c r="L29" i="98"/>
  <c r="N29" i="98" s="1"/>
  <c r="F29" i="98"/>
  <c r="B29" i="98"/>
  <c r="X28" i="98"/>
  <c r="Z28" i="98" s="1"/>
  <c r="L28" i="98"/>
  <c r="N28" i="98" s="1"/>
  <c r="B28" i="98"/>
  <c r="X27" i="98"/>
  <c r="Z27" i="98" s="1"/>
  <c r="N27" i="98"/>
  <c r="L27" i="98"/>
  <c r="B27" i="98"/>
  <c r="Z26" i="98"/>
  <c r="X26" i="98"/>
  <c r="L26" i="98"/>
  <c r="N26" i="98" s="1"/>
  <c r="B26" i="98"/>
  <c r="Z25" i="98"/>
  <c r="X25" i="98"/>
  <c r="L25" i="98"/>
  <c r="N25" i="98" s="1"/>
  <c r="B25" i="98"/>
  <c r="X24" i="98"/>
  <c r="Z24" i="98" s="1"/>
  <c r="L24" i="98"/>
  <c r="N24" i="98" s="1"/>
  <c r="B24" i="98"/>
  <c r="X23" i="98"/>
  <c r="Z23" i="98" s="1"/>
  <c r="T23" i="98"/>
  <c r="P23" i="98"/>
  <c r="H23" i="98"/>
  <c r="D23" i="98"/>
  <c r="B23" i="98"/>
  <c r="X22" i="98"/>
  <c r="Z22" i="98" s="1"/>
  <c r="T22" i="98"/>
  <c r="P22" i="98"/>
  <c r="L22" i="98"/>
  <c r="N22" i="98" s="1"/>
  <c r="H22" i="98"/>
  <c r="D22" i="98"/>
  <c r="X18" i="98"/>
  <c r="Z18" i="98" s="1"/>
  <c r="L18" i="98"/>
  <c r="N18" i="98" s="1"/>
  <c r="F18" i="98"/>
  <c r="B18" i="98"/>
  <c r="X17" i="98"/>
  <c r="Z17" i="98" s="1"/>
  <c r="N17" i="98"/>
  <c r="L17" i="98"/>
  <c r="B17" i="98"/>
  <c r="X16" i="98"/>
  <c r="Z16" i="98" s="1"/>
  <c r="T16" i="98"/>
  <c r="P16" i="98"/>
  <c r="L16" i="98"/>
  <c r="N16" i="98" s="1"/>
  <c r="H16" i="98"/>
  <c r="D16" i="98"/>
  <c r="T14" i="98"/>
  <c r="P14" i="98"/>
  <c r="H14" i="98"/>
  <c r="D14" i="98"/>
  <c r="B14" i="98"/>
  <c r="T13" i="98"/>
  <c r="P13" i="98"/>
  <c r="P12" i="98" s="1"/>
  <c r="N13" i="98"/>
  <c r="L13" i="98"/>
  <c r="H13" i="98"/>
  <c r="D13" i="98"/>
  <c r="B13" i="98"/>
  <c r="D12" i="98"/>
  <c r="F25" i="98" s="1"/>
  <c r="D6" i="98"/>
  <c r="D4" i="98"/>
  <c r="X84" i="96"/>
  <c r="Z84" i="96" s="1"/>
  <c r="R84" i="96"/>
  <c r="N84" i="96"/>
  <c r="L84" i="96"/>
  <c r="Z80" i="96"/>
  <c r="X80" i="96"/>
  <c r="T80" i="96"/>
  <c r="P80" i="96"/>
  <c r="L80" i="96"/>
  <c r="H80" i="96"/>
  <c r="N80" i="96" s="1"/>
  <c r="D80" i="96"/>
  <c r="X78" i="96"/>
  <c r="Z78" i="96" s="1"/>
  <c r="L78" i="96"/>
  <c r="N78" i="96" s="1"/>
  <c r="B78" i="96"/>
  <c r="T77" i="96"/>
  <c r="P77" i="96"/>
  <c r="H77" i="96"/>
  <c r="D77" i="96"/>
  <c r="L77" i="96" s="1"/>
  <c r="N77" i="96" s="1"/>
  <c r="B77" i="96"/>
  <c r="Z76" i="96"/>
  <c r="X76" i="96"/>
  <c r="L76" i="96"/>
  <c r="N76" i="96" s="1"/>
  <c r="B76" i="96"/>
  <c r="T75" i="96"/>
  <c r="P75" i="96"/>
  <c r="H75" i="96"/>
  <c r="D75" i="96"/>
  <c r="L75" i="96" s="1"/>
  <c r="N75" i="96" s="1"/>
  <c r="B75" i="96"/>
  <c r="Z74" i="96"/>
  <c r="X74" i="96"/>
  <c r="N74" i="96"/>
  <c r="L74" i="96"/>
  <c r="B74" i="96"/>
  <c r="T73" i="96"/>
  <c r="P73" i="96"/>
  <c r="X73" i="96" s="1"/>
  <c r="L73" i="96"/>
  <c r="N73" i="96" s="1"/>
  <c r="H73" i="96"/>
  <c r="D73" i="96"/>
  <c r="B73" i="96"/>
  <c r="X72" i="96"/>
  <c r="Z72" i="96" s="1"/>
  <c r="N72" i="96"/>
  <c r="L72" i="96"/>
  <c r="B72" i="96"/>
  <c r="Z71" i="96"/>
  <c r="X71" i="96"/>
  <c r="N71" i="96"/>
  <c r="L71" i="96"/>
  <c r="B71" i="96"/>
  <c r="Z70" i="96"/>
  <c r="X70" i="96"/>
  <c r="L70" i="96"/>
  <c r="N70" i="96" s="1"/>
  <c r="B70" i="96"/>
  <c r="X69" i="96"/>
  <c r="Z69" i="96" s="1"/>
  <c r="N69" i="96"/>
  <c r="L69" i="96"/>
  <c r="B69" i="96"/>
  <c r="X68" i="96"/>
  <c r="Z68" i="96" s="1"/>
  <c r="N68" i="96"/>
  <c r="L68" i="96"/>
  <c r="B68" i="96"/>
  <c r="Z67" i="96"/>
  <c r="X67" i="96"/>
  <c r="N67" i="96"/>
  <c r="L67" i="96"/>
  <c r="B67" i="96"/>
  <c r="X66" i="96"/>
  <c r="Z66" i="96" s="1"/>
  <c r="T66" i="96"/>
  <c r="P66" i="96"/>
  <c r="L66" i="96"/>
  <c r="H66" i="96"/>
  <c r="N66" i="96" s="1"/>
  <c r="D66" i="96"/>
  <c r="B66" i="96"/>
  <c r="Z65" i="96"/>
  <c r="X65" i="96"/>
  <c r="N65" i="96"/>
  <c r="L65" i="96"/>
  <c r="B65" i="96"/>
  <c r="T64" i="96"/>
  <c r="P64" i="96"/>
  <c r="H64" i="96"/>
  <c r="D64" i="96"/>
  <c r="B64" i="96"/>
  <c r="X63" i="96"/>
  <c r="Z63" i="96" s="1"/>
  <c r="N63" i="96"/>
  <c r="L63" i="96"/>
  <c r="B63" i="96"/>
  <c r="Z62" i="96"/>
  <c r="X62" i="96"/>
  <c r="N62" i="96"/>
  <c r="L62" i="96"/>
  <c r="B62" i="96"/>
  <c r="Z61" i="96"/>
  <c r="X61" i="96"/>
  <c r="L61" i="96"/>
  <c r="N61" i="96" s="1"/>
  <c r="B61" i="96"/>
  <c r="X60" i="96"/>
  <c r="Z60" i="96" s="1"/>
  <c r="L60" i="96"/>
  <c r="N60" i="96" s="1"/>
  <c r="B60" i="96"/>
  <c r="X59" i="96"/>
  <c r="Z59" i="96" s="1"/>
  <c r="N59" i="96"/>
  <c r="L59" i="96"/>
  <c r="B59" i="96"/>
  <c r="Z58" i="96"/>
  <c r="T58" i="96"/>
  <c r="P58" i="96"/>
  <c r="X58" i="96" s="1"/>
  <c r="H58" i="96"/>
  <c r="N58" i="96" s="1"/>
  <c r="D58" i="96"/>
  <c r="L58" i="96" s="1"/>
  <c r="B58" i="96"/>
  <c r="X57" i="96"/>
  <c r="Z57" i="96" s="1"/>
  <c r="N57" i="96"/>
  <c r="L57" i="96"/>
  <c r="B57" i="96"/>
  <c r="X56" i="96"/>
  <c r="T56" i="96"/>
  <c r="Z56" i="96" s="1"/>
  <c r="R56" i="96"/>
  <c r="P56" i="96"/>
  <c r="L56" i="96"/>
  <c r="N56" i="96" s="1"/>
  <c r="H56" i="96"/>
  <c r="D56" i="96"/>
  <c r="B56" i="96"/>
  <c r="X55" i="96"/>
  <c r="Z55" i="96" s="1"/>
  <c r="L55" i="96"/>
  <c r="N55" i="96" s="1"/>
  <c r="J55" i="96"/>
  <c r="B55" i="96"/>
  <c r="T54" i="96"/>
  <c r="P54" i="96"/>
  <c r="N54" i="96"/>
  <c r="H54" i="96"/>
  <c r="L54" i="96" s="1"/>
  <c r="D54" i="96"/>
  <c r="B54" i="96"/>
  <c r="Z53" i="96"/>
  <c r="X53" i="96"/>
  <c r="R53" i="96"/>
  <c r="L53" i="96"/>
  <c r="N53" i="96" s="1"/>
  <c r="B53" i="96"/>
  <c r="T52" i="96"/>
  <c r="P52" i="96"/>
  <c r="X52" i="96" s="1"/>
  <c r="H52" i="96"/>
  <c r="D52" i="96"/>
  <c r="L52" i="96" s="1"/>
  <c r="N52" i="96" s="1"/>
  <c r="B52" i="96"/>
  <c r="Z51" i="96"/>
  <c r="X51" i="96"/>
  <c r="L51" i="96"/>
  <c r="N51" i="96" s="1"/>
  <c r="B51" i="96"/>
  <c r="Z50" i="96"/>
  <c r="X50" i="96"/>
  <c r="T50" i="96"/>
  <c r="P50" i="96"/>
  <c r="L50" i="96"/>
  <c r="H50" i="96"/>
  <c r="D50" i="96"/>
  <c r="B50" i="96"/>
  <c r="Z49" i="96"/>
  <c r="X49" i="96"/>
  <c r="N49" i="96"/>
  <c r="L49" i="96"/>
  <c r="J49" i="96"/>
  <c r="B49" i="96"/>
  <c r="Z48" i="96"/>
  <c r="T48" i="96"/>
  <c r="X48" i="96" s="1"/>
  <c r="P48" i="96"/>
  <c r="H48" i="96"/>
  <c r="D48" i="96"/>
  <c r="B48" i="96"/>
  <c r="Z47" i="96"/>
  <c r="X47" i="96"/>
  <c r="N47" i="96"/>
  <c r="L47" i="96"/>
  <c r="B47" i="96"/>
  <c r="Z46" i="96"/>
  <c r="T46" i="96"/>
  <c r="P46" i="96"/>
  <c r="X46" i="96" s="1"/>
  <c r="H46" i="96"/>
  <c r="N46" i="96" s="1"/>
  <c r="D46" i="96"/>
  <c r="L46" i="96" s="1"/>
  <c r="B46" i="96"/>
  <c r="X45" i="96"/>
  <c r="Z45" i="96" s="1"/>
  <c r="N45" i="96"/>
  <c r="L45" i="96"/>
  <c r="B45" i="96"/>
  <c r="X44" i="96"/>
  <c r="Z44" i="96" s="1"/>
  <c r="N44" i="96"/>
  <c r="L44" i="96"/>
  <c r="B44" i="96"/>
  <c r="T43" i="96"/>
  <c r="Z43" i="96" s="1"/>
  <c r="P43" i="96"/>
  <c r="X43" i="96" s="1"/>
  <c r="L43" i="96"/>
  <c r="H43" i="96"/>
  <c r="D43" i="96"/>
  <c r="B43" i="96"/>
  <c r="X42" i="96"/>
  <c r="Z42" i="96" s="1"/>
  <c r="N42" i="96"/>
  <c r="L42" i="96"/>
  <c r="J42" i="96"/>
  <c r="B42" i="96"/>
  <c r="Z41" i="96"/>
  <c r="T41" i="96"/>
  <c r="P41" i="96"/>
  <c r="X41" i="96" s="1"/>
  <c r="L41" i="96"/>
  <c r="N41" i="96" s="1"/>
  <c r="H41" i="96"/>
  <c r="D41" i="96"/>
  <c r="B41" i="96"/>
  <c r="X40" i="96"/>
  <c r="Z40" i="96" s="1"/>
  <c r="R40" i="96"/>
  <c r="L40" i="96"/>
  <c r="N40" i="96" s="1"/>
  <c r="J40" i="96"/>
  <c r="B40" i="96"/>
  <c r="X39" i="96"/>
  <c r="Z39" i="96" s="1"/>
  <c r="T39" i="96"/>
  <c r="P39" i="96"/>
  <c r="H39" i="96"/>
  <c r="D39" i="96"/>
  <c r="B39" i="96"/>
  <c r="X38" i="96"/>
  <c r="Z38" i="96" s="1"/>
  <c r="L38" i="96"/>
  <c r="N38" i="96" s="1"/>
  <c r="B38" i="96"/>
  <c r="X37" i="96"/>
  <c r="T37" i="96"/>
  <c r="P37" i="96"/>
  <c r="H37" i="96"/>
  <c r="D37" i="96"/>
  <c r="L37" i="96" s="1"/>
  <c r="B37" i="96"/>
  <c r="X36" i="96"/>
  <c r="Z36" i="96" s="1"/>
  <c r="R36" i="96"/>
  <c r="L36" i="96"/>
  <c r="N36" i="96" s="1"/>
  <c r="B36" i="96"/>
  <c r="X35" i="96"/>
  <c r="Z35" i="96" s="1"/>
  <c r="N35" i="96"/>
  <c r="L35" i="96"/>
  <c r="B35" i="96"/>
  <c r="X34" i="96"/>
  <c r="Z34" i="96" s="1"/>
  <c r="N34" i="96"/>
  <c r="L34" i="96"/>
  <c r="J34" i="96"/>
  <c r="B34" i="96"/>
  <c r="Z33" i="96"/>
  <c r="X33" i="96"/>
  <c r="N33" i="96"/>
  <c r="L33" i="96"/>
  <c r="B33" i="96"/>
  <c r="T32" i="96"/>
  <c r="X32" i="96" s="1"/>
  <c r="Z32" i="96" s="1"/>
  <c r="P32" i="96"/>
  <c r="H32" i="96"/>
  <c r="D32" i="96"/>
  <c r="B32" i="96"/>
  <c r="X31" i="96"/>
  <c r="Z31" i="96" s="1"/>
  <c r="N31" i="96"/>
  <c r="L31" i="96"/>
  <c r="B31" i="96"/>
  <c r="Z30" i="96"/>
  <c r="X30" i="96"/>
  <c r="L30" i="96"/>
  <c r="N30" i="96" s="1"/>
  <c r="B30" i="96"/>
  <c r="X29" i="96"/>
  <c r="Z29" i="96" s="1"/>
  <c r="R29" i="96"/>
  <c r="L29" i="96"/>
  <c r="N29" i="96" s="1"/>
  <c r="B29" i="96"/>
  <c r="X28" i="96"/>
  <c r="Z28" i="96" s="1"/>
  <c r="N28" i="96"/>
  <c r="L28" i="96"/>
  <c r="B28" i="96"/>
  <c r="X27" i="96"/>
  <c r="Z27" i="96" s="1"/>
  <c r="N27" i="96"/>
  <c r="L27" i="96"/>
  <c r="B27" i="96"/>
  <c r="Z26" i="96"/>
  <c r="X26" i="96"/>
  <c r="L26" i="96"/>
  <c r="N26" i="96" s="1"/>
  <c r="B26" i="96"/>
  <c r="Z25" i="96"/>
  <c r="X25" i="96"/>
  <c r="L25" i="96"/>
  <c r="N25" i="96" s="1"/>
  <c r="J25" i="96"/>
  <c r="B25" i="96"/>
  <c r="X24" i="96"/>
  <c r="Z24" i="96" s="1"/>
  <c r="N24" i="96"/>
  <c r="L24" i="96"/>
  <c r="J24" i="96"/>
  <c r="B24" i="96"/>
  <c r="X23" i="96"/>
  <c r="Z23" i="96" s="1"/>
  <c r="T23" i="96"/>
  <c r="P23" i="96"/>
  <c r="H23" i="96"/>
  <c r="D23" i="96"/>
  <c r="L23" i="96" s="1"/>
  <c r="B23" i="96"/>
  <c r="T22" i="96"/>
  <c r="P22" i="96"/>
  <c r="X22" i="96" s="1"/>
  <c r="Z22" i="96" s="1"/>
  <c r="H22" i="96"/>
  <c r="D22" i="96"/>
  <c r="X18" i="96"/>
  <c r="Z18" i="96" s="1"/>
  <c r="R18" i="96"/>
  <c r="L18" i="96"/>
  <c r="N18" i="96" s="1"/>
  <c r="B18" i="96"/>
  <c r="Z17" i="96"/>
  <c r="X17" i="96"/>
  <c r="N17" i="96"/>
  <c r="L17" i="96"/>
  <c r="B17" i="96"/>
  <c r="T16" i="96"/>
  <c r="P16" i="96"/>
  <c r="H16" i="96"/>
  <c r="D16" i="96"/>
  <c r="Z14" i="96"/>
  <c r="X14" i="96"/>
  <c r="T14" i="96"/>
  <c r="P14" i="96"/>
  <c r="H14" i="96"/>
  <c r="D14" i="96"/>
  <c r="L14" i="96" s="1"/>
  <c r="B14" i="96"/>
  <c r="T13" i="96"/>
  <c r="P13" i="96"/>
  <c r="L13" i="96"/>
  <c r="N13" i="96" s="1"/>
  <c r="H13" i="96"/>
  <c r="H12" i="96" s="1"/>
  <c r="J54" i="96" s="1"/>
  <c r="D13" i="96"/>
  <c r="B13" i="96"/>
  <c r="P12" i="96"/>
  <c r="R57" i="96" s="1"/>
  <c r="D6" i="96"/>
  <c r="D4" i="96"/>
  <c r="X70" i="95"/>
  <c r="Z70" i="95" s="1"/>
  <c r="L70" i="95"/>
  <c r="N70" i="95" s="1"/>
  <c r="Z66" i="95"/>
  <c r="X66" i="95"/>
  <c r="T66" i="95"/>
  <c r="P66" i="95"/>
  <c r="N66" i="95"/>
  <c r="H66" i="95"/>
  <c r="D66" i="95"/>
  <c r="L66" i="95" s="1"/>
  <c r="X64" i="95"/>
  <c r="Z64" i="95" s="1"/>
  <c r="N64" i="95"/>
  <c r="L64" i="95"/>
  <c r="B64" i="95"/>
  <c r="T63" i="95"/>
  <c r="P63" i="95"/>
  <c r="L63" i="95"/>
  <c r="N63" i="95" s="1"/>
  <c r="H63" i="95"/>
  <c r="D63" i="95"/>
  <c r="B63" i="95"/>
  <c r="X62" i="95"/>
  <c r="Z62" i="95" s="1"/>
  <c r="L62" i="95"/>
  <c r="N62" i="95" s="1"/>
  <c r="B62" i="95"/>
  <c r="Z61" i="95"/>
  <c r="X61" i="95"/>
  <c r="N61" i="95"/>
  <c r="L61" i="95"/>
  <c r="B61" i="95"/>
  <c r="X60" i="95"/>
  <c r="Z60" i="95" s="1"/>
  <c r="L60" i="95"/>
  <c r="N60" i="95" s="1"/>
  <c r="B60" i="95"/>
  <c r="Z59" i="95"/>
  <c r="X59" i="95"/>
  <c r="L59" i="95"/>
  <c r="N59" i="95" s="1"/>
  <c r="J59" i="95"/>
  <c r="B59" i="95"/>
  <c r="X58" i="95"/>
  <c r="Z58" i="95" s="1"/>
  <c r="L58" i="95"/>
  <c r="N58" i="95" s="1"/>
  <c r="B58" i="95"/>
  <c r="T57" i="95"/>
  <c r="P57" i="95"/>
  <c r="X57" i="95" s="1"/>
  <c r="Z57" i="95" s="1"/>
  <c r="J57" i="95"/>
  <c r="H57" i="95"/>
  <c r="D57" i="95"/>
  <c r="L57" i="95" s="1"/>
  <c r="N57" i="95" s="1"/>
  <c r="B57" i="95"/>
  <c r="Z56" i="95"/>
  <c r="X56" i="95"/>
  <c r="N56" i="95"/>
  <c r="L56" i="95"/>
  <c r="B56" i="95"/>
  <c r="X55" i="95"/>
  <c r="Z55" i="95" s="1"/>
  <c r="T55" i="95"/>
  <c r="P55" i="95"/>
  <c r="N55" i="95"/>
  <c r="L55" i="95"/>
  <c r="H55" i="95"/>
  <c r="D55" i="95"/>
  <c r="B55" i="95"/>
  <c r="X54" i="95"/>
  <c r="Z54" i="95" s="1"/>
  <c r="L54" i="95"/>
  <c r="N54" i="95" s="1"/>
  <c r="B54" i="95"/>
  <c r="Z53" i="95"/>
  <c r="T53" i="95"/>
  <c r="X53" i="95" s="1"/>
  <c r="P53" i="95"/>
  <c r="H53" i="95"/>
  <c r="D53" i="95"/>
  <c r="B53" i="95"/>
  <c r="X52" i="95"/>
  <c r="Z52" i="95" s="1"/>
  <c r="N52" i="95"/>
  <c r="L52" i="95"/>
  <c r="B52" i="95"/>
  <c r="T51" i="95"/>
  <c r="P51" i="95"/>
  <c r="X51" i="95" s="1"/>
  <c r="Z51" i="95" s="1"/>
  <c r="N51" i="95"/>
  <c r="H51" i="95"/>
  <c r="D51" i="95"/>
  <c r="L51" i="95" s="1"/>
  <c r="B51" i="95"/>
  <c r="X50" i="95"/>
  <c r="Z50" i="95" s="1"/>
  <c r="N50" i="95"/>
  <c r="L50" i="95"/>
  <c r="B50" i="95"/>
  <c r="X49" i="95"/>
  <c r="Z49" i="95" s="1"/>
  <c r="T49" i="95"/>
  <c r="P49" i="95"/>
  <c r="N49" i="95"/>
  <c r="L49" i="95"/>
  <c r="H49" i="95"/>
  <c r="D49" i="95"/>
  <c r="B49" i="95"/>
  <c r="X48" i="95"/>
  <c r="Z48" i="95" s="1"/>
  <c r="L48" i="95"/>
  <c r="N48" i="95" s="1"/>
  <c r="B48" i="95"/>
  <c r="T47" i="95"/>
  <c r="P47" i="95"/>
  <c r="H47" i="95"/>
  <c r="L47" i="95" s="1"/>
  <c r="D47" i="95"/>
  <c r="B47" i="95"/>
  <c r="X46" i="95"/>
  <c r="Z46" i="95" s="1"/>
  <c r="L46" i="95"/>
  <c r="N46" i="95" s="1"/>
  <c r="B46" i="95"/>
  <c r="T45" i="95"/>
  <c r="P45" i="95"/>
  <c r="X45" i="95" s="1"/>
  <c r="Z45" i="95" s="1"/>
  <c r="N45" i="95"/>
  <c r="H45" i="95"/>
  <c r="D45" i="95"/>
  <c r="L45" i="95" s="1"/>
  <c r="B45" i="95"/>
  <c r="Z44" i="95"/>
  <c r="X44" i="95"/>
  <c r="L44" i="95"/>
  <c r="N44" i="95" s="1"/>
  <c r="B44" i="95"/>
  <c r="X43" i="95"/>
  <c r="Z43" i="95" s="1"/>
  <c r="T43" i="95"/>
  <c r="P43" i="95"/>
  <c r="H43" i="95"/>
  <c r="D43" i="95"/>
  <c r="L43" i="95" s="1"/>
  <c r="N43" i="95" s="1"/>
  <c r="B43" i="95"/>
  <c r="X42" i="95"/>
  <c r="Z42" i="95" s="1"/>
  <c r="L42" i="95"/>
  <c r="N42" i="95" s="1"/>
  <c r="B42" i="95"/>
  <c r="T41" i="95"/>
  <c r="P41" i="95"/>
  <c r="H41" i="95"/>
  <c r="D41" i="95"/>
  <c r="B41" i="95"/>
  <c r="Z40" i="95"/>
  <c r="X40" i="95"/>
  <c r="N40" i="95"/>
  <c r="L40" i="95"/>
  <c r="B40" i="95"/>
  <c r="T39" i="95"/>
  <c r="P39" i="95"/>
  <c r="H39" i="95"/>
  <c r="D39" i="95"/>
  <c r="L39" i="95" s="1"/>
  <c r="N39" i="95" s="1"/>
  <c r="B39" i="95"/>
  <c r="X38" i="95"/>
  <c r="Z38" i="95" s="1"/>
  <c r="N38" i="95"/>
  <c r="L38" i="95"/>
  <c r="B38" i="95"/>
  <c r="T37" i="95"/>
  <c r="P37" i="95"/>
  <c r="X37" i="95" s="1"/>
  <c r="Z37" i="95" s="1"/>
  <c r="N37" i="95"/>
  <c r="L37" i="95"/>
  <c r="J37" i="95"/>
  <c r="H37" i="95"/>
  <c r="D37" i="95"/>
  <c r="B37" i="95"/>
  <c r="Z36" i="95"/>
  <c r="X36" i="95"/>
  <c r="L36" i="95"/>
  <c r="N36" i="95" s="1"/>
  <c r="J36" i="95"/>
  <c r="B36" i="95"/>
  <c r="X35" i="95"/>
  <c r="Z35" i="95" s="1"/>
  <c r="N35" i="95"/>
  <c r="L35" i="95"/>
  <c r="B35" i="95"/>
  <c r="Z34" i="95"/>
  <c r="X34" i="95"/>
  <c r="N34" i="95"/>
  <c r="L34" i="95"/>
  <c r="J34" i="95"/>
  <c r="B34" i="95"/>
  <c r="Z33" i="95"/>
  <c r="X33" i="95"/>
  <c r="N33" i="95"/>
  <c r="L33" i="95"/>
  <c r="B33" i="95"/>
  <c r="T32" i="95"/>
  <c r="P32" i="95"/>
  <c r="X32" i="95" s="1"/>
  <c r="Z32" i="95" s="1"/>
  <c r="H32" i="95"/>
  <c r="D32" i="95"/>
  <c r="L32" i="95" s="1"/>
  <c r="N32" i="95" s="1"/>
  <c r="B32" i="95"/>
  <c r="Z31" i="95"/>
  <c r="X31" i="95"/>
  <c r="N31" i="95"/>
  <c r="L31" i="95"/>
  <c r="B31" i="95"/>
  <c r="X30" i="95"/>
  <c r="Z30" i="95" s="1"/>
  <c r="L30" i="95"/>
  <c r="N30" i="95" s="1"/>
  <c r="J30" i="95"/>
  <c r="B30" i="95"/>
  <c r="Z29" i="95"/>
  <c r="X29" i="95"/>
  <c r="N29" i="95"/>
  <c r="L29" i="95"/>
  <c r="B29" i="95"/>
  <c r="X28" i="95"/>
  <c r="Z28" i="95" s="1"/>
  <c r="N28" i="95"/>
  <c r="L28" i="95"/>
  <c r="B28" i="95"/>
  <c r="Z27" i="95"/>
  <c r="X27" i="95"/>
  <c r="L27" i="95"/>
  <c r="N27" i="95" s="1"/>
  <c r="J27" i="95"/>
  <c r="B27" i="95"/>
  <c r="X26" i="95"/>
  <c r="Z26" i="95" s="1"/>
  <c r="L26" i="95"/>
  <c r="N26" i="95" s="1"/>
  <c r="B26" i="95"/>
  <c r="Z25" i="95"/>
  <c r="X25" i="95"/>
  <c r="L25" i="95"/>
  <c r="N25" i="95" s="1"/>
  <c r="J25" i="95"/>
  <c r="B25" i="95"/>
  <c r="Z24" i="95"/>
  <c r="X24" i="95"/>
  <c r="N24" i="95"/>
  <c r="L24" i="95"/>
  <c r="B24" i="95"/>
  <c r="T23" i="95"/>
  <c r="Z23" i="95" s="1"/>
  <c r="P23" i="95"/>
  <c r="X23" i="95" s="1"/>
  <c r="H23" i="95"/>
  <c r="D23" i="95"/>
  <c r="L23" i="95" s="1"/>
  <c r="N23" i="95" s="1"/>
  <c r="B23" i="95"/>
  <c r="T22" i="95"/>
  <c r="P22" i="95"/>
  <c r="X22" i="95" s="1"/>
  <c r="H22" i="95"/>
  <c r="D22" i="95"/>
  <c r="X18" i="95"/>
  <c r="Z18" i="95" s="1"/>
  <c r="L18" i="95"/>
  <c r="N18" i="95" s="1"/>
  <c r="B18" i="95"/>
  <c r="X17" i="95"/>
  <c r="Z17" i="95" s="1"/>
  <c r="L17" i="95"/>
  <c r="N17" i="95" s="1"/>
  <c r="J17" i="95"/>
  <c r="B17" i="95"/>
  <c r="T16" i="95"/>
  <c r="P16" i="95"/>
  <c r="H16" i="95"/>
  <c r="D16" i="95"/>
  <c r="T14" i="95"/>
  <c r="P14" i="95"/>
  <c r="X14" i="95" s="1"/>
  <c r="Z14" i="95" s="1"/>
  <c r="L14" i="95"/>
  <c r="N14" i="95" s="1"/>
  <c r="H14" i="95"/>
  <c r="D14" i="95"/>
  <c r="B14" i="95"/>
  <c r="T13" i="95"/>
  <c r="P13" i="95"/>
  <c r="H13" i="95"/>
  <c r="D13" i="95"/>
  <c r="B13" i="95"/>
  <c r="T12" i="95"/>
  <c r="P12" i="95"/>
  <c r="H12" i="95"/>
  <c r="J42" i="95" s="1"/>
  <c r="D6" i="95"/>
  <c r="D4" i="95"/>
  <c r="Z63" i="94"/>
  <c r="X63" i="94"/>
  <c r="N63" i="94"/>
  <c r="L63" i="94"/>
  <c r="T59" i="94"/>
  <c r="P59" i="94"/>
  <c r="L59" i="94"/>
  <c r="H59" i="94"/>
  <c r="D59" i="94"/>
  <c r="B59" i="94"/>
  <c r="D58" i="94"/>
  <c r="X56" i="94"/>
  <c r="Z56" i="94" s="1"/>
  <c r="N56" i="94"/>
  <c r="L56" i="94"/>
  <c r="B56" i="94"/>
  <c r="T55" i="94"/>
  <c r="P55" i="94"/>
  <c r="X55" i="94" s="1"/>
  <c r="Z55" i="94" s="1"/>
  <c r="H55" i="94"/>
  <c r="N55" i="94" s="1"/>
  <c r="D55" i="94"/>
  <c r="L55" i="94" s="1"/>
  <c r="B55" i="94"/>
  <c r="Z54" i="94"/>
  <c r="X54" i="94"/>
  <c r="L54" i="94"/>
  <c r="N54" i="94" s="1"/>
  <c r="B54" i="94"/>
  <c r="X53" i="94"/>
  <c r="Z53" i="94" s="1"/>
  <c r="N53" i="94"/>
  <c r="L53" i="94"/>
  <c r="B53" i="94"/>
  <c r="Z52" i="94"/>
  <c r="X52" i="94"/>
  <c r="N52" i="94"/>
  <c r="L52" i="94"/>
  <c r="B52" i="94"/>
  <c r="X51" i="94"/>
  <c r="T51" i="94"/>
  <c r="Z51" i="94" s="1"/>
  <c r="P51" i="94"/>
  <c r="H51" i="94"/>
  <c r="D51" i="94"/>
  <c r="B51" i="94"/>
  <c r="X50" i="94"/>
  <c r="Z50" i="94" s="1"/>
  <c r="L50" i="94"/>
  <c r="N50" i="94" s="1"/>
  <c r="B50" i="94"/>
  <c r="T49" i="94"/>
  <c r="P49" i="94"/>
  <c r="L49" i="94"/>
  <c r="H49" i="94"/>
  <c r="D49" i="94"/>
  <c r="B49" i="94"/>
  <c r="Z48" i="94"/>
  <c r="X48" i="94"/>
  <c r="N48" i="94"/>
  <c r="L48" i="94"/>
  <c r="B48" i="94"/>
  <c r="Z47" i="94"/>
  <c r="T47" i="94"/>
  <c r="P47" i="94"/>
  <c r="X47" i="94" s="1"/>
  <c r="N47" i="94"/>
  <c r="L47" i="94"/>
  <c r="H47" i="94"/>
  <c r="D47" i="94"/>
  <c r="B47" i="94"/>
  <c r="Z46" i="94"/>
  <c r="X46" i="94"/>
  <c r="L46" i="94"/>
  <c r="N46" i="94" s="1"/>
  <c r="B46" i="94"/>
  <c r="T45" i="94"/>
  <c r="X45" i="94" s="1"/>
  <c r="Z45" i="94" s="1"/>
  <c r="P45" i="94"/>
  <c r="H45" i="94"/>
  <c r="D45" i="94"/>
  <c r="B45" i="94"/>
  <c r="X44" i="94"/>
  <c r="Z44" i="94" s="1"/>
  <c r="L44" i="94"/>
  <c r="N44" i="94" s="1"/>
  <c r="B44" i="94"/>
  <c r="Z43" i="94"/>
  <c r="T43" i="94"/>
  <c r="P43" i="94"/>
  <c r="X43" i="94" s="1"/>
  <c r="H43" i="94"/>
  <c r="D43" i="94"/>
  <c r="L43" i="94" s="1"/>
  <c r="B43" i="94"/>
  <c r="X42" i="94"/>
  <c r="Z42" i="94" s="1"/>
  <c r="N42" i="94"/>
  <c r="L42" i="94"/>
  <c r="B42" i="94"/>
  <c r="X41" i="94"/>
  <c r="Z41" i="94" s="1"/>
  <c r="T41" i="94"/>
  <c r="P41" i="94"/>
  <c r="H41" i="94"/>
  <c r="D41" i="94"/>
  <c r="L41" i="94" s="1"/>
  <c r="N41" i="94" s="1"/>
  <c r="B41" i="94"/>
  <c r="X40" i="94"/>
  <c r="Z40" i="94" s="1"/>
  <c r="L40" i="94"/>
  <c r="N40" i="94" s="1"/>
  <c r="B40" i="94"/>
  <c r="T39" i="94"/>
  <c r="P39" i="94"/>
  <c r="H39" i="94"/>
  <c r="L39" i="94" s="1"/>
  <c r="N39" i="94" s="1"/>
  <c r="D39" i="94"/>
  <c r="B39" i="94"/>
  <c r="X38" i="94"/>
  <c r="Z38" i="94" s="1"/>
  <c r="V38" i="94"/>
  <c r="L38" i="94"/>
  <c r="N38" i="94" s="1"/>
  <c r="B38" i="94"/>
  <c r="T37" i="94"/>
  <c r="P37" i="94"/>
  <c r="X37" i="94" s="1"/>
  <c r="H37" i="94"/>
  <c r="D37" i="94"/>
  <c r="L37" i="94" s="1"/>
  <c r="N37" i="94" s="1"/>
  <c r="B37" i="94"/>
  <c r="X36" i="94"/>
  <c r="Z36" i="94" s="1"/>
  <c r="N36" i="94"/>
  <c r="L36" i="94"/>
  <c r="B36" i="94"/>
  <c r="X35" i="94"/>
  <c r="Z35" i="94" s="1"/>
  <c r="L35" i="94"/>
  <c r="N35" i="94" s="1"/>
  <c r="F35" i="94"/>
  <c r="B35" i="94"/>
  <c r="X34" i="94"/>
  <c r="Z34" i="94" s="1"/>
  <c r="N34" i="94"/>
  <c r="L34" i="94"/>
  <c r="B34" i="94"/>
  <c r="X33" i="94"/>
  <c r="Z33" i="94" s="1"/>
  <c r="V33" i="94"/>
  <c r="N33" i="94"/>
  <c r="L33" i="94"/>
  <c r="B33" i="94"/>
  <c r="T32" i="94"/>
  <c r="P32" i="94"/>
  <c r="X32" i="94" s="1"/>
  <c r="L32" i="94"/>
  <c r="H32" i="94"/>
  <c r="N32" i="94" s="1"/>
  <c r="D32" i="94"/>
  <c r="B32" i="94"/>
  <c r="X31" i="94"/>
  <c r="Z31" i="94" s="1"/>
  <c r="R31" i="94"/>
  <c r="N31" i="94"/>
  <c r="L31" i="94"/>
  <c r="B31" i="94"/>
  <c r="Z30" i="94"/>
  <c r="X30" i="94"/>
  <c r="L30" i="94"/>
  <c r="N30" i="94" s="1"/>
  <c r="B30" i="94"/>
  <c r="Z29" i="94"/>
  <c r="X29" i="94"/>
  <c r="L29" i="94"/>
  <c r="N29" i="94" s="1"/>
  <c r="B29" i="94"/>
  <c r="X28" i="94"/>
  <c r="Z28" i="94" s="1"/>
  <c r="L28" i="94"/>
  <c r="N28" i="94" s="1"/>
  <c r="B28" i="94"/>
  <c r="X27" i="94"/>
  <c r="Z27" i="94" s="1"/>
  <c r="N27" i="94"/>
  <c r="L27" i="94"/>
  <c r="B27" i="94"/>
  <c r="Z26" i="94"/>
  <c r="X26" i="94"/>
  <c r="L26" i="94"/>
  <c r="N26" i="94" s="1"/>
  <c r="B26" i="94"/>
  <c r="Z25" i="94"/>
  <c r="X25" i="94"/>
  <c r="L25" i="94"/>
  <c r="N25" i="94" s="1"/>
  <c r="B25" i="94"/>
  <c r="Z24" i="94"/>
  <c r="X24" i="94"/>
  <c r="L24" i="94"/>
  <c r="N24" i="94" s="1"/>
  <c r="B24" i="94"/>
  <c r="T23" i="94"/>
  <c r="P23" i="94"/>
  <c r="H23" i="94"/>
  <c r="L23" i="94" s="1"/>
  <c r="N23" i="94" s="1"/>
  <c r="D23" i="94"/>
  <c r="B23" i="94"/>
  <c r="T22" i="94"/>
  <c r="P22" i="94"/>
  <c r="L22" i="94"/>
  <c r="N22" i="94" s="1"/>
  <c r="H22" i="94"/>
  <c r="D22" i="94"/>
  <c r="X18" i="94"/>
  <c r="Z18" i="94" s="1"/>
  <c r="R18" i="94"/>
  <c r="L18" i="94"/>
  <c r="N18" i="94" s="1"/>
  <c r="B18" i="94"/>
  <c r="Z17" i="94"/>
  <c r="X17" i="94"/>
  <c r="L17" i="94"/>
  <c r="N17" i="94" s="1"/>
  <c r="B17" i="94"/>
  <c r="X16" i="94"/>
  <c r="Z16" i="94" s="1"/>
  <c r="T16" i="94"/>
  <c r="P16" i="94"/>
  <c r="H16" i="94"/>
  <c r="D16" i="94"/>
  <c r="T14" i="94"/>
  <c r="P14" i="94"/>
  <c r="H14" i="94"/>
  <c r="H12" i="94" s="1"/>
  <c r="D14" i="94"/>
  <c r="D12" i="94" s="1"/>
  <c r="B14" i="94"/>
  <c r="Z13" i="94"/>
  <c r="T13" i="94"/>
  <c r="P13" i="94"/>
  <c r="X13" i="94" s="1"/>
  <c r="L13" i="94"/>
  <c r="N13" i="94" s="1"/>
  <c r="H13" i="94"/>
  <c r="D13" i="94"/>
  <c r="B13" i="94"/>
  <c r="T12" i="94"/>
  <c r="V41" i="94" s="1"/>
  <c r="P12" i="94"/>
  <c r="R49" i="94" s="1"/>
  <c r="D6" i="94"/>
  <c r="D4" i="94"/>
  <c r="X70" i="93"/>
  <c r="Z70" i="93" s="1"/>
  <c r="L70" i="93"/>
  <c r="N70" i="93" s="1"/>
  <c r="T66" i="93"/>
  <c r="Z66" i="93" s="1"/>
  <c r="P66" i="93"/>
  <c r="X66" i="93" s="1"/>
  <c r="H66" i="93"/>
  <c r="D66" i="93"/>
  <c r="X64" i="93"/>
  <c r="Z64" i="93" s="1"/>
  <c r="L64" i="93"/>
  <c r="N64" i="93" s="1"/>
  <c r="B64" i="93"/>
  <c r="T63" i="93"/>
  <c r="P63" i="93"/>
  <c r="X63" i="93" s="1"/>
  <c r="Z63" i="93" s="1"/>
  <c r="H63" i="93"/>
  <c r="D63" i="93"/>
  <c r="L63" i="93" s="1"/>
  <c r="B63" i="93"/>
  <c r="X62" i="93"/>
  <c r="Z62" i="93" s="1"/>
  <c r="N62" i="93"/>
  <c r="L62" i="93"/>
  <c r="B62" i="93"/>
  <c r="Z61" i="93"/>
  <c r="X61" i="93"/>
  <c r="N61" i="93"/>
  <c r="L61" i="93"/>
  <c r="B61" i="93"/>
  <c r="X60" i="93"/>
  <c r="Z60" i="93" s="1"/>
  <c r="L60" i="93"/>
  <c r="N60" i="93" s="1"/>
  <c r="B60" i="93"/>
  <c r="X59" i="93"/>
  <c r="Z59" i="93" s="1"/>
  <c r="L59" i="93"/>
  <c r="N59" i="93" s="1"/>
  <c r="B59" i="93"/>
  <c r="Z58" i="93"/>
  <c r="X58" i="93"/>
  <c r="N58" i="93"/>
  <c r="L58" i="93"/>
  <c r="B58" i="93"/>
  <c r="X57" i="93"/>
  <c r="Z57" i="93" s="1"/>
  <c r="N57" i="93"/>
  <c r="L57" i="93"/>
  <c r="B57" i="93"/>
  <c r="X56" i="93"/>
  <c r="Z56" i="93" s="1"/>
  <c r="L56" i="93"/>
  <c r="N56" i="93" s="1"/>
  <c r="B56" i="93"/>
  <c r="T55" i="93"/>
  <c r="P55" i="93"/>
  <c r="X55" i="93" s="1"/>
  <c r="Z55" i="93" s="1"/>
  <c r="L55" i="93"/>
  <c r="N55" i="93" s="1"/>
  <c r="H55" i="93"/>
  <c r="D55" i="93"/>
  <c r="B55" i="93"/>
  <c r="Z54" i="93"/>
  <c r="X54" i="93"/>
  <c r="L54" i="93"/>
  <c r="N54" i="93" s="1"/>
  <c r="B54" i="93"/>
  <c r="Z53" i="93"/>
  <c r="X53" i="93"/>
  <c r="N53" i="93"/>
  <c r="L53" i="93"/>
  <c r="B53" i="93"/>
  <c r="Z52" i="93"/>
  <c r="X52" i="93"/>
  <c r="T52" i="93"/>
  <c r="P52" i="93"/>
  <c r="H52" i="93"/>
  <c r="D52" i="93"/>
  <c r="L52" i="93" s="1"/>
  <c r="N52" i="93" s="1"/>
  <c r="B52" i="93"/>
  <c r="Z51" i="93"/>
  <c r="X51" i="93"/>
  <c r="L51" i="93"/>
  <c r="N51" i="93" s="1"/>
  <c r="B51" i="93"/>
  <c r="X50" i="93"/>
  <c r="T50" i="93"/>
  <c r="P50" i="93"/>
  <c r="H50" i="93"/>
  <c r="D50" i="93"/>
  <c r="L50" i="93" s="1"/>
  <c r="N50" i="93" s="1"/>
  <c r="B50" i="93"/>
  <c r="X49" i="93"/>
  <c r="Z49" i="93" s="1"/>
  <c r="N49" i="93"/>
  <c r="L49" i="93"/>
  <c r="B49" i="93"/>
  <c r="T48" i="93"/>
  <c r="P48" i="93"/>
  <c r="L48" i="93"/>
  <c r="H48" i="93"/>
  <c r="N48" i="93" s="1"/>
  <c r="D48" i="93"/>
  <c r="B48" i="93"/>
  <c r="X47" i="93"/>
  <c r="Z47" i="93" s="1"/>
  <c r="N47" i="93"/>
  <c r="L47" i="93"/>
  <c r="B47" i="93"/>
  <c r="T46" i="93"/>
  <c r="P46" i="93"/>
  <c r="X46" i="93" s="1"/>
  <c r="Z46" i="93" s="1"/>
  <c r="N46" i="93"/>
  <c r="L46" i="93"/>
  <c r="H46" i="93"/>
  <c r="D46" i="93"/>
  <c r="B46" i="93"/>
  <c r="Z45" i="93"/>
  <c r="X45" i="93"/>
  <c r="L45" i="93"/>
  <c r="N45" i="93" s="1"/>
  <c r="B45" i="93"/>
  <c r="X44" i="93"/>
  <c r="T44" i="93"/>
  <c r="Z44" i="93" s="1"/>
  <c r="P44" i="93"/>
  <c r="H44" i="93"/>
  <c r="D44" i="93"/>
  <c r="L44" i="93" s="1"/>
  <c r="B44" i="93"/>
  <c r="X43" i="93"/>
  <c r="Z43" i="93" s="1"/>
  <c r="L43" i="93"/>
  <c r="N43" i="93" s="1"/>
  <c r="B43" i="93"/>
  <c r="X42" i="93"/>
  <c r="T42" i="93"/>
  <c r="P42" i="93"/>
  <c r="H42" i="93"/>
  <c r="D42" i="93"/>
  <c r="L42" i="93" s="1"/>
  <c r="B42" i="93"/>
  <c r="Z41" i="93"/>
  <c r="X41" i="93"/>
  <c r="N41" i="93"/>
  <c r="L41" i="93"/>
  <c r="B41" i="93"/>
  <c r="X40" i="93"/>
  <c r="Z40" i="93" s="1"/>
  <c r="T40" i="93"/>
  <c r="P40" i="93"/>
  <c r="H40" i="93"/>
  <c r="D40" i="93"/>
  <c r="L40" i="93" s="1"/>
  <c r="N40" i="93" s="1"/>
  <c r="B40" i="93"/>
  <c r="Z39" i="93"/>
  <c r="X39" i="93"/>
  <c r="L39" i="93"/>
  <c r="N39" i="93" s="1"/>
  <c r="B39" i="93"/>
  <c r="X38" i="93"/>
  <c r="V38" i="93"/>
  <c r="T38" i="93"/>
  <c r="P38" i="93"/>
  <c r="L38" i="93"/>
  <c r="H38" i="93"/>
  <c r="N38" i="93" s="1"/>
  <c r="D38" i="93"/>
  <c r="B38" i="93"/>
  <c r="X37" i="93"/>
  <c r="Z37" i="93" s="1"/>
  <c r="N37" i="93"/>
  <c r="L37" i="93"/>
  <c r="B37" i="93"/>
  <c r="X36" i="93"/>
  <c r="Z36" i="93" s="1"/>
  <c r="L36" i="93"/>
  <c r="N36" i="93" s="1"/>
  <c r="B36" i="93"/>
  <c r="Z35" i="93"/>
  <c r="X35" i="93"/>
  <c r="N35" i="93"/>
  <c r="L35" i="93"/>
  <c r="B35" i="93"/>
  <c r="X34" i="93"/>
  <c r="Z34" i="93" s="1"/>
  <c r="N34" i="93"/>
  <c r="L34" i="93"/>
  <c r="B34" i="93"/>
  <c r="X33" i="93"/>
  <c r="Z33" i="93" s="1"/>
  <c r="N33" i="93"/>
  <c r="L33" i="93"/>
  <c r="B33" i="93"/>
  <c r="X32" i="93"/>
  <c r="Z32" i="93" s="1"/>
  <c r="L32" i="93"/>
  <c r="N32" i="93" s="1"/>
  <c r="B32" i="93"/>
  <c r="T31" i="93"/>
  <c r="P31" i="93"/>
  <c r="X31" i="93" s="1"/>
  <c r="Z31" i="93" s="1"/>
  <c r="L31" i="93"/>
  <c r="N31" i="93" s="1"/>
  <c r="H31" i="93"/>
  <c r="D31" i="93"/>
  <c r="B31" i="93"/>
  <c r="Z30" i="93"/>
  <c r="X30" i="93"/>
  <c r="L30" i="93"/>
  <c r="N30" i="93" s="1"/>
  <c r="B30" i="93"/>
  <c r="Z29" i="93"/>
  <c r="X29" i="93"/>
  <c r="N29" i="93"/>
  <c r="L29" i="93"/>
  <c r="B29" i="93"/>
  <c r="Z28" i="93"/>
  <c r="X28" i="93"/>
  <c r="L28" i="93"/>
  <c r="N28" i="93" s="1"/>
  <c r="B28" i="93"/>
  <c r="X27" i="93"/>
  <c r="Z27" i="93" s="1"/>
  <c r="V27" i="93"/>
  <c r="N27" i="93"/>
  <c r="L27" i="93"/>
  <c r="B27" i="93"/>
  <c r="Z26" i="93"/>
  <c r="X26" i="93"/>
  <c r="N26" i="93"/>
  <c r="L26" i="93"/>
  <c r="B26" i="93"/>
  <c r="Z25" i="93"/>
  <c r="X25" i="93"/>
  <c r="N25" i="93"/>
  <c r="L25" i="93"/>
  <c r="B25" i="93"/>
  <c r="X24" i="93"/>
  <c r="Z24" i="93" s="1"/>
  <c r="L24" i="93"/>
  <c r="N24" i="93" s="1"/>
  <c r="B24" i="93"/>
  <c r="X23" i="93"/>
  <c r="Z23" i="93" s="1"/>
  <c r="N23" i="93"/>
  <c r="L23" i="93"/>
  <c r="B23" i="93"/>
  <c r="T22" i="93"/>
  <c r="P22" i="93"/>
  <c r="X22" i="93" s="1"/>
  <c r="Z22" i="93" s="1"/>
  <c r="H22" i="93"/>
  <c r="D22" i="93"/>
  <c r="B22" i="93"/>
  <c r="T21" i="93"/>
  <c r="P21" i="93"/>
  <c r="X21" i="93" s="1"/>
  <c r="N21" i="93"/>
  <c r="H21" i="93"/>
  <c r="D21" i="93"/>
  <c r="L21" i="93" s="1"/>
  <c r="Z17" i="93"/>
  <c r="X17" i="93"/>
  <c r="L17" i="93"/>
  <c r="N17" i="93" s="1"/>
  <c r="B17" i="93"/>
  <c r="X16" i="93"/>
  <c r="Z16" i="93" s="1"/>
  <c r="V16" i="93"/>
  <c r="T16" i="93"/>
  <c r="P16" i="93"/>
  <c r="L16" i="93"/>
  <c r="N16" i="93" s="1"/>
  <c r="H16" i="93"/>
  <c r="D16" i="93"/>
  <c r="T14" i="93"/>
  <c r="P14" i="93"/>
  <c r="H14" i="93"/>
  <c r="D14" i="93"/>
  <c r="B14" i="93"/>
  <c r="T13" i="93"/>
  <c r="Z13" i="93" s="1"/>
  <c r="P13" i="93"/>
  <c r="X13" i="93" s="1"/>
  <c r="L13" i="93"/>
  <c r="N13" i="93" s="1"/>
  <c r="H13" i="93"/>
  <c r="D13" i="93"/>
  <c r="B13" i="93"/>
  <c r="T12" i="93"/>
  <c r="P12" i="93"/>
  <c r="D6" i="93"/>
  <c r="D4" i="93"/>
  <c r="R82" i="92"/>
  <c r="Z80" i="92"/>
  <c r="X80" i="92"/>
  <c r="N80" i="92"/>
  <c r="L80" i="92"/>
  <c r="X76" i="92"/>
  <c r="Z76" i="92" s="1"/>
  <c r="T76" i="92"/>
  <c r="P76" i="92"/>
  <c r="H76" i="92"/>
  <c r="D76" i="92"/>
  <c r="B76" i="92"/>
  <c r="T75" i="92"/>
  <c r="P75" i="92"/>
  <c r="X75" i="92" s="1"/>
  <c r="Z75" i="92" s="1"/>
  <c r="N75" i="92"/>
  <c r="L75" i="92"/>
  <c r="H75" i="92"/>
  <c r="D75" i="92"/>
  <c r="B75" i="92"/>
  <c r="T74" i="92"/>
  <c r="Z72" i="92"/>
  <c r="X72" i="92"/>
  <c r="L72" i="92"/>
  <c r="N72" i="92" s="1"/>
  <c r="J72" i="92"/>
  <c r="B72" i="92"/>
  <c r="T71" i="92"/>
  <c r="X71" i="92" s="1"/>
  <c r="P71" i="92"/>
  <c r="H71" i="92"/>
  <c r="D71" i="92"/>
  <c r="B71" i="92"/>
  <c r="X70" i="92"/>
  <c r="Z70" i="92" s="1"/>
  <c r="L70" i="92"/>
  <c r="N70" i="92" s="1"/>
  <c r="B70" i="92"/>
  <c r="Z69" i="92"/>
  <c r="X69" i="92"/>
  <c r="N69" i="92"/>
  <c r="L69" i="92"/>
  <c r="B69" i="92"/>
  <c r="X68" i="92"/>
  <c r="Z68" i="92" s="1"/>
  <c r="L68" i="92"/>
  <c r="N68" i="92" s="1"/>
  <c r="B68" i="92"/>
  <c r="T67" i="92"/>
  <c r="P67" i="92"/>
  <c r="X67" i="92" s="1"/>
  <c r="N67" i="92"/>
  <c r="J67" i="92"/>
  <c r="H67" i="92"/>
  <c r="D67" i="92"/>
  <c r="L67" i="92" s="1"/>
  <c r="B67" i="92"/>
  <c r="Z66" i="92"/>
  <c r="X66" i="92"/>
  <c r="N66" i="92"/>
  <c r="L66" i="92"/>
  <c r="F66" i="92"/>
  <c r="B66" i="92"/>
  <c r="Z65" i="92"/>
  <c r="T65" i="92"/>
  <c r="P65" i="92"/>
  <c r="X65" i="92" s="1"/>
  <c r="N65" i="92"/>
  <c r="H65" i="92"/>
  <c r="D65" i="92"/>
  <c r="L65" i="92" s="1"/>
  <c r="B65" i="92"/>
  <c r="Z64" i="92"/>
  <c r="X64" i="92"/>
  <c r="L64" i="92"/>
  <c r="N64" i="92" s="1"/>
  <c r="B64" i="92"/>
  <c r="T63" i="92"/>
  <c r="P63" i="92"/>
  <c r="H63" i="92"/>
  <c r="L63" i="92" s="1"/>
  <c r="N63" i="92" s="1"/>
  <c r="D63" i="92"/>
  <c r="B63" i="92"/>
  <c r="X62" i="92"/>
  <c r="Z62" i="92" s="1"/>
  <c r="L62" i="92"/>
  <c r="N62" i="92" s="1"/>
  <c r="J62" i="92"/>
  <c r="F62" i="92"/>
  <c r="B62" i="92"/>
  <c r="Z61" i="92"/>
  <c r="X61" i="92"/>
  <c r="N61" i="92"/>
  <c r="L61" i="92"/>
  <c r="B61" i="92"/>
  <c r="X60" i="92"/>
  <c r="Z60" i="92" s="1"/>
  <c r="V60" i="92"/>
  <c r="R60" i="92"/>
  <c r="L60" i="92"/>
  <c r="N60" i="92" s="1"/>
  <c r="B60" i="92"/>
  <c r="X59" i="92"/>
  <c r="Z59" i="92" s="1"/>
  <c r="N59" i="92"/>
  <c r="L59" i="92"/>
  <c r="F59" i="92"/>
  <c r="B59" i="92"/>
  <c r="X58" i="92"/>
  <c r="Z58" i="92" s="1"/>
  <c r="L58" i="92"/>
  <c r="N58" i="92" s="1"/>
  <c r="J58" i="92"/>
  <c r="B58" i="92"/>
  <c r="T57" i="92"/>
  <c r="R57" i="92"/>
  <c r="P57" i="92"/>
  <c r="H57" i="92"/>
  <c r="D57" i="92"/>
  <c r="B57" i="92"/>
  <c r="X56" i="92"/>
  <c r="Z56" i="92" s="1"/>
  <c r="V56" i="92"/>
  <c r="R56" i="92"/>
  <c r="L56" i="92"/>
  <c r="N56" i="92" s="1"/>
  <c r="B56" i="92"/>
  <c r="Z55" i="92"/>
  <c r="X55" i="92"/>
  <c r="L55" i="92"/>
  <c r="N55" i="92" s="1"/>
  <c r="J55" i="92"/>
  <c r="B55" i="92"/>
  <c r="X54" i="92"/>
  <c r="Z54" i="92" s="1"/>
  <c r="L54" i="92"/>
  <c r="N54" i="92" s="1"/>
  <c r="B54" i="92"/>
  <c r="Z53" i="92"/>
  <c r="X53" i="92"/>
  <c r="L53" i="92"/>
  <c r="N53" i="92" s="1"/>
  <c r="B53" i="92"/>
  <c r="X52" i="92"/>
  <c r="Z52" i="92" s="1"/>
  <c r="V52" i="92"/>
  <c r="R52" i="92"/>
  <c r="L52" i="92"/>
  <c r="N52" i="92" s="1"/>
  <c r="B52" i="92"/>
  <c r="T51" i="92"/>
  <c r="P51" i="92"/>
  <c r="X51" i="92" s="1"/>
  <c r="Z51" i="92" s="1"/>
  <c r="N51" i="92"/>
  <c r="H51" i="92"/>
  <c r="D51" i="92"/>
  <c r="L51" i="92" s="1"/>
  <c r="B51" i="92"/>
  <c r="X50" i="92"/>
  <c r="Z50" i="92" s="1"/>
  <c r="N50" i="92"/>
  <c r="L50" i="92"/>
  <c r="B50" i="92"/>
  <c r="X49" i="92"/>
  <c r="Z49" i="92" s="1"/>
  <c r="N49" i="92"/>
  <c r="L49" i="92"/>
  <c r="F49" i="92"/>
  <c r="B49" i="92"/>
  <c r="T48" i="92"/>
  <c r="P48" i="92"/>
  <c r="X48" i="92" s="1"/>
  <c r="H48" i="92"/>
  <c r="F48" i="92"/>
  <c r="D48" i="92"/>
  <c r="L48" i="92" s="1"/>
  <c r="B48" i="92"/>
  <c r="X47" i="92"/>
  <c r="Z47" i="92" s="1"/>
  <c r="N47" i="92"/>
  <c r="L47" i="92"/>
  <c r="B47" i="92"/>
  <c r="Z46" i="92"/>
  <c r="X46" i="92"/>
  <c r="T46" i="92"/>
  <c r="P46" i="92"/>
  <c r="H46" i="92"/>
  <c r="D46" i="92"/>
  <c r="L46" i="92" s="1"/>
  <c r="N46" i="92" s="1"/>
  <c r="B46" i="92"/>
  <c r="Z45" i="92"/>
  <c r="X45" i="92"/>
  <c r="L45" i="92"/>
  <c r="N45" i="92" s="1"/>
  <c r="B45" i="92"/>
  <c r="V44" i="92"/>
  <c r="T44" i="92"/>
  <c r="P44" i="92"/>
  <c r="J44" i="92"/>
  <c r="H44" i="92"/>
  <c r="D44" i="92"/>
  <c r="L44" i="92" s="1"/>
  <c r="N44" i="92" s="1"/>
  <c r="B44" i="92"/>
  <c r="Z43" i="92"/>
  <c r="X43" i="92"/>
  <c r="V43" i="92"/>
  <c r="N43" i="92"/>
  <c r="L43" i="92"/>
  <c r="B43" i="92"/>
  <c r="T42" i="92"/>
  <c r="Z42" i="92" s="1"/>
  <c r="R42" i="92"/>
  <c r="P42" i="92"/>
  <c r="X42" i="92" s="1"/>
  <c r="H42" i="92"/>
  <c r="N42" i="92" s="1"/>
  <c r="D42" i="92"/>
  <c r="L42" i="92" s="1"/>
  <c r="B42" i="92"/>
  <c r="Z41" i="92"/>
  <c r="X41" i="92"/>
  <c r="R41" i="92"/>
  <c r="N41" i="92"/>
  <c r="L41" i="92"/>
  <c r="B41" i="92"/>
  <c r="Z40" i="92"/>
  <c r="X40" i="92"/>
  <c r="L40" i="92"/>
  <c r="N40" i="92" s="1"/>
  <c r="J40" i="92"/>
  <c r="F40" i="92"/>
  <c r="B40" i="92"/>
  <c r="X39" i="92"/>
  <c r="Z39" i="92" s="1"/>
  <c r="R39" i="92"/>
  <c r="N39" i="92"/>
  <c r="L39" i="92"/>
  <c r="B39" i="92"/>
  <c r="X38" i="92"/>
  <c r="Z38" i="92" s="1"/>
  <c r="T38" i="92"/>
  <c r="P38" i="92"/>
  <c r="H38" i="92"/>
  <c r="D38" i="92"/>
  <c r="L38" i="92" s="1"/>
  <c r="N38" i="92" s="1"/>
  <c r="B38" i="92"/>
  <c r="Z37" i="92"/>
  <c r="X37" i="92"/>
  <c r="L37" i="92"/>
  <c r="N37" i="92" s="1"/>
  <c r="B37" i="92"/>
  <c r="V36" i="92"/>
  <c r="T36" i="92"/>
  <c r="P36" i="92"/>
  <c r="L36" i="92"/>
  <c r="J36" i="92"/>
  <c r="H36" i="92"/>
  <c r="N36" i="92" s="1"/>
  <c r="D36" i="92"/>
  <c r="B36" i="92"/>
  <c r="X35" i="92"/>
  <c r="Z35" i="92" s="1"/>
  <c r="V35" i="92"/>
  <c r="L35" i="92"/>
  <c r="N35" i="92" s="1"/>
  <c r="J35" i="92"/>
  <c r="B35" i="92"/>
  <c r="Z34" i="92"/>
  <c r="X34" i="92"/>
  <c r="N34" i="92"/>
  <c r="L34" i="92"/>
  <c r="B34" i="92"/>
  <c r="X33" i="92"/>
  <c r="Z33" i="92" s="1"/>
  <c r="N33" i="92"/>
  <c r="L33" i="92"/>
  <c r="J33" i="92"/>
  <c r="F33" i="92"/>
  <c r="B33" i="92"/>
  <c r="X32" i="92"/>
  <c r="Z32" i="92" s="1"/>
  <c r="N32" i="92"/>
  <c r="L32" i="92"/>
  <c r="B32" i="92"/>
  <c r="X31" i="92"/>
  <c r="Z31" i="92" s="1"/>
  <c r="V31" i="92"/>
  <c r="L31" i="92"/>
  <c r="N31" i="92" s="1"/>
  <c r="J31" i="92"/>
  <c r="F31" i="92"/>
  <c r="B31" i="92"/>
  <c r="X30" i="92"/>
  <c r="Z30" i="92" s="1"/>
  <c r="N30" i="92"/>
  <c r="L30" i="92"/>
  <c r="B30" i="92"/>
  <c r="X29" i="92"/>
  <c r="Z29" i="92" s="1"/>
  <c r="T29" i="92"/>
  <c r="P29" i="92"/>
  <c r="L29" i="92"/>
  <c r="N29" i="92" s="1"/>
  <c r="J29" i="92"/>
  <c r="H29" i="92"/>
  <c r="D29" i="92"/>
  <c r="B29" i="92"/>
  <c r="Z28" i="92"/>
  <c r="X28" i="92"/>
  <c r="L28" i="92"/>
  <c r="N28" i="92" s="1"/>
  <c r="J28" i="92"/>
  <c r="F28" i="92"/>
  <c r="B28" i="92"/>
  <c r="X27" i="92"/>
  <c r="Z27" i="92" s="1"/>
  <c r="R27" i="92"/>
  <c r="N27" i="92"/>
  <c r="L27" i="92"/>
  <c r="J27" i="92"/>
  <c r="B27" i="92"/>
  <c r="X26" i="92"/>
  <c r="Z26" i="92" s="1"/>
  <c r="L26" i="92"/>
  <c r="N26" i="92" s="1"/>
  <c r="J26" i="92"/>
  <c r="B26" i="92"/>
  <c r="Z25" i="92"/>
  <c r="X25" i="92"/>
  <c r="R25" i="92"/>
  <c r="N25" i="92"/>
  <c r="L25" i="92"/>
  <c r="B25" i="92"/>
  <c r="Z24" i="92"/>
  <c r="X24" i="92"/>
  <c r="L24" i="92"/>
  <c r="N24" i="92" s="1"/>
  <c r="J24" i="92"/>
  <c r="F24" i="92"/>
  <c r="B24" i="92"/>
  <c r="X23" i="92"/>
  <c r="Z23" i="92" s="1"/>
  <c r="R23" i="92"/>
  <c r="N23" i="92"/>
  <c r="L23" i="92"/>
  <c r="J23" i="92"/>
  <c r="B23" i="92"/>
  <c r="X22" i="92"/>
  <c r="Z22" i="92" s="1"/>
  <c r="L22" i="92"/>
  <c r="N22" i="92" s="1"/>
  <c r="J22" i="92"/>
  <c r="B22" i="92"/>
  <c r="Z21" i="92"/>
  <c r="X21" i="92"/>
  <c r="R21" i="92"/>
  <c r="N21" i="92"/>
  <c r="L21" i="92"/>
  <c r="B21" i="92"/>
  <c r="Z20" i="92"/>
  <c r="X20" i="92"/>
  <c r="L20" i="92"/>
  <c r="N20" i="92" s="1"/>
  <c r="J20" i="92"/>
  <c r="F20" i="92"/>
  <c r="B20" i="92"/>
  <c r="T19" i="92"/>
  <c r="Z19" i="92" s="1"/>
  <c r="P19" i="92"/>
  <c r="X19" i="92" s="1"/>
  <c r="J19" i="92"/>
  <c r="H19" i="92"/>
  <c r="F19" i="92"/>
  <c r="D19" i="92"/>
  <c r="B19" i="92"/>
  <c r="X18" i="92"/>
  <c r="T18" i="92"/>
  <c r="Z18" i="92" s="1"/>
  <c r="P18" i="92"/>
  <c r="J18" i="92"/>
  <c r="H18" i="92"/>
  <c r="D18" i="92"/>
  <c r="J16" i="92"/>
  <c r="H16" i="92"/>
  <c r="X14" i="92"/>
  <c r="T14" i="92"/>
  <c r="Z14" i="92" s="1"/>
  <c r="P14" i="92"/>
  <c r="P16" i="92" s="1"/>
  <c r="J14" i="92"/>
  <c r="H14" i="92"/>
  <c r="D14" i="92"/>
  <c r="T12" i="92"/>
  <c r="V59" i="92" s="1"/>
  <c r="P12" i="92"/>
  <c r="R59" i="92" s="1"/>
  <c r="N12" i="92"/>
  <c r="H12" i="92"/>
  <c r="J76" i="92" s="1"/>
  <c r="D12" i="92"/>
  <c r="D6" i="92"/>
  <c r="D4" i="92"/>
  <c r="F60" i="89"/>
  <c r="F57" i="89"/>
  <c r="Z55" i="89"/>
  <c r="X55" i="89"/>
  <c r="N55" i="89"/>
  <c r="L55" i="89"/>
  <c r="V51" i="89"/>
  <c r="T51" i="89"/>
  <c r="P51" i="89"/>
  <c r="L51" i="89"/>
  <c r="H51" i="89"/>
  <c r="N51" i="89" s="1"/>
  <c r="D51" i="89"/>
  <c r="Z49" i="89"/>
  <c r="X49" i="89"/>
  <c r="R49" i="89"/>
  <c r="N49" i="89"/>
  <c r="L49" i="89"/>
  <c r="B49" i="89"/>
  <c r="Z48" i="89"/>
  <c r="T48" i="89"/>
  <c r="P48" i="89"/>
  <c r="X48" i="89" s="1"/>
  <c r="N48" i="89"/>
  <c r="H48" i="89"/>
  <c r="D48" i="89"/>
  <c r="L48" i="89" s="1"/>
  <c r="B48" i="89"/>
  <c r="X47" i="89"/>
  <c r="Z47" i="89" s="1"/>
  <c r="L47" i="89"/>
  <c r="N47" i="89" s="1"/>
  <c r="B47" i="89"/>
  <c r="X46" i="89"/>
  <c r="Z46" i="89" s="1"/>
  <c r="T46" i="89"/>
  <c r="P46" i="89"/>
  <c r="L46" i="89"/>
  <c r="N46" i="89" s="1"/>
  <c r="H46" i="89"/>
  <c r="D46" i="89"/>
  <c r="B46" i="89"/>
  <c r="Z45" i="89"/>
  <c r="X45" i="89"/>
  <c r="L45" i="89"/>
  <c r="N45" i="89" s="1"/>
  <c r="F45" i="89"/>
  <c r="B45" i="89"/>
  <c r="X44" i="89"/>
  <c r="Z44" i="89" s="1"/>
  <c r="R44" i="89"/>
  <c r="N44" i="89"/>
  <c r="L44" i="89"/>
  <c r="B44" i="89"/>
  <c r="Z43" i="89"/>
  <c r="X43" i="89"/>
  <c r="L43" i="89"/>
  <c r="N43" i="89" s="1"/>
  <c r="B43" i="89"/>
  <c r="T42" i="89"/>
  <c r="R42" i="89"/>
  <c r="P42" i="89"/>
  <c r="X42" i="89" s="1"/>
  <c r="H42" i="89"/>
  <c r="D42" i="89"/>
  <c r="L42" i="89" s="1"/>
  <c r="B42" i="89"/>
  <c r="Z41" i="89"/>
  <c r="X41" i="89"/>
  <c r="V41" i="89"/>
  <c r="R41" i="89"/>
  <c r="N41" i="89"/>
  <c r="L41" i="89"/>
  <c r="B41" i="89"/>
  <c r="Z40" i="89"/>
  <c r="T40" i="89"/>
  <c r="P40" i="89"/>
  <c r="X40" i="89" s="1"/>
  <c r="N40" i="89"/>
  <c r="H40" i="89"/>
  <c r="D40" i="89"/>
  <c r="L40" i="89" s="1"/>
  <c r="B40" i="89"/>
  <c r="X39" i="89"/>
  <c r="Z39" i="89" s="1"/>
  <c r="L39" i="89"/>
  <c r="N39" i="89" s="1"/>
  <c r="B39" i="89"/>
  <c r="X38" i="89"/>
  <c r="Z38" i="89" s="1"/>
  <c r="T38" i="89"/>
  <c r="P38" i="89"/>
  <c r="L38" i="89"/>
  <c r="N38" i="89" s="1"/>
  <c r="H38" i="89"/>
  <c r="D38" i="89"/>
  <c r="B38" i="89"/>
  <c r="Z37" i="89"/>
  <c r="X37" i="89"/>
  <c r="L37" i="89"/>
  <c r="N37" i="89" s="1"/>
  <c r="F37" i="89"/>
  <c r="B37" i="89"/>
  <c r="T36" i="89"/>
  <c r="Z36" i="89" s="1"/>
  <c r="P36" i="89"/>
  <c r="X36" i="89" s="1"/>
  <c r="H36" i="89"/>
  <c r="F36" i="89"/>
  <c r="D36" i="89"/>
  <c r="L36" i="89" s="1"/>
  <c r="B36" i="89"/>
  <c r="X35" i="89"/>
  <c r="Z35" i="89" s="1"/>
  <c r="L35" i="89"/>
  <c r="N35" i="89" s="1"/>
  <c r="B35" i="89"/>
  <c r="T34" i="89"/>
  <c r="P34" i="89"/>
  <c r="X34" i="89" s="1"/>
  <c r="Z34" i="89" s="1"/>
  <c r="H34" i="89"/>
  <c r="F34" i="89"/>
  <c r="D34" i="89"/>
  <c r="L34" i="89" s="1"/>
  <c r="N34" i="89" s="1"/>
  <c r="B34" i="89"/>
  <c r="Z33" i="89"/>
  <c r="X33" i="89"/>
  <c r="N33" i="89"/>
  <c r="L33" i="89"/>
  <c r="B33" i="89"/>
  <c r="Z32" i="89"/>
  <c r="X32" i="89"/>
  <c r="V32" i="89"/>
  <c r="N32" i="89"/>
  <c r="L32" i="89"/>
  <c r="F32" i="89"/>
  <c r="B32" i="89"/>
  <c r="X31" i="89"/>
  <c r="Z31" i="89" s="1"/>
  <c r="L31" i="89"/>
  <c r="N31" i="89" s="1"/>
  <c r="B31" i="89"/>
  <c r="X30" i="89"/>
  <c r="Z30" i="89" s="1"/>
  <c r="T30" i="89"/>
  <c r="P30" i="89"/>
  <c r="L30" i="89"/>
  <c r="N30" i="89" s="1"/>
  <c r="H30" i="89"/>
  <c r="F30" i="89"/>
  <c r="D30" i="89"/>
  <c r="B30" i="89"/>
  <c r="Z29" i="89"/>
  <c r="X29" i="89"/>
  <c r="L29" i="89"/>
  <c r="N29" i="89" s="1"/>
  <c r="F29" i="89"/>
  <c r="B29" i="89"/>
  <c r="Z28" i="89"/>
  <c r="X28" i="89"/>
  <c r="R28" i="89"/>
  <c r="N28" i="89"/>
  <c r="L28" i="89"/>
  <c r="B28" i="89"/>
  <c r="X27" i="89"/>
  <c r="Z27" i="89" s="1"/>
  <c r="R27" i="89"/>
  <c r="L27" i="89"/>
  <c r="N27" i="89" s="1"/>
  <c r="B27" i="89"/>
  <c r="Z26" i="89"/>
  <c r="X26" i="89"/>
  <c r="R26" i="89"/>
  <c r="N26" i="89"/>
  <c r="L26" i="89"/>
  <c r="B26" i="89"/>
  <c r="Z25" i="89"/>
  <c r="X25" i="89"/>
  <c r="L25" i="89"/>
  <c r="N25" i="89" s="1"/>
  <c r="F25" i="89"/>
  <c r="B25" i="89"/>
  <c r="Z24" i="89"/>
  <c r="X24" i="89"/>
  <c r="R24" i="89"/>
  <c r="N24" i="89"/>
  <c r="L24" i="89"/>
  <c r="B24" i="89"/>
  <c r="X23" i="89"/>
  <c r="Z23" i="89" s="1"/>
  <c r="R23" i="89"/>
  <c r="L23" i="89"/>
  <c r="N23" i="89" s="1"/>
  <c r="F23" i="89"/>
  <c r="B23" i="89"/>
  <c r="Z22" i="89"/>
  <c r="X22" i="89"/>
  <c r="R22" i="89"/>
  <c r="N22" i="89"/>
  <c r="L22" i="89"/>
  <c r="B22" i="89"/>
  <c r="T21" i="89"/>
  <c r="P21" i="89"/>
  <c r="X21" i="89" s="1"/>
  <c r="Z21" i="89" s="1"/>
  <c r="L21" i="89"/>
  <c r="H21" i="89"/>
  <c r="N21" i="89" s="1"/>
  <c r="D21" i="89"/>
  <c r="B21" i="89"/>
  <c r="T20" i="89"/>
  <c r="R20" i="89"/>
  <c r="P20" i="89"/>
  <c r="X20" i="89" s="1"/>
  <c r="Z20" i="89" s="1"/>
  <c r="N20" i="89"/>
  <c r="H20" i="89"/>
  <c r="F20" i="89"/>
  <c r="D20" i="89"/>
  <c r="L20" i="89" s="1"/>
  <c r="R18" i="89"/>
  <c r="P18" i="89"/>
  <c r="F18" i="89"/>
  <c r="Z16" i="89"/>
  <c r="X16" i="89"/>
  <c r="L16" i="89"/>
  <c r="N16" i="89" s="1"/>
  <c r="B16" i="89"/>
  <c r="X15" i="89"/>
  <c r="Z15" i="89" s="1"/>
  <c r="R15" i="89"/>
  <c r="L15" i="89"/>
  <c r="N15" i="89" s="1"/>
  <c r="F15" i="89"/>
  <c r="B15" i="89"/>
  <c r="Z14" i="89"/>
  <c r="V14" i="89"/>
  <c r="T14" i="89"/>
  <c r="R14" i="89"/>
  <c r="P14" i="89"/>
  <c r="X14" i="89" s="1"/>
  <c r="H14" i="89"/>
  <c r="F14" i="89"/>
  <c r="D14" i="89"/>
  <c r="L14" i="89" s="1"/>
  <c r="N14" i="89" s="1"/>
  <c r="Z12" i="89"/>
  <c r="T12" i="89"/>
  <c r="P12" i="89"/>
  <c r="R53" i="89" s="1"/>
  <c r="H12" i="89"/>
  <c r="D12" i="89"/>
  <c r="F16" i="89" s="1"/>
  <c r="D6" i="89"/>
  <c r="D4" i="89"/>
  <c r="Z78" i="88"/>
  <c r="X78" i="88"/>
  <c r="N78" i="88"/>
  <c r="L78" i="88"/>
  <c r="Z74" i="88"/>
  <c r="T74" i="88"/>
  <c r="P74" i="88"/>
  <c r="X74" i="88" s="1"/>
  <c r="N74" i="88"/>
  <c r="H74" i="88"/>
  <c r="D74" i="88"/>
  <c r="L74" i="88" s="1"/>
  <c r="Z72" i="88"/>
  <c r="X72" i="88"/>
  <c r="L72" i="88"/>
  <c r="N72" i="88" s="1"/>
  <c r="B72" i="88"/>
  <c r="T71" i="88"/>
  <c r="P71" i="88"/>
  <c r="H71" i="88"/>
  <c r="D71" i="88"/>
  <c r="B71" i="88"/>
  <c r="Z70" i="88"/>
  <c r="X70" i="88"/>
  <c r="N70" i="88"/>
  <c r="L70" i="88"/>
  <c r="B70" i="88"/>
  <c r="T69" i="88"/>
  <c r="Z69" i="88" s="1"/>
  <c r="P69" i="88"/>
  <c r="X69" i="88" s="1"/>
  <c r="H69" i="88"/>
  <c r="N69" i="88" s="1"/>
  <c r="D69" i="88"/>
  <c r="L69" i="88" s="1"/>
  <c r="B69" i="88"/>
  <c r="Z68" i="88"/>
  <c r="X68" i="88"/>
  <c r="N68" i="88"/>
  <c r="L68" i="88"/>
  <c r="B68" i="88"/>
  <c r="T67" i="88"/>
  <c r="P67" i="88"/>
  <c r="L67" i="88"/>
  <c r="N67" i="88" s="1"/>
  <c r="H67" i="88"/>
  <c r="D67" i="88"/>
  <c r="B67" i="88"/>
  <c r="Z66" i="88"/>
  <c r="X66" i="88"/>
  <c r="N66" i="88"/>
  <c r="L66" i="88"/>
  <c r="B66" i="88"/>
  <c r="Z65" i="88"/>
  <c r="X65" i="88"/>
  <c r="N65" i="88"/>
  <c r="L65" i="88"/>
  <c r="B65" i="88"/>
  <c r="Z64" i="88"/>
  <c r="X64" i="88"/>
  <c r="L64" i="88"/>
  <c r="N64" i="88" s="1"/>
  <c r="B64" i="88"/>
  <c r="Z63" i="88"/>
  <c r="X63" i="88"/>
  <c r="N63" i="88"/>
  <c r="L63" i="88"/>
  <c r="B63" i="88"/>
  <c r="Z62" i="88"/>
  <c r="X62" i="88"/>
  <c r="N62" i="88"/>
  <c r="L62" i="88"/>
  <c r="B62" i="88"/>
  <c r="T61" i="88"/>
  <c r="P61" i="88"/>
  <c r="X61" i="88" s="1"/>
  <c r="H61" i="88"/>
  <c r="D61" i="88"/>
  <c r="B61" i="88"/>
  <c r="X60" i="88"/>
  <c r="Z60" i="88" s="1"/>
  <c r="N60" i="88"/>
  <c r="L60" i="88"/>
  <c r="B60" i="88"/>
  <c r="T59" i="88"/>
  <c r="Z59" i="88" s="1"/>
  <c r="P59" i="88"/>
  <c r="X59" i="88" s="1"/>
  <c r="H59" i="88"/>
  <c r="D59" i="88"/>
  <c r="L59" i="88" s="1"/>
  <c r="B59" i="88"/>
  <c r="Z58" i="88"/>
  <c r="X58" i="88"/>
  <c r="N58" i="88"/>
  <c r="L58" i="88"/>
  <c r="B58" i="88"/>
  <c r="Z57" i="88"/>
  <c r="X57" i="88"/>
  <c r="L57" i="88"/>
  <c r="N57" i="88" s="1"/>
  <c r="B57" i="88"/>
  <c r="Z56" i="88"/>
  <c r="X56" i="88"/>
  <c r="N56" i="88"/>
  <c r="L56" i="88"/>
  <c r="B56" i="88"/>
  <c r="T55" i="88"/>
  <c r="P55" i="88"/>
  <c r="X55" i="88" s="1"/>
  <c r="N55" i="88"/>
  <c r="L55" i="88"/>
  <c r="H55" i="88"/>
  <c r="D55" i="88"/>
  <c r="B55" i="88"/>
  <c r="Z54" i="88"/>
  <c r="X54" i="88"/>
  <c r="N54" i="88"/>
  <c r="L54" i="88"/>
  <c r="B54" i="88"/>
  <c r="T53" i="88"/>
  <c r="Z53" i="88" s="1"/>
  <c r="P53" i="88"/>
  <c r="J53" i="88"/>
  <c r="H53" i="88"/>
  <c r="D53" i="88"/>
  <c r="B53" i="88"/>
  <c r="Z52" i="88"/>
  <c r="X52" i="88"/>
  <c r="N52" i="88"/>
  <c r="L52" i="88"/>
  <c r="B52" i="88"/>
  <c r="X51" i="88"/>
  <c r="Z51" i="88" s="1"/>
  <c r="L51" i="88"/>
  <c r="N51" i="88" s="1"/>
  <c r="B51" i="88"/>
  <c r="Z50" i="88"/>
  <c r="X50" i="88"/>
  <c r="T50" i="88"/>
  <c r="P50" i="88"/>
  <c r="L50" i="88"/>
  <c r="N50" i="88" s="1"/>
  <c r="H50" i="88"/>
  <c r="D50" i="88"/>
  <c r="B50" i="88"/>
  <c r="Z49" i="88"/>
  <c r="X49" i="88"/>
  <c r="L49" i="88"/>
  <c r="N49" i="88" s="1"/>
  <c r="B49" i="88"/>
  <c r="T48" i="88"/>
  <c r="P48" i="88"/>
  <c r="H48" i="88"/>
  <c r="N48" i="88" s="1"/>
  <c r="D48" i="88"/>
  <c r="L48" i="88" s="1"/>
  <c r="B48" i="88"/>
  <c r="X47" i="88"/>
  <c r="Z47" i="88" s="1"/>
  <c r="L47" i="88"/>
  <c r="N47" i="88" s="1"/>
  <c r="F47" i="88"/>
  <c r="B47" i="88"/>
  <c r="T46" i="88"/>
  <c r="P46" i="88"/>
  <c r="X46" i="88" s="1"/>
  <c r="Z46" i="88" s="1"/>
  <c r="H46" i="88"/>
  <c r="D46" i="88"/>
  <c r="L46" i="88" s="1"/>
  <c r="N46" i="88" s="1"/>
  <c r="B46" i="88"/>
  <c r="X45" i="88"/>
  <c r="Z45" i="88" s="1"/>
  <c r="N45" i="88"/>
  <c r="L45" i="88"/>
  <c r="B45" i="88"/>
  <c r="Z44" i="88"/>
  <c r="X44" i="88"/>
  <c r="T44" i="88"/>
  <c r="P44" i="88"/>
  <c r="N44" i="88"/>
  <c r="L44" i="88"/>
  <c r="H44" i="88"/>
  <c r="D44" i="88"/>
  <c r="B44" i="88"/>
  <c r="X43" i="88"/>
  <c r="Z43" i="88" s="1"/>
  <c r="L43" i="88"/>
  <c r="N43" i="88" s="1"/>
  <c r="B43" i="88"/>
  <c r="Z42" i="88"/>
  <c r="X42" i="88"/>
  <c r="N42" i="88"/>
  <c r="L42" i="88"/>
  <c r="B42" i="88"/>
  <c r="Z41" i="88"/>
  <c r="X41" i="88"/>
  <c r="T41" i="88"/>
  <c r="P41" i="88"/>
  <c r="H41" i="88"/>
  <c r="N41" i="88" s="1"/>
  <c r="D41" i="88"/>
  <c r="L41" i="88" s="1"/>
  <c r="B41" i="88"/>
  <c r="Z40" i="88"/>
  <c r="X40" i="88"/>
  <c r="L40" i="88"/>
  <c r="N40" i="88" s="1"/>
  <c r="B40" i="88"/>
  <c r="T39" i="88"/>
  <c r="P39" i="88"/>
  <c r="X39" i="88" s="1"/>
  <c r="H39" i="88"/>
  <c r="D39" i="88"/>
  <c r="L39" i="88" s="1"/>
  <c r="B39" i="88"/>
  <c r="Z38" i="88"/>
  <c r="X38" i="88"/>
  <c r="N38" i="88"/>
  <c r="L38" i="88"/>
  <c r="B38" i="88"/>
  <c r="T37" i="88"/>
  <c r="Z37" i="88" s="1"/>
  <c r="P37" i="88"/>
  <c r="X37" i="88" s="1"/>
  <c r="L37" i="88"/>
  <c r="H37" i="88"/>
  <c r="N37" i="88" s="1"/>
  <c r="D37" i="88"/>
  <c r="B37" i="88"/>
  <c r="Z36" i="88"/>
  <c r="X36" i="88"/>
  <c r="N36" i="88"/>
  <c r="L36" i="88"/>
  <c r="B36" i="88"/>
  <c r="T35" i="88"/>
  <c r="Z35" i="88" s="1"/>
  <c r="P35" i="88"/>
  <c r="X35" i="88" s="1"/>
  <c r="N35" i="88"/>
  <c r="L35" i="88"/>
  <c r="H35" i="88"/>
  <c r="D35" i="88"/>
  <c r="B35" i="88"/>
  <c r="Z34" i="88"/>
  <c r="X34" i="88"/>
  <c r="L34" i="88"/>
  <c r="N34" i="88" s="1"/>
  <c r="B34" i="88"/>
  <c r="X33" i="88"/>
  <c r="Z33" i="88" s="1"/>
  <c r="N33" i="88"/>
  <c r="L33" i="88"/>
  <c r="F33" i="88"/>
  <c r="B33" i="88"/>
  <c r="T32" i="88"/>
  <c r="P32" i="88"/>
  <c r="X32" i="88" s="1"/>
  <c r="Z32" i="88" s="1"/>
  <c r="L32" i="88"/>
  <c r="N32" i="88" s="1"/>
  <c r="H32" i="88"/>
  <c r="D32" i="88"/>
  <c r="B32" i="88"/>
  <c r="Z31" i="88"/>
  <c r="X31" i="88"/>
  <c r="N31" i="88"/>
  <c r="L31" i="88"/>
  <c r="F31" i="88"/>
  <c r="B31" i="88"/>
  <c r="Z30" i="88"/>
  <c r="X30" i="88"/>
  <c r="L30" i="88"/>
  <c r="N30" i="88" s="1"/>
  <c r="B30" i="88"/>
  <c r="X29" i="88"/>
  <c r="Z29" i="88" s="1"/>
  <c r="N29" i="88"/>
  <c r="L29" i="88"/>
  <c r="B29" i="88"/>
  <c r="Z28" i="88"/>
  <c r="X28" i="88"/>
  <c r="L28" i="88"/>
  <c r="N28" i="88" s="1"/>
  <c r="B28" i="88"/>
  <c r="Z27" i="88"/>
  <c r="X27" i="88"/>
  <c r="N27" i="88"/>
  <c r="L27" i="88"/>
  <c r="F27" i="88"/>
  <c r="B27" i="88"/>
  <c r="Z26" i="88"/>
  <c r="X26" i="88"/>
  <c r="L26" i="88"/>
  <c r="N26" i="88" s="1"/>
  <c r="B26" i="88"/>
  <c r="X25" i="88"/>
  <c r="Z25" i="88" s="1"/>
  <c r="L25" i="88"/>
  <c r="N25" i="88" s="1"/>
  <c r="B25" i="88"/>
  <c r="Z24" i="88"/>
  <c r="X24" i="88"/>
  <c r="L24" i="88"/>
  <c r="N24" i="88" s="1"/>
  <c r="B24" i="88"/>
  <c r="T23" i="88"/>
  <c r="Z23" i="88" s="1"/>
  <c r="P23" i="88"/>
  <c r="X23" i="88" s="1"/>
  <c r="H23" i="88"/>
  <c r="D23" i="88"/>
  <c r="B23" i="88"/>
  <c r="X22" i="88"/>
  <c r="T22" i="88"/>
  <c r="Z22" i="88" s="1"/>
  <c r="P22" i="88"/>
  <c r="L22" i="88"/>
  <c r="N22" i="88" s="1"/>
  <c r="H22" i="88"/>
  <c r="D22" i="88"/>
  <c r="J20" i="88"/>
  <c r="Z18" i="88"/>
  <c r="X18" i="88"/>
  <c r="N18" i="88"/>
  <c r="L18" i="88"/>
  <c r="B18" i="88"/>
  <c r="Z17" i="88"/>
  <c r="X17" i="88"/>
  <c r="N17" i="88"/>
  <c r="L17" i="88"/>
  <c r="B17" i="88"/>
  <c r="Z16" i="88"/>
  <c r="X16" i="88"/>
  <c r="T16" i="88"/>
  <c r="P16" i="88"/>
  <c r="L16" i="88"/>
  <c r="H16" i="88"/>
  <c r="N16" i="88" s="1"/>
  <c r="D16" i="88"/>
  <c r="T14" i="88"/>
  <c r="Z14" i="88" s="1"/>
  <c r="P14" i="88"/>
  <c r="H14" i="88"/>
  <c r="N14" i="88" s="1"/>
  <c r="D14" i="88"/>
  <c r="L14" i="88" s="1"/>
  <c r="B14" i="88"/>
  <c r="T13" i="88"/>
  <c r="T12" i="88" s="1"/>
  <c r="P13" i="88"/>
  <c r="N13" i="88"/>
  <c r="L13" i="88"/>
  <c r="H13" i="88"/>
  <c r="D13" i="88"/>
  <c r="B13" i="88"/>
  <c r="H12" i="88"/>
  <c r="J58" i="88" s="1"/>
  <c r="D12" i="88"/>
  <c r="D6" i="88"/>
  <c r="D4" i="88"/>
  <c r="X28" i="86"/>
  <c r="Z28" i="86" s="1"/>
  <c r="N28" i="86"/>
  <c r="L28" i="86"/>
  <c r="X24" i="86"/>
  <c r="T24" i="86"/>
  <c r="Z24" i="86" s="1"/>
  <c r="P24" i="86"/>
  <c r="N24" i="86"/>
  <c r="L24" i="86"/>
  <c r="H24" i="86"/>
  <c r="D24" i="86"/>
  <c r="X22" i="86"/>
  <c r="Z22" i="86" s="1"/>
  <c r="L22" i="86"/>
  <c r="N22" i="86" s="1"/>
  <c r="J22" i="86"/>
  <c r="F22" i="86"/>
  <c r="B22" i="86"/>
  <c r="T21" i="86"/>
  <c r="P21" i="86"/>
  <c r="X21" i="86" s="1"/>
  <c r="Z21" i="86" s="1"/>
  <c r="H21" i="86"/>
  <c r="D21" i="86"/>
  <c r="B21" i="86"/>
  <c r="T20" i="86"/>
  <c r="P20" i="86"/>
  <c r="X20" i="86" s="1"/>
  <c r="H20" i="86"/>
  <c r="F20" i="86"/>
  <c r="D20" i="86"/>
  <c r="J18" i="86"/>
  <c r="H18" i="86"/>
  <c r="X16" i="86"/>
  <c r="Z16" i="86" s="1"/>
  <c r="N16" i="86"/>
  <c r="L16" i="86"/>
  <c r="B16" i="86"/>
  <c r="Z15" i="86"/>
  <c r="X15" i="86"/>
  <c r="T15" i="86"/>
  <c r="P15" i="86"/>
  <c r="H15" i="86"/>
  <c r="D15" i="86"/>
  <c r="L15" i="86" s="1"/>
  <c r="N15" i="86" s="1"/>
  <c r="X13" i="86"/>
  <c r="Z13" i="86" s="1"/>
  <c r="T13" i="86"/>
  <c r="P13" i="86"/>
  <c r="H13" i="86"/>
  <c r="H12" i="86" s="1"/>
  <c r="D13" i="86"/>
  <c r="D12" i="86" s="1"/>
  <c r="B13" i="86"/>
  <c r="T12" i="86"/>
  <c r="P12" i="86"/>
  <c r="D6" i="86"/>
  <c r="D4" i="86"/>
  <c r="Z104" i="85"/>
  <c r="X104" i="85"/>
  <c r="L104" i="85"/>
  <c r="N104" i="85" s="1"/>
  <c r="T100" i="85"/>
  <c r="Z100" i="85" s="1"/>
  <c r="P100" i="85"/>
  <c r="X100" i="85" s="1"/>
  <c r="H100" i="85"/>
  <c r="D100" i="85"/>
  <c r="X98" i="85"/>
  <c r="Z98" i="85" s="1"/>
  <c r="N98" i="85"/>
  <c r="L98" i="85"/>
  <c r="B98" i="85"/>
  <c r="X97" i="85"/>
  <c r="Z97" i="85" s="1"/>
  <c r="T97" i="85"/>
  <c r="P97" i="85"/>
  <c r="H97" i="85"/>
  <c r="D97" i="85"/>
  <c r="L97" i="85" s="1"/>
  <c r="N97" i="85" s="1"/>
  <c r="B97" i="85"/>
  <c r="Z96" i="85"/>
  <c r="X96" i="85"/>
  <c r="L96" i="85"/>
  <c r="N96" i="85" s="1"/>
  <c r="B96" i="85"/>
  <c r="X95" i="85"/>
  <c r="T95" i="85"/>
  <c r="P95" i="85"/>
  <c r="H95" i="85"/>
  <c r="D95" i="85"/>
  <c r="L95" i="85" s="1"/>
  <c r="B95" i="85"/>
  <c r="X94" i="85"/>
  <c r="Z94" i="85" s="1"/>
  <c r="L94" i="85"/>
  <c r="N94" i="85" s="1"/>
  <c r="B94" i="85"/>
  <c r="T93" i="85"/>
  <c r="P93" i="85"/>
  <c r="H93" i="85"/>
  <c r="D93" i="85"/>
  <c r="L93" i="85" s="1"/>
  <c r="B93" i="85"/>
  <c r="X92" i="85"/>
  <c r="Z92" i="85" s="1"/>
  <c r="N92" i="85"/>
  <c r="L92" i="85"/>
  <c r="B92" i="85"/>
  <c r="Z91" i="85"/>
  <c r="X91" i="85"/>
  <c r="L91" i="85"/>
  <c r="N91" i="85" s="1"/>
  <c r="B91" i="85"/>
  <c r="X90" i="85"/>
  <c r="Z90" i="85" s="1"/>
  <c r="N90" i="85"/>
  <c r="L90" i="85"/>
  <c r="B90" i="85"/>
  <c r="Z89" i="85"/>
  <c r="X89" i="85"/>
  <c r="N89" i="85"/>
  <c r="L89" i="85"/>
  <c r="B89" i="85"/>
  <c r="T88" i="85"/>
  <c r="P88" i="85"/>
  <c r="H88" i="85"/>
  <c r="D88" i="85"/>
  <c r="B88" i="85"/>
  <c r="X87" i="85"/>
  <c r="Z87" i="85" s="1"/>
  <c r="N87" i="85"/>
  <c r="L87" i="85"/>
  <c r="B87" i="85"/>
  <c r="T86" i="85"/>
  <c r="P86" i="85"/>
  <c r="X86" i="85" s="1"/>
  <c r="Z86" i="85" s="1"/>
  <c r="N86" i="85"/>
  <c r="H86" i="85"/>
  <c r="D86" i="85"/>
  <c r="L86" i="85" s="1"/>
  <c r="B86" i="85"/>
  <c r="Z85" i="85"/>
  <c r="X85" i="85"/>
  <c r="N85" i="85"/>
  <c r="L85" i="85"/>
  <c r="B85" i="85"/>
  <c r="X84" i="85"/>
  <c r="Z84" i="85" s="1"/>
  <c r="L84" i="85"/>
  <c r="N84" i="85" s="1"/>
  <c r="B84" i="85"/>
  <c r="Z83" i="85"/>
  <c r="X83" i="85"/>
  <c r="N83" i="85"/>
  <c r="L83" i="85"/>
  <c r="B83" i="85"/>
  <c r="X82" i="85"/>
  <c r="Z82" i="85" s="1"/>
  <c r="T82" i="85"/>
  <c r="P82" i="85"/>
  <c r="L82" i="85"/>
  <c r="H82" i="85"/>
  <c r="N82" i="85" s="1"/>
  <c r="D82" i="85"/>
  <c r="B82" i="85"/>
  <c r="X81" i="85"/>
  <c r="Z81" i="85" s="1"/>
  <c r="N81" i="85"/>
  <c r="L81" i="85"/>
  <c r="B81" i="85"/>
  <c r="T80" i="85"/>
  <c r="P80" i="85"/>
  <c r="H80" i="85"/>
  <c r="D80" i="85"/>
  <c r="L80" i="85" s="1"/>
  <c r="B80" i="85"/>
  <c r="X79" i="85"/>
  <c r="Z79" i="85" s="1"/>
  <c r="N79" i="85"/>
  <c r="L79" i="85"/>
  <c r="B79" i="85"/>
  <c r="T78" i="85"/>
  <c r="P78" i="85"/>
  <c r="X78" i="85" s="1"/>
  <c r="Z78" i="85" s="1"/>
  <c r="H78" i="85"/>
  <c r="D78" i="85"/>
  <c r="L78" i="85" s="1"/>
  <c r="N78" i="85" s="1"/>
  <c r="B78" i="85"/>
  <c r="Z77" i="85"/>
  <c r="X77" i="85"/>
  <c r="N77" i="85"/>
  <c r="L77" i="85"/>
  <c r="B77" i="85"/>
  <c r="X76" i="85"/>
  <c r="T76" i="85"/>
  <c r="P76" i="85"/>
  <c r="L76" i="85"/>
  <c r="N76" i="85" s="1"/>
  <c r="H76" i="85"/>
  <c r="D76" i="85"/>
  <c r="B76" i="85"/>
  <c r="X75" i="85"/>
  <c r="Z75" i="85" s="1"/>
  <c r="L75" i="85"/>
  <c r="N75" i="85" s="1"/>
  <c r="B75" i="85"/>
  <c r="T74" i="85"/>
  <c r="P74" i="85"/>
  <c r="X74" i="85" s="1"/>
  <c r="H74" i="85"/>
  <c r="D74" i="85"/>
  <c r="B74" i="85"/>
  <c r="Z73" i="85"/>
  <c r="X73" i="85"/>
  <c r="N73" i="85"/>
  <c r="L73" i="85"/>
  <c r="B73" i="85"/>
  <c r="Z72" i="85"/>
  <c r="T72" i="85"/>
  <c r="P72" i="85"/>
  <c r="X72" i="85" s="1"/>
  <c r="N72" i="85"/>
  <c r="H72" i="85"/>
  <c r="F72" i="85"/>
  <c r="D72" i="85"/>
  <c r="L72" i="85" s="1"/>
  <c r="B72" i="85"/>
  <c r="Z71" i="85"/>
  <c r="X71" i="85"/>
  <c r="L71" i="85"/>
  <c r="N71" i="85" s="1"/>
  <c r="B71" i="85"/>
  <c r="Z70" i="85"/>
  <c r="X70" i="85"/>
  <c r="T70" i="85"/>
  <c r="P70" i="85"/>
  <c r="L70" i="85"/>
  <c r="H70" i="85"/>
  <c r="N70" i="85" s="1"/>
  <c r="D70" i="85"/>
  <c r="B70" i="85"/>
  <c r="X69" i="85"/>
  <c r="Z69" i="85" s="1"/>
  <c r="N69" i="85"/>
  <c r="L69" i="85"/>
  <c r="J69" i="85"/>
  <c r="B69" i="85"/>
  <c r="T68" i="85"/>
  <c r="P68" i="85"/>
  <c r="H68" i="85"/>
  <c r="D68" i="85"/>
  <c r="L68" i="85" s="1"/>
  <c r="B68" i="85"/>
  <c r="X67" i="85"/>
  <c r="Z67" i="85" s="1"/>
  <c r="N67" i="85"/>
  <c r="L67" i="85"/>
  <c r="B67" i="85"/>
  <c r="T66" i="85"/>
  <c r="Z66" i="85" s="1"/>
  <c r="P66" i="85"/>
  <c r="X66" i="85" s="1"/>
  <c r="N66" i="85"/>
  <c r="H66" i="85"/>
  <c r="D66" i="85"/>
  <c r="L66" i="85" s="1"/>
  <c r="B66" i="85"/>
  <c r="Z65" i="85"/>
  <c r="X65" i="85"/>
  <c r="L65" i="85"/>
  <c r="N65" i="85" s="1"/>
  <c r="B65" i="85"/>
  <c r="X64" i="85"/>
  <c r="T64" i="85"/>
  <c r="Z64" i="85" s="1"/>
  <c r="P64" i="85"/>
  <c r="N64" i="85"/>
  <c r="L64" i="85"/>
  <c r="H64" i="85"/>
  <c r="D64" i="85"/>
  <c r="B64" i="85"/>
  <c r="X63" i="85"/>
  <c r="Z63" i="85" s="1"/>
  <c r="L63" i="85"/>
  <c r="N63" i="85" s="1"/>
  <c r="B63" i="85"/>
  <c r="T62" i="85"/>
  <c r="P62" i="85"/>
  <c r="H62" i="85"/>
  <c r="D62" i="85"/>
  <c r="B62" i="85"/>
  <c r="Z61" i="85"/>
  <c r="X61" i="85"/>
  <c r="N61" i="85"/>
  <c r="L61" i="85"/>
  <c r="B61" i="85"/>
  <c r="Z60" i="85"/>
  <c r="X60" i="85"/>
  <c r="L60" i="85"/>
  <c r="N60" i="85" s="1"/>
  <c r="B60" i="85"/>
  <c r="Z59" i="85"/>
  <c r="X59" i="85"/>
  <c r="N59" i="85"/>
  <c r="L59" i="85"/>
  <c r="B59" i="85"/>
  <c r="X58" i="85"/>
  <c r="Z58" i="85" s="1"/>
  <c r="N58" i="85"/>
  <c r="L58" i="85"/>
  <c r="B58" i="85"/>
  <c r="T57" i="85"/>
  <c r="Z57" i="85" s="1"/>
  <c r="P57" i="85"/>
  <c r="X57" i="85" s="1"/>
  <c r="H57" i="85"/>
  <c r="D57" i="85"/>
  <c r="B57" i="85"/>
  <c r="X56" i="85"/>
  <c r="Z56" i="85" s="1"/>
  <c r="L56" i="85"/>
  <c r="N56" i="85" s="1"/>
  <c r="B56" i="85"/>
  <c r="Z55" i="85"/>
  <c r="X55" i="85"/>
  <c r="L55" i="85"/>
  <c r="N55" i="85" s="1"/>
  <c r="B55" i="85"/>
  <c r="X54" i="85"/>
  <c r="Z54" i="85" s="1"/>
  <c r="L54" i="85"/>
  <c r="N54" i="85" s="1"/>
  <c r="B54" i="85"/>
  <c r="Z53" i="85"/>
  <c r="X53" i="85"/>
  <c r="L53" i="85"/>
  <c r="N53" i="85" s="1"/>
  <c r="B53" i="85"/>
  <c r="X52" i="85"/>
  <c r="Z52" i="85" s="1"/>
  <c r="L52" i="85"/>
  <c r="N52" i="85" s="1"/>
  <c r="B52" i="85"/>
  <c r="Z51" i="85"/>
  <c r="X51" i="85"/>
  <c r="L51" i="85"/>
  <c r="N51" i="85" s="1"/>
  <c r="B51" i="85"/>
  <c r="X50" i="85"/>
  <c r="Z50" i="85" s="1"/>
  <c r="L50" i="85"/>
  <c r="N50" i="85" s="1"/>
  <c r="B50" i="85"/>
  <c r="Z49" i="85"/>
  <c r="X49" i="85"/>
  <c r="L49" i="85"/>
  <c r="N49" i="85" s="1"/>
  <c r="B49" i="85"/>
  <c r="T48" i="85"/>
  <c r="P48" i="85"/>
  <c r="X48" i="85" s="1"/>
  <c r="L48" i="85"/>
  <c r="N48" i="85" s="1"/>
  <c r="H48" i="85"/>
  <c r="D48" i="85"/>
  <c r="B48" i="85"/>
  <c r="T47" i="85"/>
  <c r="P47" i="85"/>
  <c r="X47" i="85" s="1"/>
  <c r="Z47" i="85" s="1"/>
  <c r="L47" i="85"/>
  <c r="N47" i="85" s="1"/>
  <c r="H47" i="85"/>
  <c r="D47" i="85"/>
  <c r="Z43" i="85"/>
  <c r="X43" i="85"/>
  <c r="L43" i="85"/>
  <c r="N43" i="85" s="1"/>
  <c r="B43" i="85"/>
  <c r="X42" i="85"/>
  <c r="Z42" i="85" s="1"/>
  <c r="N42" i="85"/>
  <c r="L42" i="85"/>
  <c r="B42" i="85"/>
  <c r="Z41" i="85"/>
  <c r="X41" i="85"/>
  <c r="N41" i="85"/>
  <c r="L41" i="85"/>
  <c r="B41" i="85"/>
  <c r="Z40" i="85"/>
  <c r="X40" i="85"/>
  <c r="N40" i="85"/>
  <c r="L40" i="85"/>
  <c r="B40" i="85"/>
  <c r="X39" i="85"/>
  <c r="Z39" i="85" s="1"/>
  <c r="N39" i="85"/>
  <c r="L39" i="85"/>
  <c r="B39" i="85"/>
  <c r="X38" i="85"/>
  <c r="Z38" i="85" s="1"/>
  <c r="L38" i="85"/>
  <c r="N38" i="85" s="1"/>
  <c r="B38" i="85"/>
  <c r="X37" i="85"/>
  <c r="Z37" i="85" s="1"/>
  <c r="L37" i="85"/>
  <c r="N37" i="85" s="1"/>
  <c r="B37" i="85"/>
  <c r="X36" i="85"/>
  <c r="Z36" i="85" s="1"/>
  <c r="N36" i="85"/>
  <c r="L36" i="85"/>
  <c r="B36" i="85"/>
  <c r="Z35" i="85"/>
  <c r="X35" i="85"/>
  <c r="N35" i="85"/>
  <c r="L35" i="85"/>
  <c r="B35" i="85"/>
  <c r="X34" i="85"/>
  <c r="Z34" i="85" s="1"/>
  <c r="L34" i="85"/>
  <c r="N34" i="85" s="1"/>
  <c r="B34" i="85"/>
  <c r="X33" i="85"/>
  <c r="Z33" i="85" s="1"/>
  <c r="L33" i="85"/>
  <c r="N33" i="85" s="1"/>
  <c r="B33" i="85"/>
  <c r="X32" i="85"/>
  <c r="Z32" i="85" s="1"/>
  <c r="N32" i="85"/>
  <c r="L32" i="85"/>
  <c r="B32" i="85"/>
  <c r="Z31" i="85"/>
  <c r="X31" i="85"/>
  <c r="L31" i="85"/>
  <c r="N31" i="85" s="1"/>
  <c r="B31" i="85"/>
  <c r="T30" i="85"/>
  <c r="P30" i="85"/>
  <c r="X30" i="85" s="1"/>
  <c r="H30" i="85"/>
  <c r="D30" i="85"/>
  <c r="L30" i="85" s="1"/>
  <c r="T28" i="85"/>
  <c r="P28" i="85"/>
  <c r="X28" i="85" s="1"/>
  <c r="Z28" i="85" s="1"/>
  <c r="L28" i="85"/>
  <c r="N28" i="85" s="1"/>
  <c r="H28" i="85"/>
  <c r="D28" i="85"/>
  <c r="B28" i="85"/>
  <c r="T27" i="85"/>
  <c r="P27" i="85"/>
  <c r="X27" i="85" s="1"/>
  <c r="N27" i="85"/>
  <c r="H27" i="85"/>
  <c r="D27" i="85"/>
  <c r="L27" i="85" s="1"/>
  <c r="B27" i="85"/>
  <c r="T26" i="85"/>
  <c r="P26" i="85"/>
  <c r="X26" i="85" s="1"/>
  <c r="H26" i="85"/>
  <c r="N26" i="85" s="1"/>
  <c r="D26" i="85"/>
  <c r="L26" i="85" s="1"/>
  <c r="B26" i="85"/>
  <c r="T25" i="85"/>
  <c r="X25" i="85" s="1"/>
  <c r="Z25" i="85" s="1"/>
  <c r="P25" i="85"/>
  <c r="H25" i="85"/>
  <c r="N25" i="85" s="1"/>
  <c r="D25" i="85"/>
  <c r="L25" i="85" s="1"/>
  <c r="B25" i="85"/>
  <c r="Z24" i="85"/>
  <c r="T24" i="85"/>
  <c r="P24" i="85"/>
  <c r="X24" i="85" s="1"/>
  <c r="N24" i="85"/>
  <c r="L24" i="85"/>
  <c r="H24" i="85"/>
  <c r="D24" i="85"/>
  <c r="B24" i="85"/>
  <c r="T23" i="85"/>
  <c r="Z23" i="85" s="1"/>
  <c r="P23" i="85"/>
  <c r="X23" i="85" s="1"/>
  <c r="H23" i="85"/>
  <c r="D23" i="85"/>
  <c r="L23" i="85" s="1"/>
  <c r="N23" i="85" s="1"/>
  <c r="B23" i="85"/>
  <c r="T22" i="85"/>
  <c r="Z22" i="85" s="1"/>
  <c r="P22" i="85"/>
  <c r="X22" i="85" s="1"/>
  <c r="H22" i="85"/>
  <c r="N22" i="85" s="1"/>
  <c r="D22" i="85"/>
  <c r="L22" i="85" s="1"/>
  <c r="B22" i="85"/>
  <c r="T21" i="85"/>
  <c r="P21" i="85"/>
  <c r="H21" i="85"/>
  <c r="N21" i="85" s="1"/>
  <c r="D21" i="85"/>
  <c r="L21" i="85" s="1"/>
  <c r="B21" i="85"/>
  <c r="X20" i="85"/>
  <c r="Z20" i="85" s="1"/>
  <c r="T20" i="85"/>
  <c r="P20" i="85"/>
  <c r="L20" i="85"/>
  <c r="N20" i="85" s="1"/>
  <c r="H20" i="85"/>
  <c r="D20" i="85"/>
  <c r="B20" i="85"/>
  <c r="T19" i="85"/>
  <c r="Z19" i="85" s="1"/>
  <c r="P19" i="85"/>
  <c r="X19" i="85" s="1"/>
  <c r="H19" i="85"/>
  <c r="D19" i="85"/>
  <c r="L19" i="85" s="1"/>
  <c r="N19" i="85" s="1"/>
  <c r="B19" i="85"/>
  <c r="T18" i="85"/>
  <c r="Z18" i="85" s="1"/>
  <c r="P18" i="85"/>
  <c r="X18" i="85" s="1"/>
  <c r="H18" i="85"/>
  <c r="N18" i="85" s="1"/>
  <c r="D18" i="85"/>
  <c r="L18" i="85" s="1"/>
  <c r="B18" i="85"/>
  <c r="T17" i="85"/>
  <c r="P17" i="85"/>
  <c r="H17" i="85"/>
  <c r="N17" i="85" s="1"/>
  <c r="D17" i="85"/>
  <c r="L17" i="85" s="1"/>
  <c r="B17" i="85"/>
  <c r="X16" i="85"/>
  <c r="Z16" i="85" s="1"/>
  <c r="T16" i="85"/>
  <c r="P16" i="85"/>
  <c r="L16" i="85"/>
  <c r="N16" i="85" s="1"/>
  <c r="H16" i="85"/>
  <c r="D16" i="85"/>
  <c r="B16" i="85"/>
  <c r="T15" i="85"/>
  <c r="Z15" i="85" s="1"/>
  <c r="P15" i="85"/>
  <c r="X15" i="85" s="1"/>
  <c r="H15" i="85"/>
  <c r="D15" i="85"/>
  <c r="L15" i="85" s="1"/>
  <c r="N15" i="85" s="1"/>
  <c r="B15" i="85"/>
  <c r="T14" i="85"/>
  <c r="Z14" i="85" s="1"/>
  <c r="P14" i="85"/>
  <c r="X14" i="85" s="1"/>
  <c r="H14" i="85"/>
  <c r="N14" i="85" s="1"/>
  <c r="D14" i="85"/>
  <c r="L14" i="85" s="1"/>
  <c r="B14" i="85"/>
  <c r="T13" i="85"/>
  <c r="P13" i="85"/>
  <c r="H13" i="85"/>
  <c r="H12" i="85" s="1"/>
  <c r="J64" i="85" s="1"/>
  <c r="D13" i="85"/>
  <c r="D12" i="85" s="1"/>
  <c r="F74" i="85" s="1"/>
  <c r="B13" i="85"/>
  <c r="D6" i="85"/>
  <c r="D4" i="85"/>
  <c r="X75" i="84"/>
  <c r="Z75" i="84" s="1"/>
  <c r="R75" i="84"/>
  <c r="L75" i="84"/>
  <c r="N75" i="84" s="1"/>
  <c r="T71" i="84"/>
  <c r="Z71" i="84" s="1"/>
  <c r="P71" i="84"/>
  <c r="X71" i="84" s="1"/>
  <c r="H71" i="84"/>
  <c r="N71" i="84" s="1"/>
  <c r="D71" i="84"/>
  <c r="L71" i="84" s="1"/>
  <c r="Z69" i="84"/>
  <c r="X69" i="84"/>
  <c r="L69" i="84"/>
  <c r="N69" i="84" s="1"/>
  <c r="B69" i="84"/>
  <c r="Z68" i="84"/>
  <c r="X68" i="84"/>
  <c r="V68" i="84"/>
  <c r="T68" i="84"/>
  <c r="P68" i="84"/>
  <c r="H68" i="84"/>
  <c r="D68" i="84"/>
  <c r="B68" i="84"/>
  <c r="X67" i="84"/>
  <c r="Z67" i="84" s="1"/>
  <c r="L67" i="84"/>
  <c r="N67" i="84" s="1"/>
  <c r="B67" i="84"/>
  <c r="T66" i="84"/>
  <c r="X66" i="84" s="1"/>
  <c r="Z66" i="84" s="1"/>
  <c r="R66" i="84"/>
  <c r="P66" i="84"/>
  <c r="H66" i="84"/>
  <c r="N66" i="84" s="1"/>
  <c r="D66" i="84"/>
  <c r="L66" i="84" s="1"/>
  <c r="B66" i="84"/>
  <c r="X65" i="84"/>
  <c r="Z65" i="84" s="1"/>
  <c r="R65" i="84"/>
  <c r="N65" i="84"/>
  <c r="L65" i="84"/>
  <c r="B65" i="84"/>
  <c r="X64" i="84"/>
  <c r="Z64" i="84" s="1"/>
  <c r="V64" i="84"/>
  <c r="N64" i="84"/>
  <c r="L64" i="84"/>
  <c r="B64" i="84"/>
  <c r="X63" i="84"/>
  <c r="Z63" i="84" s="1"/>
  <c r="L63" i="84"/>
  <c r="N63" i="84" s="1"/>
  <c r="B63" i="84"/>
  <c r="Z62" i="84"/>
  <c r="T62" i="84"/>
  <c r="P62" i="84"/>
  <c r="X62" i="84" s="1"/>
  <c r="H62" i="84"/>
  <c r="D62" i="84"/>
  <c r="L62" i="84" s="1"/>
  <c r="N62" i="84" s="1"/>
  <c r="B62" i="84"/>
  <c r="Z61" i="84"/>
  <c r="X61" i="84"/>
  <c r="N61" i="84"/>
  <c r="L61" i="84"/>
  <c r="B61" i="84"/>
  <c r="Z60" i="84"/>
  <c r="X60" i="84"/>
  <c r="V60" i="84"/>
  <c r="T60" i="84"/>
  <c r="P60" i="84"/>
  <c r="H60" i="84"/>
  <c r="N60" i="84" s="1"/>
  <c r="D60" i="84"/>
  <c r="B60" i="84"/>
  <c r="X59" i="84"/>
  <c r="Z59" i="84" s="1"/>
  <c r="L59" i="84"/>
  <c r="N59" i="84" s="1"/>
  <c r="B59" i="84"/>
  <c r="Z58" i="84"/>
  <c r="X58" i="84"/>
  <c r="V58" i="84"/>
  <c r="N58" i="84"/>
  <c r="L58" i="84"/>
  <c r="B58" i="84"/>
  <c r="X57" i="84"/>
  <c r="Z57" i="84" s="1"/>
  <c r="R57" i="84"/>
  <c r="L57" i="84"/>
  <c r="N57" i="84" s="1"/>
  <c r="B57" i="84"/>
  <c r="T56" i="84"/>
  <c r="P56" i="84"/>
  <c r="X56" i="84" s="1"/>
  <c r="N56" i="84"/>
  <c r="J56" i="84"/>
  <c r="H56" i="84"/>
  <c r="L56" i="84" s="1"/>
  <c r="D56" i="84"/>
  <c r="B56" i="84"/>
  <c r="X55" i="84"/>
  <c r="Z55" i="84" s="1"/>
  <c r="L55" i="84"/>
  <c r="N55" i="84" s="1"/>
  <c r="B55" i="84"/>
  <c r="T54" i="84"/>
  <c r="P54" i="84"/>
  <c r="X54" i="84" s="1"/>
  <c r="Z54" i="84" s="1"/>
  <c r="J54" i="84"/>
  <c r="H54" i="84"/>
  <c r="D54" i="84"/>
  <c r="L54" i="84" s="1"/>
  <c r="N54" i="84" s="1"/>
  <c r="B54" i="84"/>
  <c r="X53" i="84"/>
  <c r="Z53" i="84" s="1"/>
  <c r="L53" i="84"/>
  <c r="N53" i="84" s="1"/>
  <c r="B53" i="84"/>
  <c r="Z52" i="84"/>
  <c r="X52" i="84"/>
  <c r="V52" i="84"/>
  <c r="T52" i="84"/>
  <c r="P52" i="84"/>
  <c r="H52" i="84"/>
  <c r="D52" i="84"/>
  <c r="B52" i="84"/>
  <c r="X51" i="84"/>
  <c r="Z51" i="84" s="1"/>
  <c r="L51" i="84"/>
  <c r="N51" i="84" s="1"/>
  <c r="B51" i="84"/>
  <c r="T50" i="84"/>
  <c r="X50" i="84" s="1"/>
  <c r="Z50" i="84" s="1"/>
  <c r="R50" i="84"/>
  <c r="P50" i="84"/>
  <c r="H50" i="84"/>
  <c r="D50" i="84"/>
  <c r="L50" i="84" s="1"/>
  <c r="B50" i="84"/>
  <c r="X49" i="84"/>
  <c r="Z49" i="84" s="1"/>
  <c r="R49" i="84"/>
  <c r="L49" i="84"/>
  <c r="N49" i="84" s="1"/>
  <c r="B49" i="84"/>
  <c r="T48" i="84"/>
  <c r="R48" i="84"/>
  <c r="P48" i="84"/>
  <c r="X48" i="84" s="1"/>
  <c r="Z48" i="84" s="1"/>
  <c r="H48" i="84"/>
  <c r="D48" i="84"/>
  <c r="L48" i="84" s="1"/>
  <c r="N48" i="84" s="1"/>
  <c r="B48" i="84"/>
  <c r="X47" i="84"/>
  <c r="Z47" i="84" s="1"/>
  <c r="R47" i="84"/>
  <c r="L47" i="84"/>
  <c r="N47" i="84" s="1"/>
  <c r="B47" i="84"/>
  <c r="T46" i="84"/>
  <c r="R46" i="84"/>
  <c r="P46" i="84"/>
  <c r="N46" i="84"/>
  <c r="L46" i="84"/>
  <c r="H46" i="84"/>
  <c r="D46" i="84"/>
  <c r="B46" i="84"/>
  <c r="X45" i="84"/>
  <c r="Z45" i="84" s="1"/>
  <c r="R45" i="84"/>
  <c r="L45" i="84"/>
  <c r="N45" i="84" s="1"/>
  <c r="B45" i="84"/>
  <c r="X44" i="84"/>
  <c r="Z44" i="84" s="1"/>
  <c r="L44" i="84"/>
  <c r="N44" i="84" s="1"/>
  <c r="B44" i="84"/>
  <c r="X43" i="84"/>
  <c r="Z43" i="84" s="1"/>
  <c r="T43" i="84"/>
  <c r="P43" i="84"/>
  <c r="H43" i="84"/>
  <c r="D43" i="84"/>
  <c r="B43" i="84"/>
  <c r="Z42" i="84"/>
  <c r="X42" i="84"/>
  <c r="L42" i="84"/>
  <c r="N42" i="84" s="1"/>
  <c r="B42" i="84"/>
  <c r="T41" i="84"/>
  <c r="P41" i="84"/>
  <c r="H41" i="84"/>
  <c r="D41" i="84"/>
  <c r="L41" i="84" s="1"/>
  <c r="B41" i="84"/>
  <c r="Z40" i="84"/>
  <c r="X40" i="84"/>
  <c r="L40" i="84"/>
  <c r="N40" i="84" s="1"/>
  <c r="B40" i="84"/>
  <c r="X39" i="84"/>
  <c r="T39" i="84"/>
  <c r="P39" i="84"/>
  <c r="H39" i="84"/>
  <c r="N39" i="84" s="1"/>
  <c r="D39" i="84"/>
  <c r="L39" i="84" s="1"/>
  <c r="B39" i="84"/>
  <c r="Z38" i="84"/>
  <c r="X38" i="84"/>
  <c r="N38" i="84"/>
  <c r="L38" i="84"/>
  <c r="B38" i="84"/>
  <c r="T37" i="84"/>
  <c r="P37" i="84"/>
  <c r="L37" i="84"/>
  <c r="N37" i="84" s="1"/>
  <c r="H37" i="84"/>
  <c r="D37" i="84"/>
  <c r="B37" i="84"/>
  <c r="X36" i="84"/>
  <c r="Z36" i="84" s="1"/>
  <c r="N36" i="84"/>
  <c r="L36" i="84"/>
  <c r="B36" i="84"/>
  <c r="X35" i="84"/>
  <c r="Z35" i="84" s="1"/>
  <c r="L35" i="84"/>
  <c r="N35" i="84" s="1"/>
  <c r="B35" i="84"/>
  <c r="Z34" i="84"/>
  <c r="X34" i="84"/>
  <c r="N34" i="84"/>
  <c r="L34" i="84"/>
  <c r="B34" i="84"/>
  <c r="X33" i="84"/>
  <c r="Z33" i="84" s="1"/>
  <c r="R33" i="84"/>
  <c r="L33" i="84"/>
  <c r="N33" i="84" s="1"/>
  <c r="B33" i="84"/>
  <c r="T32" i="84"/>
  <c r="R32" i="84"/>
  <c r="P32" i="84"/>
  <c r="X32" i="84" s="1"/>
  <c r="Z32" i="84" s="1"/>
  <c r="N32" i="84"/>
  <c r="H32" i="84"/>
  <c r="D32" i="84"/>
  <c r="L32" i="84" s="1"/>
  <c r="B32" i="84"/>
  <c r="Z31" i="84"/>
  <c r="X31" i="84"/>
  <c r="R31" i="84"/>
  <c r="N31" i="84"/>
  <c r="L31" i="84"/>
  <c r="B31" i="84"/>
  <c r="X30" i="84"/>
  <c r="Z30" i="84" s="1"/>
  <c r="N30" i="84"/>
  <c r="L30" i="84"/>
  <c r="J30" i="84"/>
  <c r="B30" i="84"/>
  <c r="X29" i="84"/>
  <c r="Z29" i="84" s="1"/>
  <c r="L29" i="84"/>
  <c r="N29" i="84" s="1"/>
  <c r="B29" i="84"/>
  <c r="Z28" i="84"/>
  <c r="X28" i="84"/>
  <c r="V28" i="84"/>
  <c r="L28" i="84"/>
  <c r="N28" i="84" s="1"/>
  <c r="B28" i="84"/>
  <c r="X27" i="84"/>
  <c r="Z27" i="84" s="1"/>
  <c r="R27" i="84"/>
  <c r="L27" i="84"/>
  <c r="N27" i="84" s="1"/>
  <c r="B27" i="84"/>
  <c r="X26" i="84"/>
  <c r="Z26" i="84" s="1"/>
  <c r="N26" i="84"/>
  <c r="L26" i="84"/>
  <c r="J26" i="84"/>
  <c r="B26" i="84"/>
  <c r="X25" i="84"/>
  <c r="Z25" i="84" s="1"/>
  <c r="L25" i="84"/>
  <c r="N25" i="84" s="1"/>
  <c r="B25" i="84"/>
  <c r="Z24" i="84"/>
  <c r="X24" i="84"/>
  <c r="L24" i="84"/>
  <c r="N24" i="84" s="1"/>
  <c r="B24" i="84"/>
  <c r="T23" i="84"/>
  <c r="P23" i="84"/>
  <c r="H23" i="84"/>
  <c r="N23" i="84" s="1"/>
  <c r="D23" i="84"/>
  <c r="L23" i="84" s="1"/>
  <c r="B23" i="84"/>
  <c r="Z22" i="84"/>
  <c r="V22" i="84"/>
  <c r="T22" i="84"/>
  <c r="X22" i="84" s="1"/>
  <c r="R22" i="84"/>
  <c r="P22" i="84"/>
  <c r="H22" i="84"/>
  <c r="D22" i="84"/>
  <c r="L22" i="84" s="1"/>
  <c r="Z18" i="84"/>
  <c r="X18" i="84"/>
  <c r="V18" i="84"/>
  <c r="N18" i="84"/>
  <c r="L18" i="84"/>
  <c r="B18" i="84"/>
  <c r="X17" i="84"/>
  <c r="Z17" i="84" s="1"/>
  <c r="R17" i="84"/>
  <c r="L17" i="84"/>
  <c r="N17" i="84" s="1"/>
  <c r="B17" i="84"/>
  <c r="T16" i="84"/>
  <c r="Z16" i="84" s="1"/>
  <c r="P16" i="84"/>
  <c r="X16" i="84" s="1"/>
  <c r="H16" i="84"/>
  <c r="L16" i="84" s="1"/>
  <c r="N16" i="84" s="1"/>
  <c r="D16" i="84"/>
  <c r="T14" i="84"/>
  <c r="Z14" i="84" s="1"/>
  <c r="P14" i="84"/>
  <c r="X14" i="84" s="1"/>
  <c r="H14" i="84"/>
  <c r="D14" i="84"/>
  <c r="B14" i="84"/>
  <c r="X13" i="84"/>
  <c r="Z13" i="84" s="1"/>
  <c r="T13" i="84"/>
  <c r="P13" i="84"/>
  <c r="H13" i="84"/>
  <c r="H12" i="84" s="1"/>
  <c r="J36" i="84" s="1"/>
  <c r="D13" i="84"/>
  <c r="D12" i="84" s="1"/>
  <c r="B13" i="84"/>
  <c r="T12" i="84"/>
  <c r="V66" i="84" s="1"/>
  <c r="P12" i="84"/>
  <c r="R41" i="84" s="1"/>
  <c r="D6" i="84"/>
  <c r="D4" i="84"/>
  <c r="X29" i="83"/>
  <c r="Z29" i="83" s="1"/>
  <c r="N29" i="83"/>
  <c r="L29" i="83"/>
  <c r="T25" i="83"/>
  <c r="Z25" i="83" s="1"/>
  <c r="P25" i="83"/>
  <c r="X25" i="83" s="1"/>
  <c r="N25" i="83"/>
  <c r="H25" i="83"/>
  <c r="L25" i="83" s="1"/>
  <c r="D25" i="83"/>
  <c r="T23" i="83"/>
  <c r="Z23" i="83" s="1"/>
  <c r="P23" i="83"/>
  <c r="X23" i="83" s="1"/>
  <c r="N23" i="83"/>
  <c r="H23" i="83"/>
  <c r="L23" i="83" s="1"/>
  <c r="D23" i="83"/>
  <c r="X19" i="83"/>
  <c r="Z19" i="83" s="1"/>
  <c r="L19" i="83"/>
  <c r="N19" i="83" s="1"/>
  <c r="B19" i="83"/>
  <c r="X18" i="83"/>
  <c r="Z18" i="83" s="1"/>
  <c r="L18" i="83"/>
  <c r="N18" i="83" s="1"/>
  <c r="B18" i="83"/>
  <c r="T17" i="83"/>
  <c r="X17" i="83" s="1"/>
  <c r="Z17" i="83" s="1"/>
  <c r="P17" i="83"/>
  <c r="H17" i="83"/>
  <c r="N17" i="83" s="1"/>
  <c r="D17" i="83"/>
  <c r="L17" i="83" s="1"/>
  <c r="T15" i="83"/>
  <c r="P15" i="83"/>
  <c r="N15" i="83"/>
  <c r="H15" i="83"/>
  <c r="D15" i="83"/>
  <c r="L15" i="83" s="1"/>
  <c r="B15" i="83"/>
  <c r="T14" i="83"/>
  <c r="Z14" i="83" s="1"/>
  <c r="P14" i="83"/>
  <c r="X14" i="83" s="1"/>
  <c r="L14" i="83"/>
  <c r="H14" i="83"/>
  <c r="N14" i="83" s="1"/>
  <c r="D14" i="83"/>
  <c r="D12" i="83" s="1"/>
  <c r="B14" i="83"/>
  <c r="T13" i="83"/>
  <c r="T12" i="83" s="1"/>
  <c r="P13" i="83"/>
  <c r="H13" i="83"/>
  <c r="D13" i="83"/>
  <c r="B13" i="83"/>
  <c r="D6" i="83"/>
  <c r="D4" i="83"/>
  <c r="X71" i="81"/>
  <c r="Z71" i="81" s="1"/>
  <c r="L71" i="81"/>
  <c r="N71" i="81" s="1"/>
  <c r="Z67" i="81"/>
  <c r="X67" i="81"/>
  <c r="T67" i="81"/>
  <c r="P67" i="81"/>
  <c r="H67" i="81"/>
  <c r="N67" i="81" s="1"/>
  <c r="D67" i="81"/>
  <c r="L67" i="81" s="1"/>
  <c r="X65" i="81"/>
  <c r="Z65" i="81" s="1"/>
  <c r="L65" i="81"/>
  <c r="N65" i="81" s="1"/>
  <c r="B65" i="81"/>
  <c r="Z64" i="81"/>
  <c r="T64" i="81"/>
  <c r="X64" i="81" s="1"/>
  <c r="P64" i="81"/>
  <c r="H64" i="81"/>
  <c r="N64" i="81" s="1"/>
  <c r="D64" i="81"/>
  <c r="L64" i="81" s="1"/>
  <c r="B64" i="81"/>
  <c r="X63" i="81"/>
  <c r="Z63" i="81" s="1"/>
  <c r="N63" i="81"/>
  <c r="L63" i="81"/>
  <c r="B63" i="81"/>
  <c r="T62" i="81"/>
  <c r="P62" i="81"/>
  <c r="X62" i="81" s="1"/>
  <c r="Z62" i="81" s="1"/>
  <c r="N62" i="81"/>
  <c r="H62" i="81"/>
  <c r="D62" i="81"/>
  <c r="L62" i="81" s="1"/>
  <c r="B62" i="81"/>
  <c r="X61" i="81"/>
  <c r="Z61" i="81" s="1"/>
  <c r="L61" i="81"/>
  <c r="N61" i="81" s="1"/>
  <c r="B61" i="81"/>
  <c r="X60" i="81"/>
  <c r="Z60" i="81" s="1"/>
  <c r="N60" i="81"/>
  <c r="L60" i="81"/>
  <c r="B60" i="81"/>
  <c r="Z59" i="81"/>
  <c r="X59" i="81"/>
  <c r="L59" i="81"/>
  <c r="N59" i="81" s="1"/>
  <c r="B59" i="81"/>
  <c r="Z58" i="81"/>
  <c r="X58" i="81"/>
  <c r="L58" i="81"/>
  <c r="N58" i="81" s="1"/>
  <c r="B58" i="81"/>
  <c r="X57" i="81"/>
  <c r="T57" i="81"/>
  <c r="P57" i="81"/>
  <c r="H57" i="81"/>
  <c r="N57" i="81" s="1"/>
  <c r="D57" i="81"/>
  <c r="L57" i="81" s="1"/>
  <c r="B57" i="81"/>
  <c r="Z56" i="81"/>
  <c r="X56" i="81"/>
  <c r="N56" i="81"/>
  <c r="L56" i="81"/>
  <c r="B56" i="81"/>
  <c r="X55" i="81"/>
  <c r="Z55" i="81" s="1"/>
  <c r="L55" i="81"/>
  <c r="N55" i="81" s="1"/>
  <c r="B55" i="81"/>
  <c r="X54" i="81"/>
  <c r="Z54" i="81" s="1"/>
  <c r="L54" i="81"/>
  <c r="N54" i="81" s="1"/>
  <c r="B54" i="81"/>
  <c r="X53" i="81"/>
  <c r="Z53" i="81" s="1"/>
  <c r="T53" i="81"/>
  <c r="P53" i="81"/>
  <c r="H53" i="81"/>
  <c r="D53" i="81"/>
  <c r="B53" i="81"/>
  <c r="Z52" i="81"/>
  <c r="X52" i="81"/>
  <c r="L52" i="81"/>
  <c r="N52" i="81" s="1"/>
  <c r="B52" i="81"/>
  <c r="T51" i="81"/>
  <c r="P51" i="81"/>
  <c r="H51" i="81"/>
  <c r="D51" i="81"/>
  <c r="L51" i="81" s="1"/>
  <c r="B51" i="81"/>
  <c r="Z50" i="81"/>
  <c r="X50" i="81"/>
  <c r="L50" i="81"/>
  <c r="N50" i="81" s="1"/>
  <c r="B50" i="81"/>
  <c r="X49" i="81"/>
  <c r="T49" i="81"/>
  <c r="P49" i="81"/>
  <c r="H49" i="81"/>
  <c r="D49" i="81"/>
  <c r="L49" i="81" s="1"/>
  <c r="B49" i="81"/>
  <c r="Z48" i="81"/>
  <c r="X48" i="81"/>
  <c r="N48" i="81"/>
  <c r="L48" i="81"/>
  <c r="B48" i="81"/>
  <c r="T47" i="81"/>
  <c r="P47" i="81"/>
  <c r="X47" i="81" s="1"/>
  <c r="L47" i="81"/>
  <c r="N47" i="81" s="1"/>
  <c r="H47" i="81"/>
  <c r="D47" i="81"/>
  <c r="B47" i="81"/>
  <c r="X46" i="81"/>
  <c r="Z46" i="81" s="1"/>
  <c r="L46" i="81"/>
  <c r="N46" i="81" s="1"/>
  <c r="B46" i="81"/>
  <c r="T45" i="81"/>
  <c r="Z45" i="81" s="1"/>
  <c r="P45" i="81"/>
  <c r="X45" i="81" s="1"/>
  <c r="H45" i="81"/>
  <c r="D45" i="81"/>
  <c r="B45" i="81"/>
  <c r="X44" i="81"/>
  <c r="Z44" i="81" s="1"/>
  <c r="N44" i="81"/>
  <c r="L44" i="81"/>
  <c r="B44" i="81"/>
  <c r="T43" i="81"/>
  <c r="P43" i="81"/>
  <c r="X43" i="81" s="1"/>
  <c r="H43" i="81"/>
  <c r="D43" i="81"/>
  <c r="B43" i="81"/>
  <c r="X42" i="81"/>
  <c r="Z42" i="81" s="1"/>
  <c r="L42" i="81"/>
  <c r="N42" i="81" s="1"/>
  <c r="B42" i="81"/>
  <c r="Z41" i="81"/>
  <c r="X41" i="81"/>
  <c r="T41" i="81"/>
  <c r="P41" i="81"/>
  <c r="H41" i="81"/>
  <c r="D41" i="81"/>
  <c r="B41" i="81"/>
  <c r="Z40" i="81"/>
  <c r="X40" i="81"/>
  <c r="L40" i="81"/>
  <c r="N40" i="81" s="1"/>
  <c r="B40" i="81"/>
  <c r="X39" i="81"/>
  <c r="T39" i="81"/>
  <c r="P39" i="81"/>
  <c r="H39" i="81"/>
  <c r="N39" i="81" s="1"/>
  <c r="D39" i="81"/>
  <c r="L39" i="81" s="1"/>
  <c r="B39" i="81"/>
  <c r="Z38" i="81"/>
  <c r="X38" i="81"/>
  <c r="L38" i="81"/>
  <c r="N38" i="81" s="1"/>
  <c r="B38" i="81"/>
  <c r="T37" i="81"/>
  <c r="P37" i="81"/>
  <c r="H37" i="81"/>
  <c r="D37" i="81"/>
  <c r="L37" i="81" s="1"/>
  <c r="B37" i="81"/>
  <c r="Z36" i="81"/>
  <c r="X36" i="81"/>
  <c r="N36" i="81"/>
  <c r="L36" i="81"/>
  <c r="B36" i="81"/>
  <c r="X35" i="81"/>
  <c r="Z35" i="81" s="1"/>
  <c r="L35" i="81"/>
  <c r="N35" i="81" s="1"/>
  <c r="B35" i="81"/>
  <c r="Z34" i="81"/>
  <c r="X34" i="81"/>
  <c r="N34" i="81"/>
  <c r="L34" i="81"/>
  <c r="B34" i="81"/>
  <c r="X33" i="81"/>
  <c r="Z33" i="81" s="1"/>
  <c r="L33" i="81"/>
  <c r="N33" i="81" s="1"/>
  <c r="B33" i="81"/>
  <c r="Z32" i="81"/>
  <c r="T32" i="81"/>
  <c r="X32" i="81" s="1"/>
  <c r="P32" i="81"/>
  <c r="H32" i="81"/>
  <c r="N32" i="81" s="1"/>
  <c r="D32" i="81"/>
  <c r="L32" i="81" s="1"/>
  <c r="B32" i="81"/>
  <c r="X31" i="81"/>
  <c r="Z31" i="81" s="1"/>
  <c r="N31" i="81"/>
  <c r="L31" i="81"/>
  <c r="B31" i="81"/>
  <c r="X30" i="81"/>
  <c r="Z30" i="81" s="1"/>
  <c r="L30" i="81"/>
  <c r="N30" i="81" s="1"/>
  <c r="B30" i="81"/>
  <c r="X29" i="81"/>
  <c r="Z29" i="81" s="1"/>
  <c r="L29" i="81"/>
  <c r="N29" i="81" s="1"/>
  <c r="B29" i="81"/>
  <c r="Z28" i="81"/>
  <c r="X28" i="81"/>
  <c r="L28" i="81"/>
  <c r="N28" i="81" s="1"/>
  <c r="B28" i="81"/>
  <c r="X27" i="81"/>
  <c r="Z27" i="81" s="1"/>
  <c r="V27" i="81"/>
  <c r="L27" i="81"/>
  <c r="N27" i="81" s="1"/>
  <c r="B27" i="81"/>
  <c r="X26" i="81"/>
  <c r="Z26" i="81" s="1"/>
  <c r="V26" i="81"/>
  <c r="N26" i="81"/>
  <c r="L26" i="81"/>
  <c r="B26" i="81"/>
  <c r="X25" i="81"/>
  <c r="Z25" i="81" s="1"/>
  <c r="L25" i="81"/>
  <c r="N25" i="81" s="1"/>
  <c r="B25" i="81"/>
  <c r="Z24" i="81"/>
  <c r="X24" i="81"/>
  <c r="L24" i="81"/>
  <c r="N24" i="81" s="1"/>
  <c r="B24" i="81"/>
  <c r="X23" i="81"/>
  <c r="T23" i="81"/>
  <c r="P23" i="81"/>
  <c r="H23" i="81"/>
  <c r="D23" i="81"/>
  <c r="L23" i="81" s="1"/>
  <c r="B23" i="81"/>
  <c r="X22" i="81"/>
  <c r="Z22" i="81" s="1"/>
  <c r="T22" i="81"/>
  <c r="P22" i="81"/>
  <c r="H22" i="81"/>
  <c r="D22" i="81"/>
  <c r="Z18" i="81"/>
  <c r="X18" i="81"/>
  <c r="L18" i="81"/>
  <c r="N18" i="81" s="1"/>
  <c r="B18" i="81"/>
  <c r="Z17" i="81"/>
  <c r="X17" i="81"/>
  <c r="L17" i="81"/>
  <c r="N17" i="81" s="1"/>
  <c r="B17" i="81"/>
  <c r="T16" i="81"/>
  <c r="P16" i="81"/>
  <c r="L16" i="81"/>
  <c r="N16" i="81" s="1"/>
  <c r="H16" i="81"/>
  <c r="D16" i="81"/>
  <c r="T14" i="81"/>
  <c r="P14" i="81"/>
  <c r="X14" i="81" s="1"/>
  <c r="H14" i="81"/>
  <c r="D14" i="81"/>
  <c r="B14" i="81"/>
  <c r="T13" i="81"/>
  <c r="P13" i="81"/>
  <c r="H13" i="81"/>
  <c r="D13" i="81"/>
  <c r="B13" i="81"/>
  <c r="T12" i="81"/>
  <c r="D6" i="81"/>
  <c r="D4" i="81"/>
  <c r="Z62" i="80"/>
  <c r="X62" i="80"/>
  <c r="N62" i="80"/>
  <c r="L62" i="80"/>
  <c r="T58" i="80"/>
  <c r="P58" i="80"/>
  <c r="N58" i="80"/>
  <c r="L58" i="80"/>
  <c r="H58" i="80"/>
  <c r="D58" i="80"/>
  <c r="Z56" i="80"/>
  <c r="X56" i="80"/>
  <c r="N56" i="80"/>
  <c r="L56" i="80"/>
  <c r="B56" i="80"/>
  <c r="T55" i="80"/>
  <c r="Z55" i="80" s="1"/>
  <c r="P55" i="80"/>
  <c r="X55" i="80" s="1"/>
  <c r="H55" i="80"/>
  <c r="N55" i="80" s="1"/>
  <c r="D55" i="80"/>
  <c r="B55" i="80"/>
  <c r="X54" i="80"/>
  <c r="Z54" i="80" s="1"/>
  <c r="L54" i="80"/>
  <c r="N54" i="80" s="1"/>
  <c r="B54" i="80"/>
  <c r="Z53" i="80"/>
  <c r="X53" i="80"/>
  <c r="T53" i="80"/>
  <c r="P53" i="80"/>
  <c r="L53" i="80"/>
  <c r="H53" i="80"/>
  <c r="D53" i="80"/>
  <c r="B53" i="80"/>
  <c r="Z52" i="80"/>
  <c r="X52" i="80"/>
  <c r="L52" i="80"/>
  <c r="N52" i="80" s="1"/>
  <c r="B52" i="80"/>
  <c r="X51" i="80"/>
  <c r="Z51" i="80" s="1"/>
  <c r="V51" i="80"/>
  <c r="N51" i="80"/>
  <c r="L51" i="80"/>
  <c r="B51" i="80"/>
  <c r="Z50" i="80"/>
  <c r="X50" i="80"/>
  <c r="N50" i="80"/>
  <c r="L50" i="80"/>
  <c r="B50" i="80"/>
  <c r="T49" i="80"/>
  <c r="P49" i="80"/>
  <c r="H49" i="80"/>
  <c r="L49" i="80" s="1"/>
  <c r="D49" i="80"/>
  <c r="B49" i="80"/>
  <c r="X48" i="80"/>
  <c r="Z48" i="80" s="1"/>
  <c r="N48" i="80"/>
  <c r="L48" i="80"/>
  <c r="B48" i="80"/>
  <c r="Z47" i="80"/>
  <c r="X47" i="80"/>
  <c r="L47" i="80"/>
  <c r="N47" i="80" s="1"/>
  <c r="B47" i="80"/>
  <c r="X46" i="80"/>
  <c r="Z46" i="80" s="1"/>
  <c r="V46" i="80"/>
  <c r="T46" i="80"/>
  <c r="P46" i="80"/>
  <c r="H46" i="80"/>
  <c r="D46" i="80"/>
  <c r="B46" i="80"/>
  <c r="Z45" i="80"/>
  <c r="X45" i="80"/>
  <c r="L45" i="80"/>
  <c r="N45" i="80" s="1"/>
  <c r="B45" i="80"/>
  <c r="Z44" i="80"/>
  <c r="T44" i="80"/>
  <c r="X44" i="80" s="1"/>
  <c r="P44" i="80"/>
  <c r="H44" i="80"/>
  <c r="N44" i="80" s="1"/>
  <c r="D44" i="80"/>
  <c r="L44" i="80" s="1"/>
  <c r="B44" i="80"/>
  <c r="Z43" i="80"/>
  <c r="X43" i="80"/>
  <c r="N43" i="80"/>
  <c r="L43" i="80"/>
  <c r="B43" i="80"/>
  <c r="Z42" i="80"/>
  <c r="X42" i="80"/>
  <c r="T42" i="80"/>
  <c r="P42" i="80"/>
  <c r="N42" i="80"/>
  <c r="H42" i="80"/>
  <c r="D42" i="80"/>
  <c r="L42" i="80" s="1"/>
  <c r="B42" i="80"/>
  <c r="X41" i="80"/>
  <c r="Z41" i="80" s="1"/>
  <c r="N41" i="80"/>
  <c r="L41" i="80"/>
  <c r="B41" i="80"/>
  <c r="T40" i="80"/>
  <c r="P40" i="80"/>
  <c r="N40" i="80"/>
  <c r="L40" i="80"/>
  <c r="H40" i="80"/>
  <c r="D40" i="80"/>
  <c r="B40" i="80"/>
  <c r="X39" i="80"/>
  <c r="Z39" i="80" s="1"/>
  <c r="L39" i="80"/>
  <c r="N39" i="80" s="1"/>
  <c r="B39" i="80"/>
  <c r="T38" i="80"/>
  <c r="P38" i="80"/>
  <c r="X38" i="80" s="1"/>
  <c r="N38" i="80"/>
  <c r="H38" i="80"/>
  <c r="L38" i="80" s="1"/>
  <c r="D38" i="80"/>
  <c r="B38" i="80"/>
  <c r="X37" i="80"/>
  <c r="Z37" i="80" s="1"/>
  <c r="L37" i="80"/>
  <c r="N37" i="80" s="1"/>
  <c r="B37" i="80"/>
  <c r="Z36" i="80"/>
  <c r="T36" i="80"/>
  <c r="P36" i="80"/>
  <c r="X36" i="80" s="1"/>
  <c r="H36" i="80"/>
  <c r="D36" i="80"/>
  <c r="L36" i="80" s="1"/>
  <c r="N36" i="80" s="1"/>
  <c r="B36" i="80"/>
  <c r="Z35" i="80"/>
  <c r="X35" i="80"/>
  <c r="L35" i="80"/>
  <c r="N35" i="80" s="1"/>
  <c r="B35" i="80"/>
  <c r="X34" i="80"/>
  <c r="Z34" i="80" s="1"/>
  <c r="V34" i="80"/>
  <c r="T34" i="80"/>
  <c r="P34" i="80"/>
  <c r="H34" i="80"/>
  <c r="D34" i="80"/>
  <c r="B34" i="80"/>
  <c r="Z33" i="80"/>
  <c r="X33" i="80"/>
  <c r="L33" i="80"/>
  <c r="N33" i="80" s="1"/>
  <c r="B33" i="80"/>
  <c r="Z32" i="80"/>
  <c r="X32" i="80"/>
  <c r="N32" i="80"/>
  <c r="L32" i="80"/>
  <c r="B32" i="80"/>
  <c r="Z31" i="80"/>
  <c r="X31" i="80"/>
  <c r="N31" i="80"/>
  <c r="L31" i="80"/>
  <c r="B31" i="80"/>
  <c r="Z30" i="80"/>
  <c r="X30" i="80"/>
  <c r="N30" i="80"/>
  <c r="L30" i="80"/>
  <c r="B30" i="80"/>
  <c r="X29" i="80"/>
  <c r="Z29" i="80" s="1"/>
  <c r="T29" i="80"/>
  <c r="P29" i="80"/>
  <c r="H29" i="80"/>
  <c r="D29" i="80"/>
  <c r="L29" i="80" s="1"/>
  <c r="B29" i="80"/>
  <c r="Z28" i="80"/>
  <c r="X28" i="80"/>
  <c r="N28" i="80"/>
  <c r="L28" i="80"/>
  <c r="B28" i="80"/>
  <c r="X27" i="80"/>
  <c r="Z27" i="80" s="1"/>
  <c r="N27" i="80"/>
  <c r="L27" i="80"/>
  <c r="B27" i="80"/>
  <c r="Z26" i="80"/>
  <c r="X26" i="80"/>
  <c r="N26" i="80"/>
  <c r="L26" i="80"/>
  <c r="B26" i="80"/>
  <c r="X25" i="80"/>
  <c r="Z25" i="80" s="1"/>
  <c r="L25" i="80"/>
  <c r="N25" i="80" s="1"/>
  <c r="B25" i="80"/>
  <c r="Z24" i="80"/>
  <c r="X24" i="80"/>
  <c r="L24" i="80"/>
  <c r="N24" i="80" s="1"/>
  <c r="B24" i="80"/>
  <c r="T23" i="80"/>
  <c r="X23" i="80" s="1"/>
  <c r="P23" i="80"/>
  <c r="H23" i="80"/>
  <c r="D23" i="80"/>
  <c r="B23" i="80"/>
  <c r="X22" i="80"/>
  <c r="Z22" i="80" s="1"/>
  <c r="T22" i="80"/>
  <c r="P22" i="80"/>
  <c r="H22" i="80"/>
  <c r="D22" i="80"/>
  <c r="Z18" i="80"/>
  <c r="X18" i="80"/>
  <c r="L18" i="80"/>
  <c r="N18" i="80" s="1"/>
  <c r="B18" i="80"/>
  <c r="X17" i="80"/>
  <c r="Z17" i="80" s="1"/>
  <c r="L17" i="80"/>
  <c r="N17" i="80" s="1"/>
  <c r="B17" i="80"/>
  <c r="T16" i="80"/>
  <c r="P16" i="80"/>
  <c r="X16" i="80" s="1"/>
  <c r="L16" i="80"/>
  <c r="N16" i="80" s="1"/>
  <c r="H16" i="80"/>
  <c r="D16" i="80"/>
  <c r="T14" i="80"/>
  <c r="P14" i="80"/>
  <c r="X14" i="80" s="1"/>
  <c r="N14" i="80"/>
  <c r="H14" i="80"/>
  <c r="D14" i="80"/>
  <c r="L14" i="80" s="1"/>
  <c r="B14" i="80"/>
  <c r="T13" i="80"/>
  <c r="P13" i="80"/>
  <c r="L13" i="80"/>
  <c r="H13" i="80"/>
  <c r="D13" i="80"/>
  <c r="B13" i="80"/>
  <c r="T12" i="80"/>
  <c r="D6" i="80"/>
  <c r="D4" i="80"/>
  <c r="Z57" i="79"/>
  <c r="X57" i="79"/>
  <c r="N57" i="79"/>
  <c r="L57" i="79"/>
  <c r="T53" i="79"/>
  <c r="P53" i="79"/>
  <c r="N53" i="79"/>
  <c r="L53" i="79"/>
  <c r="H53" i="79"/>
  <c r="D53" i="79"/>
  <c r="B53" i="79"/>
  <c r="T52" i="79"/>
  <c r="Z52" i="79" s="1"/>
  <c r="P52" i="79"/>
  <c r="N52" i="79"/>
  <c r="L52" i="79"/>
  <c r="H52" i="79"/>
  <c r="D52" i="79"/>
  <c r="B52" i="79"/>
  <c r="N51" i="79"/>
  <c r="H51" i="79"/>
  <c r="D51" i="79"/>
  <c r="L51" i="79" s="1"/>
  <c r="X49" i="79"/>
  <c r="Z49" i="79" s="1"/>
  <c r="L49" i="79"/>
  <c r="N49" i="79" s="1"/>
  <c r="B49" i="79"/>
  <c r="T48" i="79"/>
  <c r="P48" i="79"/>
  <c r="H48" i="79"/>
  <c r="D48" i="79"/>
  <c r="B48" i="79"/>
  <c r="X47" i="79"/>
  <c r="Z47" i="79" s="1"/>
  <c r="N47" i="79"/>
  <c r="L47" i="79"/>
  <c r="B47" i="79"/>
  <c r="Z46" i="79"/>
  <c r="X46" i="79"/>
  <c r="L46" i="79"/>
  <c r="N46" i="79" s="1"/>
  <c r="B46" i="79"/>
  <c r="Z45" i="79"/>
  <c r="X45" i="79"/>
  <c r="T45" i="79"/>
  <c r="P45" i="79"/>
  <c r="L45" i="79"/>
  <c r="H45" i="79"/>
  <c r="D45" i="79"/>
  <c r="B45" i="79"/>
  <c r="X44" i="79"/>
  <c r="Z44" i="79" s="1"/>
  <c r="N44" i="79"/>
  <c r="L44" i="79"/>
  <c r="B44" i="79"/>
  <c r="Z43" i="79"/>
  <c r="X43" i="79"/>
  <c r="T43" i="79"/>
  <c r="P43" i="79"/>
  <c r="H43" i="79"/>
  <c r="D43" i="79"/>
  <c r="B43" i="79"/>
  <c r="X42" i="79"/>
  <c r="Z42" i="79" s="1"/>
  <c r="V42" i="79"/>
  <c r="N42" i="79"/>
  <c r="L42" i="79"/>
  <c r="B42" i="79"/>
  <c r="X41" i="79"/>
  <c r="Z41" i="79" s="1"/>
  <c r="L41" i="79"/>
  <c r="N41" i="79" s="1"/>
  <c r="B41" i="79"/>
  <c r="T40" i="79"/>
  <c r="P40" i="79"/>
  <c r="X40" i="79" s="1"/>
  <c r="L40" i="79"/>
  <c r="N40" i="79" s="1"/>
  <c r="H40" i="79"/>
  <c r="D40" i="79"/>
  <c r="B40" i="79"/>
  <c r="X39" i="79"/>
  <c r="Z39" i="79" s="1"/>
  <c r="V39" i="79"/>
  <c r="N39" i="79"/>
  <c r="L39" i="79"/>
  <c r="B39" i="79"/>
  <c r="T38" i="79"/>
  <c r="Z38" i="79" s="1"/>
  <c r="P38" i="79"/>
  <c r="X38" i="79" s="1"/>
  <c r="L38" i="79"/>
  <c r="H38" i="79"/>
  <c r="N38" i="79" s="1"/>
  <c r="D38" i="79"/>
  <c r="B38" i="79"/>
  <c r="X37" i="79"/>
  <c r="Z37" i="79" s="1"/>
  <c r="L37" i="79"/>
  <c r="N37" i="79" s="1"/>
  <c r="B37" i="79"/>
  <c r="Z36" i="79"/>
  <c r="X36" i="79"/>
  <c r="N36" i="79"/>
  <c r="L36" i="79"/>
  <c r="B36" i="79"/>
  <c r="X35" i="79"/>
  <c r="Z35" i="79" s="1"/>
  <c r="T35" i="79"/>
  <c r="P35" i="79"/>
  <c r="H35" i="79"/>
  <c r="D35" i="79"/>
  <c r="B35" i="79"/>
  <c r="Z34" i="79"/>
  <c r="X34" i="79"/>
  <c r="N34" i="79"/>
  <c r="L34" i="79"/>
  <c r="B34" i="79"/>
  <c r="Z33" i="79"/>
  <c r="X33" i="79"/>
  <c r="N33" i="79"/>
  <c r="L33" i="79"/>
  <c r="B33" i="79"/>
  <c r="Z32" i="79"/>
  <c r="X32" i="79"/>
  <c r="N32" i="79"/>
  <c r="L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V29" i="79"/>
  <c r="N29" i="79"/>
  <c r="L29" i="79"/>
  <c r="B29" i="79"/>
  <c r="Z28" i="79"/>
  <c r="X28" i="79"/>
  <c r="L28" i="79"/>
  <c r="N28" i="79" s="1"/>
  <c r="B28" i="79"/>
  <c r="T27" i="79"/>
  <c r="P27" i="79"/>
  <c r="X27" i="79" s="1"/>
  <c r="H27" i="79"/>
  <c r="F27" i="79"/>
  <c r="D27" i="79"/>
  <c r="L27" i="79" s="1"/>
  <c r="N27" i="79" s="1"/>
  <c r="B27" i="79"/>
  <c r="T26" i="79"/>
  <c r="P26" i="79"/>
  <c r="X26" i="79" s="1"/>
  <c r="H26" i="79"/>
  <c r="D26" i="79"/>
  <c r="L26" i="79" s="1"/>
  <c r="N26" i="79" s="1"/>
  <c r="X22" i="79"/>
  <c r="Z22" i="79" s="1"/>
  <c r="L22" i="79"/>
  <c r="N22" i="79" s="1"/>
  <c r="B22" i="79"/>
  <c r="Z21" i="79"/>
  <c r="X21" i="79"/>
  <c r="L21" i="79"/>
  <c r="N21" i="79" s="1"/>
  <c r="B21" i="79"/>
  <c r="X20" i="79"/>
  <c r="Z20" i="79" s="1"/>
  <c r="L20" i="79"/>
  <c r="N20" i="79" s="1"/>
  <c r="B20" i="79"/>
  <c r="Z19" i="79"/>
  <c r="X19" i="79"/>
  <c r="N19" i="79"/>
  <c r="L19" i="79"/>
  <c r="B19" i="79"/>
  <c r="X18" i="79"/>
  <c r="Z18" i="79" s="1"/>
  <c r="V18" i="79"/>
  <c r="L18" i="79"/>
  <c r="N18" i="79" s="1"/>
  <c r="F18" i="79"/>
  <c r="B18" i="79"/>
  <c r="T17" i="79"/>
  <c r="P17" i="79"/>
  <c r="X17" i="79" s="1"/>
  <c r="H17" i="79"/>
  <c r="D17" i="79"/>
  <c r="L17" i="79" s="1"/>
  <c r="N17" i="79" s="1"/>
  <c r="T15" i="79"/>
  <c r="P15" i="79"/>
  <c r="X15" i="79" s="1"/>
  <c r="Z15" i="79" s="1"/>
  <c r="L15" i="79"/>
  <c r="N15" i="79" s="1"/>
  <c r="H15" i="79"/>
  <c r="D15" i="79"/>
  <c r="B15" i="79"/>
  <c r="X14" i="79"/>
  <c r="T14" i="79"/>
  <c r="P14" i="79"/>
  <c r="H14" i="79"/>
  <c r="D14" i="79"/>
  <c r="B14" i="79"/>
  <c r="T13" i="79"/>
  <c r="P13" i="79"/>
  <c r="L13" i="79"/>
  <c r="N13" i="79" s="1"/>
  <c r="H13" i="79"/>
  <c r="H12" i="79" s="1"/>
  <c r="J48" i="79" s="1"/>
  <c r="D13" i="79"/>
  <c r="B13" i="79"/>
  <c r="T12" i="79"/>
  <c r="V49" i="79" s="1"/>
  <c r="D12" i="79"/>
  <c r="F17" i="79" s="1"/>
  <c r="D6" i="79"/>
  <c r="D4" i="79"/>
  <c r="X86" i="77"/>
  <c r="Z86" i="77" s="1"/>
  <c r="N86" i="77"/>
  <c r="L86" i="77"/>
  <c r="Z82" i="77"/>
  <c r="X82" i="77"/>
  <c r="T82" i="77"/>
  <c r="T79" i="77" s="1"/>
  <c r="P82" i="77"/>
  <c r="L82" i="77"/>
  <c r="H82" i="77"/>
  <c r="D82" i="77"/>
  <c r="B82" i="77"/>
  <c r="Z81" i="77"/>
  <c r="X81" i="77"/>
  <c r="T81" i="77"/>
  <c r="P81" i="77"/>
  <c r="N81" i="77"/>
  <c r="H81" i="77"/>
  <c r="D81" i="77"/>
  <c r="B81" i="77"/>
  <c r="T80" i="77"/>
  <c r="P80" i="77"/>
  <c r="X80" i="77" s="1"/>
  <c r="Z80" i="77" s="1"/>
  <c r="H80" i="77"/>
  <c r="D80" i="77"/>
  <c r="L80" i="77" s="1"/>
  <c r="N80" i="77" s="1"/>
  <c r="B80" i="77"/>
  <c r="P79" i="77"/>
  <c r="X79" i="77" s="1"/>
  <c r="H79" i="77"/>
  <c r="Z77" i="77"/>
  <c r="X77" i="77"/>
  <c r="N77" i="77"/>
  <c r="L77" i="77"/>
  <c r="B77" i="77"/>
  <c r="Z76" i="77"/>
  <c r="X76" i="77"/>
  <c r="T76" i="77"/>
  <c r="P76" i="77"/>
  <c r="L76" i="77"/>
  <c r="H76" i="77"/>
  <c r="D76" i="77"/>
  <c r="B76" i="77"/>
  <c r="X75" i="77"/>
  <c r="Z75" i="77" s="1"/>
  <c r="L75" i="77"/>
  <c r="N75" i="77" s="1"/>
  <c r="B75" i="77"/>
  <c r="X74" i="77"/>
  <c r="Z74" i="77" s="1"/>
  <c r="N74" i="77"/>
  <c r="L74" i="77"/>
  <c r="B74" i="77"/>
  <c r="X73" i="77"/>
  <c r="Z73" i="77" s="1"/>
  <c r="T73" i="77"/>
  <c r="P73" i="77"/>
  <c r="L73" i="77"/>
  <c r="N73" i="77" s="1"/>
  <c r="H73" i="77"/>
  <c r="D73" i="77"/>
  <c r="B73" i="77"/>
  <c r="Z72" i="77"/>
  <c r="X72" i="77"/>
  <c r="N72" i="77"/>
  <c r="L72" i="77"/>
  <c r="B72" i="77"/>
  <c r="T71" i="77"/>
  <c r="P71" i="77"/>
  <c r="L71" i="77"/>
  <c r="H71" i="77"/>
  <c r="D71" i="77"/>
  <c r="B71" i="77"/>
  <c r="X70" i="77"/>
  <c r="Z70" i="77" s="1"/>
  <c r="N70" i="77"/>
  <c r="L70" i="77"/>
  <c r="B70" i="77"/>
  <c r="T69" i="77"/>
  <c r="P69" i="77"/>
  <c r="X69" i="77" s="1"/>
  <c r="H69" i="77"/>
  <c r="D69" i="77"/>
  <c r="L69" i="77" s="1"/>
  <c r="B69" i="77"/>
  <c r="Z68" i="77"/>
  <c r="X68" i="77"/>
  <c r="N68" i="77"/>
  <c r="L68" i="77"/>
  <c r="B68" i="77"/>
  <c r="X67" i="77"/>
  <c r="Z67" i="77" s="1"/>
  <c r="T67" i="77"/>
  <c r="P67" i="77"/>
  <c r="H67" i="77"/>
  <c r="D67" i="77"/>
  <c r="L67" i="77" s="1"/>
  <c r="N67" i="77" s="1"/>
  <c r="B67" i="77"/>
  <c r="Z66" i="77"/>
  <c r="X66" i="77"/>
  <c r="L66" i="77"/>
  <c r="N66" i="77" s="1"/>
  <c r="B66" i="77"/>
  <c r="T65" i="77"/>
  <c r="P65" i="77"/>
  <c r="H65" i="77"/>
  <c r="D65" i="77"/>
  <c r="L65" i="77" s="1"/>
  <c r="B65" i="77"/>
  <c r="Z64" i="77"/>
  <c r="X64" i="77"/>
  <c r="N64" i="77"/>
  <c r="L64" i="77"/>
  <c r="B64" i="77"/>
  <c r="T63" i="77"/>
  <c r="P63" i="77"/>
  <c r="X63" i="77" s="1"/>
  <c r="H63" i="77"/>
  <c r="N63" i="77" s="1"/>
  <c r="D63" i="77"/>
  <c r="L63" i="77" s="1"/>
  <c r="B63" i="77"/>
  <c r="Z62" i="77"/>
  <c r="X62" i="77"/>
  <c r="N62" i="77"/>
  <c r="L62" i="77"/>
  <c r="B62" i="77"/>
  <c r="T61" i="77"/>
  <c r="P61" i="77"/>
  <c r="X61" i="77" s="1"/>
  <c r="Z61" i="77" s="1"/>
  <c r="L61" i="77"/>
  <c r="N61" i="77" s="1"/>
  <c r="H61" i="77"/>
  <c r="D61" i="77"/>
  <c r="B61" i="77"/>
  <c r="Z60" i="77"/>
  <c r="X60" i="77"/>
  <c r="N60" i="77"/>
  <c r="L60" i="77"/>
  <c r="B60" i="77"/>
  <c r="Z59" i="77"/>
  <c r="X59" i="77"/>
  <c r="N59" i="77"/>
  <c r="L59" i="77"/>
  <c r="B59" i="77"/>
  <c r="Z58" i="77"/>
  <c r="X58" i="77"/>
  <c r="L58" i="77"/>
  <c r="N58" i="77" s="1"/>
  <c r="B58" i="77"/>
  <c r="X57" i="77"/>
  <c r="Z57" i="77" s="1"/>
  <c r="L57" i="77"/>
  <c r="N57" i="77" s="1"/>
  <c r="B57" i="77"/>
  <c r="Z56" i="77"/>
  <c r="T56" i="77"/>
  <c r="P56" i="77"/>
  <c r="X56" i="77" s="1"/>
  <c r="H56" i="77"/>
  <c r="D56" i="77"/>
  <c r="L56" i="77" s="1"/>
  <c r="N56" i="77" s="1"/>
  <c r="B56" i="77"/>
  <c r="X55" i="77"/>
  <c r="Z55" i="77" s="1"/>
  <c r="L55" i="77"/>
  <c r="N55" i="77" s="1"/>
  <c r="B55" i="77"/>
  <c r="X54" i="77"/>
  <c r="Z54" i="77" s="1"/>
  <c r="N54" i="77"/>
  <c r="L54" i="77"/>
  <c r="B54" i="77"/>
  <c r="X53" i="77"/>
  <c r="Z53" i="77" s="1"/>
  <c r="L53" i="77"/>
  <c r="N53" i="77" s="1"/>
  <c r="B53" i="77"/>
  <c r="Z52" i="77"/>
  <c r="X52" i="77"/>
  <c r="N52" i="77"/>
  <c r="L52" i="77"/>
  <c r="B52" i="77"/>
  <c r="X51" i="77"/>
  <c r="Z51" i="77" s="1"/>
  <c r="L51" i="77"/>
  <c r="N51" i="77" s="1"/>
  <c r="B51" i="77"/>
  <c r="X50" i="77"/>
  <c r="Z50" i="77" s="1"/>
  <c r="N50" i="77"/>
  <c r="L50" i="77"/>
  <c r="B50" i="77"/>
  <c r="X49" i="77"/>
  <c r="Z49" i="77" s="1"/>
  <c r="N49" i="77"/>
  <c r="L49" i="77"/>
  <c r="B49" i="77"/>
  <c r="Z48" i="77"/>
  <c r="X48" i="77"/>
  <c r="N48" i="77"/>
  <c r="L48" i="77"/>
  <c r="B48" i="77"/>
  <c r="X47" i="77"/>
  <c r="Z47" i="77" s="1"/>
  <c r="L47" i="77"/>
  <c r="N47" i="77" s="1"/>
  <c r="B47" i="77"/>
  <c r="X46" i="77"/>
  <c r="T46" i="77"/>
  <c r="Z46" i="77" s="1"/>
  <c r="P46" i="77"/>
  <c r="N46" i="77"/>
  <c r="L46" i="77"/>
  <c r="H46" i="77"/>
  <c r="D46" i="77"/>
  <c r="B46" i="77"/>
  <c r="T45" i="77"/>
  <c r="P45" i="77"/>
  <c r="X45" i="77" s="1"/>
  <c r="Z45" i="77" s="1"/>
  <c r="L45" i="77"/>
  <c r="N45" i="77" s="1"/>
  <c r="H45" i="77"/>
  <c r="D45" i="77"/>
  <c r="X41" i="77"/>
  <c r="Z41" i="77" s="1"/>
  <c r="L41" i="77"/>
  <c r="N41" i="77" s="1"/>
  <c r="B41" i="77"/>
  <c r="Z40" i="77"/>
  <c r="X40" i="77"/>
  <c r="N40" i="77"/>
  <c r="L40" i="77"/>
  <c r="B40" i="77"/>
  <c r="X39" i="77"/>
  <c r="Z39" i="77" s="1"/>
  <c r="L39" i="77"/>
  <c r="N39" i="77" s="1"/>
  <c r="B39" i="77"/>
  <c r="Z38" i="77"/>
  <c r="X38" i="77"/>
  <c r="N38" i="77"/>
  <c r="L38" i="77"/>
  <c r="B38" i="77"/>
  <c r="Z37" i="77"/>
  <c r="X37" i="77"/>
  <c r="L37" i="77"/>
  <c r="N37" i="77" s="1"/>
  <c r="B37" i="77"/>
  <c r="Z36" i="77"/>
  <c r="X36" i="77"/>
  <c r="N36" i="77"/>
  <c r="L36" i="77"/>
  <c r="B36" i="77"/>
  <c r="X35" i="77"/>
  <c r="Z35" i="77" s="1"/>
  <c r="L35" i="77"/>
  <c r="N35" i="77" s="1"/>
  <c r="B35" i="77"/>
  <c r="Z34" i="77"/>
  <c r="X34" i="77"/>
  <c r="N34" i="77"/>
  <c r="L34" i="77"/>
  <c r="B34" i="77"/>
  <c r="X33" i="77"/>
  <c r="Z33" i="77" s="1"/>
  <c r="L33" i="77"/>
  <c r="N33" i="77" s="1"/>
  <c r="B33" i="77"/>
  <c r="T32" i="77"/>
  <c r="P32" i="77"/>
  <c r="X32" i="77" s="1"/>
  <c r="H32" i="77"/>
  <c r="N32" i="77" s="1"/>
  <c r="D32" i="77"/>
  <c r="L32" i="77" s="1"/>
  <c r="T30" i="77"/>
  <c r="P30" i="77"/>
  <c r="X30" i="77" s="1"/>
  <c r="N30" i="77"/>
  <c r="H30" i="77"/>
  <c r="L30" i="77" s="1"/>
  <c r="D30" i="77"/>
  <c r="B30" i="77"/>
  <c r="Z29" i="77"/>
  <c r="X29" i="77"/>
  <c r="T29" i="77"/>
  <c r="P29" i="77"/>
  <c r="H29" i="77"/>
  <c r="N29" i="77" s="1"/>
  <c r="D29" i="77"/>
  <c r="B29" i="77"/>
  <c r="T28" i="77"/>
  <c r="P28" i="77"/>
  <c r="N28" i="77"/>
  <c r="H28" i="77"/>
  <c r="L28" i="77" s="1"/>
  <c r="D28" i="77"/>
  <c r="B28" i="77"/>
  <c r="X27" i="77"/>
  <c r="Z27" i="77" s="1"/>
  <c r="T27" i="77"/>
  <c r="P27" i="77"/>
  <c r="H27" i="77"/>
  <c r="D27" i="77"/>
  <c r="L27" i="77" s="1"/>
  <c r="B27" i="77"/>
  <c r="T26" i="77"/>
  <c r="Z26" i="77" s="1"/>
  <c r="P26" i="77"/>
  <c r="X26" i="77" s="1"/>
  <c r="N26" i="77"/>
  <c r="L26" i="77"/>
  <c r="H26" i="77"/>
  <c r="D26" i="77"/>
  <c r="B26" i="77"/>
  <c r="X25" i="77"/>
  <c r="Z25" i="77" s="1"/>
  <c r="T25" i="77"/>
  <c r="P25" i="77"/>
  <c r="H25" i="77"/>
  <c r="D25" i="77"/>
  <c r="B25" i="77"/>
  <c r="T24" i="77"/>
  <c r="P24" i="77"/>
  <c r="X24" i="77" s="1"/>
  <c r="N24" i="77"/>
  <c r="L24" i="77"/>
  <c r="H24" i="77"/>
  <c r="D24" i="77"/>
  <c r="B24" i="77"/>
  <c r="X23" i="77"/>
  <c r="Z23" i="77" s="1"/>
  <c r="T23" i="77"/>
  <c r="P23" i="77"/>
  <c r="H23" i="77"/>
  <c r="D23" i="77"/>
  <c r="L23" i="77" s="1"/>
  <c r="B23" i="77"/>
  <c r="T22" i="77"/>
  <c r="P22" i="77"/>
  <c r="X22" i="77" s="1"/>
  <c r="N22" i="77"/>
  <c r="L22" i="77"/>
  <c r="H22" i="77"/>
  <c r="D22" i="77"/>
  <c r="B22" i="77"/>
  <c r="X21" i="77"/>
  <c r="Z21" i="77" s="1"/>
  <c r="T21" i="77"/>
  <c r="P21" i="77"/>
  <c r="H21" i="77"/>
  <c r="D21" i="77"/>
  <c r="B21" i="77"/>
  <c r="T20" i="77"/>
  <c r="P20" i="77"/>
  <c r="N20" i="77"/>
  <c r="L20" i="77"/>
  <c r="H20" i="77"/>
  <c r="D20" i="77"/>
  <c r="B20" i="77"/>
  <c r="Z19" i="77"/>
  <c r="X19" i="77"/>
  <c r="T19" i="77"/>
  <c r="P19" i="77"/>
  <c r="H19" i="77"/>
  <c r="N19" i="77" s="1"/>
  <c r="D19" i="77"/>
  <c r="L19" i="77" s="1"/>
  <c r="B19" i="77"/>
  <c r="T18" i="77"/>
  <c r="P18" i="77"/>
  <c r="X18" i="77" s="1"/>
  <c r="N18" i="77"/>
  <c r="L18" i="77"/>
  <c r="H18" i="77"/>
  <c r="D18" i="77"/>
  <c r="B18" i="77"/>
  <c r="X17" i="77"/>
  <c r="Z17" i="77" s="1"/>
  <c r="T17" i="77"/>
  <c r="P17" i="77"/>
  <c r="H17" i="77"/>
  <c r="D17" i="77"/>
  <c r="B17" i="77"/>
  <c r="T16" i="77"/>
  <c r="P16" i="77"/>
  <c r="X16" i="77" s="1"/>
  <c r="N16" i="77"/>
  <c r="L16" i="77"/>
  <c r="H16" i="77"/>
  <c r="D16" i="77"/>
  <c r="B16" i="77"/>
  <c r="X15" i="77"/>
  <c r="Z15" i="77" s="1"/>
  <c r="T15" i="77"/>
  <c r="P15" i="77"/>
  <c r="H15" i="77"/>
  <c r="D15" i="77"/>
  <c r="L15" i="77" s="1"/>
  <c r="B15" i="77"/>
  <c r="T14" i="77"/>
  <c r="P14" i="77"/>
  <c r="N14" i="77"/>
  <c r="L14" i="77"/>
  <c r="H14" i="77"/>
  <c r="D14" i="77"/>
  <c r="B14" i="77"/>
  <c r="X13" i="77"/>
  <c r="Z13" i="77" s="1"/>
  <c r="T13" i="77"/>
  <c r="P13" i="77"/>
  <c r="H13" i="77"/>
  <c r="D13" i="77"/>
  <c r="B13" i="77"/>
  <c r="D6" i="77"/>
  <c r="D4" i="77"/>
  <c r="Z66" i="76"/>
  <c r="X66" i="76"/>
  <c r="N66" i="76"/>
  <c r="L66" i="76"/>
  <c r="T62" i="76"/>
  <c r="P62" i="76"/>
  <c r="H62" i="76"/>
  <c r="D62" i="76"/>
  <c r="D61" i="76" s="1"/>
  <c r="L61" i="76" s="1"/>
  <c r="B62" i="76"/>
  <c r="H61" i="76"/>
  <c r="X59" i="76"/>
  <c r="Z59" i="76" s="1"/>
  <c r="N59" i="76"/>
  <c r="L59" i="76"/>
  <c r="B59" i="76"/>
  <c r="Z58" i="76"/>
  <c r="T58" i="76"/>
  <c r="P58" i="76"/>
  <c r="X58" i="76" s="1"/>
  <c r="H58" i="76"/>
  <c r="D58" i="76"/>
  <c r="L58" i="76" s="1"/>
  <c r="N58" i="76" s="1"/>
  <c r="B58" i="76"/>
  <c r="Z57" i="76"/>
  <c r="X57" i="76"/>
  <c r="L57" i="76"/>
  <c r="N57" i="76" s="1"/>
  <c r="B57" i="76"/>
  <c r="Z56" i="76"/>
  <c r="X56" i="76"/>
  <c r="N56" i="76"/>
  <c r="L56" i="76"/>
  <c r="B56" i="76"/>
  <c r="Z55" i="76"/>
  <c r="X55" i="76"/>
  <c r="L55" i="76"/>
  <c r="N55" i="76" s="1"/>
  <c r="B55" i="76"/>
  <c r="Z54" i="76"/>
  <c r="X54" i="76"/>
  <c r="N54" i="76"/>
  <c r="L54" i="76"/>
  <c r="B54" i="76"/>
  <c r="T53" i="76"/>
  <c r="P53" i="76"/>
  <c r="X53" i="76" s="1"/>
  <c r="H53" i="76"/>
  <c r="D53" i="76"/>
  <c r="L53" i="76" s="1"/>
  <c r="B53" i="76"/>
  <c r="Z52" i="76"/>
  <c r="X52" i="76"/>
  <c r="N52" i="76"/>
  <c r="L52" i="76"/>
  <c r="B52" i="76"/>
  <c r="X51" i="76"/>
  <c r="Z51" i="76" s="1"/>
  <c r="T51" i="76"/>
  <c r="P51" i="76"/>
  <c r="L51" i="76"/>
  <c r="N51" i="76" s="1"/>
  <c r="H51" i="76"/>
  <c r="D51" i="76"/>
  <c r="B51" i="76"/>
  <c r="Z50" i="76"/>
  <c r="X50" i="76"/>
  <c r="L50" i="76"/>
  <c r="N50" i="76" s="1"/>
  <c r="B50" i="76"/>
  <c r="X49" i="76"/>
  <c r="T49" i="76"/>
  <c r="P49" i="76"/>
  <c r="H49" i="76"/>
  <c r="D49" i="76"/>
  <c r="B49" i="76"/>
  <c r="Z48" i="76"/>
  <c r="X48" i="76"/>
  <c r="N48" i="76"/>
  <c r="L48" i="76"/>
  <c r="B48" i="76"/>
  <c r="T47" i="76"/>
  <c r="P47" i="76"/>
  <c r="X47" i="76" s="1"/>
  <c r="H47" i="76"/>
  <c r="N47" i="76" s="1"/>
  <c r="D47" i="76"/>
  <c r="L47" i="76" s="1"/>
  <c r="B47" i="76"/>
  <c r="Z46" i="76"/>
  <c r="X46" i="76"/>
  <c r="N46" i="76"/>
  <c r="L46" i="76"/>
  <c r="B46" i="76"/>
  <c r="X45" i="76"/>
  <c r="Z45" i="76" s="1"/>
  <c r="T45" i="76"/>
  <c r="P45" i="76"/>
  <c r="L45" i="76"/>
  <c r="N45" i="76" s="1"/>
  <c r="H45" i="76"/>
  <c r="D45" i="76"/>
  <c r="B45" i="76"/>
  <c r="Z44" i="76"/>
  <c r="X44" i="76"/>
  <c r="N44" i="76"/>
  <c r="L44" i="76"/>
  <c r="B44" i="76"/>
  <c r="T43" i="76"/>
  <c r="P43" i="76"/>
  <c r="H43" i="76"/>
  <c r="D43" i="76"/>
  <c r="B43" i="76"/>
  <c r="X42" i="76"/>
  <c r="Z42" i="76" s="1"/>
  <c r="N42" i="76"/>
  <c r="L42" i="76"/>
  <c r="B42" i="76"/>
  <c r="X41" i="76"/>
  <c r="Z41" i="76" s="1"/>
  <c r="N41" i="76"/>
  <c r="L41" i="76"/>
  <c r="B41" i="76"/>
  <c r="X40" i="76"/>
  <c r="Z40" i="76" s="1"/>
  <c r="N40" i="76"/>
  <c r="L40" i="76"/>
  <c r="B40" i="76"/>
  <c r="Z39" i="76"/>
  <c r="X39" i="76"/>
  <c r="L39" i="76"/>
  <c r="N39" i="76" s="1"/>
  <c r="B39" i="76"/>
  <c r="X38" i="76"/>
  <c r="Z38" i="76" s="1"/>
  <c r="T38" i="76"/>
  <c r="P38" i="76"/>
  <c r="N38" i="76"/>
  <c r="L38" i="76"/>
  <c r="H38" i="76"/>
  <c r="D38" i="76"/>
  <c r="B38" i="76"/>
  <c r="Z37" i="76"/>
  <c r="X37" i="76"/>
  <c r="L37" i="76"/>
  <c r="N37" i="76" s="1"/>
  <c r="B37" i="76"/>
  <c r="Z36" i="76"/>
  <c r="X36" i="76"/>
  <c r="N36" i="76"/>
  <c r="L36" i="76"/>
  <c r="B36" i="76"/>
  <c r="Z35" i="76"/>
  <c r="X35" i="76"/>
  <c r="L35" i="76"/>
  <c r="N35" i="76" s="1"/>
  <c r="B35" i="76"/>
  <c r="Z34" i="76"/>
  <c r="X34" i="76"/>
  <c r="N34" i="76"/>
  <c r="L34" i="76"/>
  <c r="B34" i="76"/>
  <c r="X33" i="76"/>
  <c r="Z33" i="76" s="1"/>
  <c r="L33" i="76"/>
  <c r="N33" i="76" s="1"/>
  <c r="B33" i="76"/>
  <c r="Z32" i="76"/>
  <c r="X32" i="76"/>
  <c r="N32" i="76"/>
  <c r="L32" i="76"/>
  <c r="B32" i="76"/>
  <c r="X31" i="76"/>
  <c r="Z31" i="76" s="1"/>
  <c r="L31" i="76"/>
  <c r="N31" i="76" s="1"/>
  <c r="B31" i="76"/>
  <c r="Z30" i="76"/>
  <c r="X30" i="76"/>
  <c r="N30" i="76"/>
  <c r="L30" i="76"/>
  <c r="B30" i="76"/>
  <c r="T29" i="76"/>
  <c r="P29" i="76"/>
  <c r="X29" i="76" s="1"/>
  <c r="Z29" i="76" s="1"/>
  <c r="N29" i="76"/>
  <c r="L29" i="76"/>
  <c r="H29" i="76"/>
  <c r="D29" i="76"/>
  <c r="B29" i="76"/>
  <c r="T28" i="76"/>
  <c r="P28" i="76"/>
  <c r="X28" i="76" s="1"/>
  <c r="Z28" i="76" s="1"/>
  <c r="H28" i="76"/>
  <c r="D28" i="76"/>
  <c r="L28" i="76" s="1"/>
  <c r="N28" i="76" s="1"/>
  <c r="Z24" i="76"/>
  <c r="T24" i="76"/>
  <c r="P24" i="76"/>
  <c r="X24" i="76" s="1"/>
  <c r="N24" i="76"/>
  <c r="H24" i="76"/>
  <c r="D24" i="76"/>
  <c r="L24" i="76" s="1"/>
  <c r="Z22" i="76"/>
  <c r="X22" i="76"/>
  <c r="T22" i="76"/>
  <c r="P22" i="76"/>
  <c r="N22" i="76"/>
  <c r="H22" i="76"/>
  <c r="L22" i="76" s="1"/>
  <c r="D22" i="76"/>
  <c r="B22" i="76"/>
  <c r="T21" i="76"/>
  <c r="Z21" i="76" s="1"/>
  <c r="P21" i="76"/>
  <c r="X21" i="76" s="1"/>
  <c r="N21" i="76"/>
  <c r="H21" i="76"/>
  <c r="D21" i="76"/>
  <c r="L21" i="76" s="1"/>
  <c r="B21" i="76"/>
  <c r="T20" i="76"/>
  <c r="P20" i="76"/>
  <c r="X20" i="76" s="1"/>
  <c r="Z20" i="76" s="1"/>
  <c r="L20" i="76"/>
  <c r="H20" i="76"/>
  <c r="D20" i="76"/>
  <c r="B20" i="76"/>
  <c r="T19" i="76"/>
  <c r="P19" i="76"/>
  <c r="X19" i="76" s="1"/>
  <c r="H19" i="76"/>
  <c r="N19" i="76" s="1"/>
  <c r="D19" i="76"/>
  <c r="L19" i="76" s="1"/>
  <c r="B19" i="76"/>
  <c r="Z18" i="76"/>
  <c r="X18" i="76"/>
  <c r="T18" i="76"/>
  <c r="P18" i="76"/>
  <c r="H18" i="76"/>
  <c r="D18" i="76"/>
  <c r="B18" i="76"/>
  <c r="T17" i="76"/>
  <c r="P17" i="76"/>
  <c r="H17" i="76"/>
  <c r="D17" i="76"/>
  <c r="L17" i="76" s="1"/>
  <c r="N17" i="76" s="1"/>
  <c r="B17" i="76"/>
  <c r="T16" i="76"/>
  <c r="P16" i="76"/>
  <c r="X16" i="76" s="1"/>
  <c r="Z16" i="76" s="1"/>
  <c r="H16" i="76"/>
  <c r="D16" i="76"/>
  <c r="B16" i="76"/>
  <c r="X15" i="76"/>
  <c r="T15" i="76"/>
  <c r="P15" i="76"/>
  <c r="H15" i="76"/>
  <c r="N15" i="76" s="1"/>
  <c r="D15" i="76"/>
  <c r="L15" i="76" s="1"/>
  <c r="B15" i="76"/>
  <c r="Z14" i="76"/>
  <c r="X14" i="76"/>
  <c r="T14" i="76"/>
  <c r="P14" i="76"/>
  <c r="N14" i="76"/>
  <c r="L14" i="76"/>
  <c r="H14" i="76"/>
  <c r="D14" i="76"/>
  <c r="B14" i="76"/>
  <c r="T13" i="76"/>
  <c r="P13" i="76"/>
  <c r="H13" i="76"/>
  <c r="D13" i="76"/>
  <c r="B13" i="76"/>
  <c r="H12" i="76"/>
  <c r="D6" i="76"/>
  <c r="D4" i="76"/>
  <c r="Z92" i="75"/>
  <c r="X92" i="75"/>
  <c r="N92" i="75"/>
  <c r="L92" i="75"/>
  <c r="Z88" i="75"/>
  <c r="T88" i="75"/>
  <c r="P88" i="75"/>
  <c r="X88" i="75" s="1"/>
  <c r="L88" i="75"/>
  <c r="N88" i="75" s="1"/>
  <c r="H88" i="75"/>
  <c r="D88" i="75"/>
  <c r="D87" i="75" s="1"/>
  <c r="L87" i="75" s="1"/>
  <c r="B88" i="75"/>
  <c r="T87" i="75"/>
  <c r="P87" i="75"/>
  <c r="X87" i="75" s="1"/>
  <c r="N87" i="75"/>
  <c r="H87" i="75"/>
  <c r="Z85" i="75"/>
  <c r="X85" i="75"/>
  <c r="N85" i="75"/>
  <c r="L85" i="75"/>
  <c r="B85" i="75"/>
  <c r="X84" i="75"/>
  <c r="Z84" i="75" s="1"/>
  <c r="T84" i="75"/>
  <c r="P84" i="75"/>
  <c r="H84" i="75"/>
  <c r="D84" i="75"/>
  <c r="B84" i="75"/>
  <c r="Z83" i="75"/>
  <c r="X83" i="75"/>
  <c r="L83" i="75"/>
  <c r="N83" i="75" s="1"/>
  <c r="B83" i="75"/>
  <c r="T82" i="75"/>
  <c r="P82" i="75"/>
  <c r="X82" i="75" s="1"/>
  <c r="H82" i="75"/>
  <c r="D82" i="75"/>
  <c r="L82" i="75" s="1"/>
  <c r="B82" i="75"/>
  <c r="X81" i="75"/>
  <c r="Z81" i="75" s="1"/>
  <c r="N81" i="75"/>
  <c r="L81" i="75"/>
  <c r="B81" i="75"/>
  <c r="T80" i="75"/>
  <c r="P80" i="75"/>
  <c r="X80" i="75" s="1"/>
  <c r="Z80" i="75" s="1"/>
  <c r="H80" i="75"/>
  <c r="D80" i="75"/>
  <c r="L80" i="75" s="1"/>
  <c r="N80" i="75" s="1"/>
  <c r="B80" i="75"/>
  <c r="Z79" i="75"/>
  <c r="X79" i="75"/>
  <c r="N79" i="75"/>
  <c r="L79" i="75"/>
  <c r="B79" i="75"/>
  <c r="X78" i="75"/>
  <c r="Z78" i="75" s="1"/>
  <c r="N78" i="75"/>
  <c r="L78" i="75"/>
  <c r="B78" i="75"/>
  <c r="Z77" i="75"/>
  <c r="X77" i="75"/>
  <c r="N77" i="75"/>
  <c r="L77" i="75"/>
  <c r="B77" i="75"/>
  <c r="X76" i="75"/>
  <c r="Z76" i="75" s="1"/>
  <c r="T76" i="75"/>
  <c r="P76" i="75"/>
  <c r="H76" i="75"/>
  <c r="D76" i="75"/>
  <c r="B76" i="75"/>
  <c r="Z75" i="75"/>
  <c r="X75" i="75"/>
  <c r="N75" i="75"/>
  <c r="L75" i="75"/>
  <c r="B75" i="75"/>
  <c r="Z74" i="75"/>
  <c r="X74" i="75"/>
  <c r="N74" i="75"/>
  <c r="L74" i="75"/>
  <c r="B74" i="75"/>
  <c r="X73" i="75"/>
  <c r="Z73" i="75" s="1"/>
  <c r="T73" i="75"/>
  <c r="P73" i="75"/>
  <c r="H73" i="75"/>
  <c r="D73" i="75"/>
  <c r="L73" i="75" s="1"/>
  <c r="N73" i="75" s="1"/>
  <c r="B73" i="75"/>
  <c r="X72" i="75"/>
  <c r="Z72" i="75" s="1"/>
  <c r="L72" i="75"/>
  <c r="N72" i="75" s="1"/>
  <c r="B72" i="75"/>
  <c r="X71" i="75"/>
  <c r="T71" i="75"/>
  <c r="P71" i="75"/>
  <c r="H71" i="75"/>
  <c r="D71" i="75"/>
  <c r="B71" i="75"/>
  <c r="X70" i="75"/>
  <c r="Z70" i="75" s="1"/>
  <c r="N70" i="75"/>
  <c r="L70" i="75"/>
  <c r="B70" i="75"/>
  <c r="T69" i="75"/>
  <c r="P69" i="75"/>
  <c r="H69" i="75"/>
  <c r="D69" i="75"/>
  <c r="L69" i="75" s="1"/>
  <c r="N69" i="75" s="1"/>
  <c r="B69" i="75"/>
  <c r="X68" i="75"/>
  <c r="Z68" i="75" s="1"/>
  <c r="N68" i="75"/>
  <c r="L68" i="75"/>
  <c r="B68" i="75"/>
  <c r="T67" i="75"/>
  <c r="P67" i="75"/>
  <c r="X67" i="75" s="1"/>
  <c r="Z67" i="75" s="1"/>
  <c r="N67" i="75"/>
  <c r="L67" i="75"/>
  <c r="H67" i="75"/>
  <c r="D67" i="75"/>
  <c r="B67" i="75"/>
  <c r="Z66" i="75"/>
  <c r="X66" i="75"/>
  <c r="L66" i="75"/>
  <c r="N66" i="75" s="1"/>
  <c r="B66" i="75"/>
  <c r="T65" i="75"/>
  <c r="P65" i="75"/>
  <c r="H65" i="75"/>
  <c r="D65" i="75"/>
  <c r="B65" i="75"/>
  <c r="X64" i="75"/>
  <c r="Z64" i="75" s="1"/>
  <c r="L64" i="75"/>
  <c r="N64" i="75" s="1"/>
  <c r="B64" i="75"/>
  <c r="T63" i="75"/>
  <c r="P63" i="75"/>
  <c r="X63" i="75" s="1"/>
  <c r="Z63" i="75" s="1"/>
  <c r="H63" i="75"/>
  <c r="D63" i="75"/>
  <c r="L63" i="75" s="1"/>
  <c r="B63" i="75"/>
  <c r="Z62" i="75"/>
  <c r="X62" i="75"/>
  <c r="N62" i="75"/>
  <c r="L62" i="75"/>
  <c r="B62" i="75"/>
  <c r="Z61" i="75"/>
  <c r="X61" i="75"/>
  <c r="L61" i="75"/>
  <c r="N61" i="75" s="1"/>
  <c r="B61" i="75"/>
  <c r="X60" i="75"/>
  <c r="Z60" i="75" s="1"/>
  <c r="L60" i="75"/>
  <c r="N60" i="75" s="1"/>
  <c r="B60" i="75"/>
  <c r="Z59" i="75"/>
  <c r="X59" i="75"/>
  <c r="L59" i="75"/>
  <c r="N59" i="75" s="1"/>
  <c r="B59" i="75"/>
  <c r="T58" i="75"/>
  <c r="P58" i="75"/>
  <c r="H58" i="75"/>
  <c r="D58" i="75"/>
  <c r="B58" i="75"/>
  <c r="X57" i="75"/>
  <c r="Z57" i="75" s="1"/>
  <c r="N57" i="75"/>
  <c r="L57" i="75"/>
  <c r="B57" i="75"/>
  <c r="X56" i="75"/>
  <c r="Z56" i="75" s="1"/>
  <c r="L56" i="75"/>
  <c r="N56" i="75" s="1"/>
  <c r="B56" i="75"/>
  <c r="X55" i="75"/>
  <c r="Z55" i="75" s="1"/>
  <c r="N55" i="75"/>
  <c r="L55" i="75"/>
  <c r="B55" i="75"/>
  <c r="Z54" i="75"/>
  <c r="X54" i="75"/>
  <c r="N54" i="75"/>
  <c r="L54" i="75"/>
  <c r="B54" i="75"/>
  <c r="X53" i="75"/>
  <c r="Z53" i="75" s="1"/>
  <c r="N53" i="75"/>
  <c r="L53" i="75"/>
  <c r="B53" i="75"/>
  <c r="Z52" i="75"/>
  <c r="X52" i="75"/>
  <c r="L52" i="75"/>
  <c r="N52" i="75" s="1"/>
  <c r="B52" i="75"/>
  <c r="X51" i="75"/>
  <c r="Z51" i="75" s="1"/>
  <c r="N51" i="75"/>
  <c r="L51" i="75"/>
  <c r="B51" i="75"/>
  <c r="Z50" i="75"/>
  <c r="X50" i="75"/>
  <c r="N50" i="75"/>
  <c r="L50" i="75"/>
  <c r="B50" i="75"/>
  <c r="T49" i="75"/>
  <c r="P49" i="75"/>
  <c r="L49" i="75"/>
  <c r="H49" i="75"/>
  <c r="D49" i="75"/>
  <c r="B49" i="75"/>
  <c r="X48" i="75"/>
  <c r="Z48" i="75" s="1"/>
  <c r="T48" i="75"/>
  <c r="P48" i="75"/>
  <c r="L48" i="75"/>
  <c r="N48" i="75" s="1"/>
  <c r="H48" i="75"/>
  <c r="D48" i="75"/>
  <c r="X44" i="75"/>
  <c r="Z44" i="75" s="1"/>
  <c r="L44" i="75"/>
  <c r="N44" i="75" s="1"/>
  <c r="B44" i="75"/>
  <c r="Z43" i="75"/>
  <c r="X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B41" i="75"/>
  <c r="X40" i="75"/>
  <c r="Z40" i="75" s="1"/>
  <c r="L40" i="75"/>
  <c r="N40" i="75" s="1"/>
  <c r="B40" i="75"/>
  <c r="Z39" i="75"/>
  <c r="X39" i="75"/>
  <c r="N39" i="75"/>
  <c r="L39" i="75"/>
  <c r="B39" i="75"/>
  <c r="X38" i="75"/>
  <c r="Z38" i="75" s="1"/>
  <c r="N38" i="75"/>
  <c r="L38" i="75"/>
  <c r="B38" i="75"/>
  <c r="Z37" i="75"/>
  <c r="X37" i="75"/>
  <c r="L37" i="75"/>
  <c r="N37" i="75" s="1"/>
  <c r="B37" i="75"/>
  <c r="X36" i="75"/>
  <c r="Z36" i="75" s="1"/>
  <c r="L36" i="75"/>
  <c r="N36" i="75" s="1"/>
  <c r="B36" i="75"/>
  <c r="Z35" i="75"/>
  <c r="X35" i="75"/>
  <c r="L35" i="75"/>
  <c r="N35" i="75" s="1"/>
  <c r="B35" i="75"/>
  <c r="Z34" i="75"/>
  <c r="X34" i="75"/>
  <c r="N34" i="75"/>
  <c r="L34" i="75"/>
  <c r="B34" i="75"/>
  <c r="Z33" i="75"/>
  <c r="X33" i="75"/>
  <c r="N33" i="75"/>
  <c r="L33" i="75"/>
  <c r="B33" i="75"/>
  <c r="X32" i="75"/>
  <c r="Z32" i="75" s="1"/>
  <c r="L32" i="75"/>
  <c r="N32" i="75" s="1"/>
  <c r="B32" i="75"/>
  <c r="Z31" i="75"/>
  <c r="T31" i="75"/>
  <c r="P31" i="75"/>
  <c r="X31" i="75" s="1"/>
  <c r="H31" i="75"/>
  <c r="D31" i="75"/>
  <c r="L31" i="75" s="1"/>
  <c r="Z29" i="75"/>
  <c r="T29" i="75"/>
  <c r="P29" i="75"/>
  <c r="X29" i="75" s="1"/>
  <c r="N29" i="75"/>
  <c r="L29" i="75"/>
  <c r="H29" i="75"/>
  <c r="D29" i="75"/>
  <c r="B29" i="75"/>
  <c r="T28" i="75"/>
  <c r="P28" i="75"/>
  <c r="X28" i="75" s="1"/>
  <c r="Z28" i="75" s="1"/>
  <c r="H28" i="75"/>
  <c r="D28" i="75"/>
  <c r="L28" i="75" s="1"/>
  <c r="B28" i="75"/>
  <c r="T27" i="75"/>
  <c r="Z27" i="75" s="1"/>
  <c r="P27" i="75"/>
  <c r="X27" i="75" s="1"/>
  <c r="L27" i="75"/>
  <c r="H27" i="75"/>
  <c r="D27" i="75"/>
  <c r="B27" i="75"/>
  <c r="T26" i="75"/>
  <c r="P26" i="75"/>
  <c r="H26" i="75"/>
  <c r="D26" i="75"/>
  <c r="B26" i="75"/>
  <c r="T25" i="75"/>
  <c r="P25" i="75"/>
  <c r="X25" i="75" s="1"/>
  <c r="Z25" i="75" s="1"/>
  <c r="N25" i="75"/>
  <c r="L25" i="75"/>
  <c r="H25" i="75"/>
  <c r="D25" i="75"/>
  <c r="B25" i="75"/>
  <c r="T24" i="75"/>
  <c r="P24" i="75"/>
  <c r="X24" i="75" s="1"/>
  <c r="Z24" i="75" s="1"/>
  <c r="H24" i="75"/>
  <c r="D24" i="75"/>
  <c r="L24" i="75" s="1"/>
  <c r="B24" i="75"/>
  <c r="T23" i="75"/>
  <c r="Z23" i="75" s="1"/>
  <c r="P23" i="75"/>
  <c r="X23" i="75" s="1"/>
  <c r="H23" i="75"/>
  <c r="D23" i="75"/>
  <c r="B23" i="75"/>
  <c r="T22" i="75"/>
  <c r="P22" i="75"/>
  <c r="H22" i="75"/>
  <c r="D22" i="75"/>
  <c r="L22" i="75" s="1"/>
  <c r="B22" i="75"/>
  <c r="Z21" i="75"/>
  <c r="T21" i="75"/>
  <c r="P21" i="75"/>
  <c r="X21" i="75" s="1"/>
  <c r="N21" i="75"/>
  <c r="L21" i="75"/>
  <c r="H21" i="75"/>
  <c r="D21" i="75"/>
  <c r="B21" i="75"/>
  <c r="T20" i="75"/>
  <c r="P20" i="75"/>
  <c r="X20" i="75" s="1"/>
  <c r="H20" i="75"/>
  <c r="N20" i="75" s="1"/>
  <c r="D20" i="75"/>
  <c r="L20" i="75" s="1"/>
  <c r="B20" i="75"/>
  <c r="T19" i="75"/>
  <c r="Z19" i="75" s="1"/>
  <c r="P19" i="75"/>
  <c r="X19" i="75" s="1"/>
  <c r="H19" i="75"/>
  <c r="D19" i="75"/>
  <c r="B19" i="75"/>
  <c r="X18" i="75"/>
  <c r="T18" i="75"/>
  <c r="P18" i="75"/>
  <c r="H18" i="75"/>
  <c r="D18" i="75"/>
  <c r="L18" i="75" s="1"/>
  <c r="B18" i="75"/>
  <c r="Z17" i="75"/>
  <c r="T17" i="75"/>
  <c r="P17" i="75"/>
  <c r="X17" i="75" s="1"/>
  <c r="N17" i="75"/>
  <c r="L17" i="75"/>
  <c r="H17" i="75"/>
  <c r="D17" i="75"/>
  <c r="B17" i="75"/>
  <c r="T16" i="75"/>
  <c r="P16" i="75"/>
  <c r="H16" i="75"/>
  <c r="N16" i="75" s="1"/>
  <c r="D16" i="75"/>
  <c r="L16" i="75" s="1"/>
  <c r="B16" i="75"/>
  <c r="T15" i="75"/>
  <c r="Z15" i="75" s="1"/>
  <c r="P15" i="75"/>
  <c r="X15" i="75" s="1"/>
  <c r="H15" i="75"/>
  <c r="D15" i="75"/>
  <c r="B15" i="75"/>
  <c r="T14" i="75"/>
  <c r="P14" i="75"/>
  <c r="H14" i="75"/>
  <c r="D14" i="75"/>
  <c r="B14" i="75"/>
  <c r="T13" i="75"/>
  <c r="P13" i="75"/>
  <c r="X13" i="75" s="1"/>
  <c r="Z13" i="75" s="1"/>
  <c r="N13" i="75"/>
  <c r="L13" i="75"/>
  <c r="H13" i="75"/>
  <c r="D13" i="75"/>
  <c r="B13" i="75"/>
  <c r="D6" i="75"/>
  <c r="D4" i="75"/>
  <c r="X71" i="74"/>
  <c r="Z71" i="74" s="1"/>
  <c r="L71" i="74"/>
  <c r="N71" i="74" s="1"/>
  <c r="Z67" i="74"/>
  <c r="X67" i="74"/>
  <c r="T67" i="74"/>
  <c r="P67" i="74"/>
  <c r="N67" i="74"/>
  <c r="L67" i="74"/>
  <c r="H67" i="74"/>
  <c r="D67" i="74"/>
  <c r="X65" i="74"/>
  <c r="Z65" i="74" s="1"/>
  <c r="L65" i="74"/>
  <c r="N65" i="74" s="1"/>
  <c r="B65" i="74"/>
  <c r="T64" i="74"/>
  <c r="P64" i="74"/>
  <c r="H64" i="74"/>
  <c r="D64" i="74"/>
  <c r="L64" i="74" s="1"/>
  <c r="B64" i="74"/>
  <c r="Z63" i="74"/>
  <c r="X63" i="74"/>
  <c r="N63" i="74"/>
  <c r="L63" i="74"/>
  <c r="B63" i="74"/>
  <c r="Z62" i="74"/>
  <c r="T62" i="74"/>
  <c r="P62" i="74"/>
  <c r="X62" i="74" s="1"/>
  <c r="N62" i="74"/>
  <c r="H62" i="74"/>
  <c r="D62" i="74"/>
  <c r="L62" i="74" s="1"/>
  <c r="B62" i="74"/>
  <c r="X61" i="74"/>
  <c r="Z61" i="74" s="1"/>
  <c r="L61" i="74"/>
  <c r="N61" i="74" s="1"/>
  <c r="B61" i="74"/>
  <c r="T60" i="74"/>
  <c r="P60" i="74"/>
  <c r="H60" i="74"/>
  <c r="D60" i="74"/>
  <c r="B60" i="74"/>
  <c r="Z59" i="74"/>
  <c r="X59" i="74"/>
  <c r="L59" i="74"/>
  <c r="N59" i="74" s="1"/>
  <c r="B59" i="74"/>
  <c r="Z58" i="74"/>
  <c r="X58" i="74"/>
  <c r="V58" i="74"/>
  <c r="N58" i="74"/>
  <c r="L58" i="74"/>
  <c r="B58" i="74"/>
  <c r="X57" i="74"/>
  <c r="Z57" i="74" s="1"/>
  <c r="L57" i="74"/>
  <c r="N57" i="74" s="1"/>
  <c r="B57" i="74"/>
  <c r="T56" i="74"/>
  <c r="P56" i="74"/>
  <c r="H56" i="74"/>
  <c r="D56" i="74"/>
  <c r="B56" i="74"/>
  <c r="X55" i="74"/>
  <c r="Z55" i="74" s="1"/>
  <c r="L55" i="74"/>
  <c r="N55" i="74" s="1"/>
  <c r="B55" i="74"/>
  <c r="Z54" i="74"/>
  <c r="X54" i="74"/>
  <c r="N54" i="74"/>
  <c r="L54" i="74"/>
  <c r="B54" i="74"/>
  <c r="X53" i="74"/>
  <c r="Z53" i="74" s="1"/>
  <c r="V53" i="74"/>
  <c r="N53" i="74"/>
  <c r="L53" i="74"/>
  <c r="B53" i="74"/>
  <c r="Z52" i="74"/>
  <c r="X52" i="74"/>
  <c r="L52" i="74"/>
  <c r="N52" i="74" s="1"/>
  <c r="B52" i="74"/>
  <c r="X51" i="74"/>
  <c r="Z51" i="74" s="1"/>
  <c r="L51" i="74"/>
  <c r="N51" i="74" s="1"/>
  <c r="B51" i="74"/>
  <c r="Z50" i="74"/>
  <c r="X50" i="74"/>
  <c r="N50" i="74"/>
  <c r="L50" i="74"/>
  <c r="B50" i="74"/>
  <c r="X49" i="74"/>
  <c r="Z49" i="74" s="1"/>
  <c r="N49" i="74"/>
  <c r="L49" i="74"/>
  <c r="B49" i="74"/>
  <c r="T48" i="74"/>
  <c r="P48" i="74"/>
  <c r="X48" i="74" s="1"/>
  <c r="Z48" i="74" s="1"/>
  <c r="N48" i="74"/>
  <c r="H48" i="74"/>
  <c r="D48" i="74"/>
  <c r="L48" i="74" s="1"/>
  <c r="B48" i="74"/>
  <c r="T47" i="74"/>
  <c r="P47" i="74"/>
  <c r="X47" i="74" s="1"/>
  <c r="H47" i="74"/>
  <c r="D47" i="74"/>
  <c r="T45" i="74"/>
  <c r="Z43" i="74"/>
  <c r="X43" i="74"/>
  <c r="N43" i="74"/>
  <c r="L43" i="74"/>
  <c r="B43" i="74"/>
  <c r="Z42" i="74"/>
  <c r="X42" i="74"/>
  <c r="N42" i="74"/>
  <c r="L42" i="74"/>
  <c r="B42" i="74"/>
  <c r="Z41" i="74"/>
  <c r="X41" i="74"/>
  <c r="L41" i="74"/>
  <c r="N41" i="74" s="1"/>
  <c r="B41" i="74"/>
  <c r="Z40" i="74"/>
  <c r="X40" i="74"/>
  <c r="V40" i="74"/>
  <c r="N40" i="74"/>
  <c r="L40" i="74"/>
  <c r="B40" i="74"/>
  <c r="X39" i="74"/>
  <c r="Z39" i="74" s="1"/>
  <c r="L39" i="74"/>
  <c r="N39" i="74" s="1"/>
  <c r="B39" i="74"/>
  <c r="Z38" i="74"/>
  <c r="X38" i="74"/>
  <c r="N38" i="74"/>
  <c r="L38" i="74"/>
  <c r="B38" i="74"/>
  <c r="Z37" i="74"/>
  <c r="X37" i="74"/>
  <c r="L37" i="74"/>
  <c r="N37" i="74" s="1"/>
  <c r="B37" i="74"/>
  <c r="Z36" i="74"/>
  <c r="X36" i="74"/>
  <c r="V36" i="74"/>
  <c r="L36" i="74"/>
  <c r="N36" i="74" s="1"/>
  <c r="B36" i="74"/>
  <c r="X35" i="74"/>
  <c r="Z35" i="74" s="1"/>
  <c r="L35" i="74"/>
  <c r="N35" i="74" s="1"/>
  <c r="B35" i="74"/>
  <c r="Z34" i="74"/>
  <c r="X34" i="74"/>
  <c r="N34" i="74"/>
  <c r="L34" i="74"/>
  <c r="B34" i="74"/>
  <c r="Z33" i="74"/>
  <c r="X33" i="74"/>
  <c r="L33" i="74"/>
  <c r="N33" i="74" s="1"/>
  <c r="B33" i="74"/>
  <c r="X32" i="74"/>
  <c r="Z32" i="74" s="1"/>
  <c r="V32" i="74"/>
  <c r="L32" i="74"/>
  <c r="N32" i="74" s="1"/>
  <c r="B32" i="74"/>
  <c r="T31" i="74"/>
  <c r="P31" i="74"/>
  <c r="X31" i="74" s="1"/>
  <c r="H31" i="74"/>
  <c r="D31" i="74"/>
  <c r="L31" i="74" s="1"/>
  <c r="T29" i="74"/>
  <c r="P29" i="74"/>
  <c r="X29" i="74" s="1"/>
  <c r="N29" i="74"/>
  <c r="L29" i="74"/>
  <c r="H29" i="74"/>
  <c r="D29" i="74"/>
  <c r="B29" i="74"/>
  <c r="T28" i="74"/>
  <c r="X28" i="74" s="1"/>
  <c r="Z28" i="74" s="1"/>
  <c r="P28" i="74"/>
  <c r="H28" i="74"/>
  <c r="D28" i="74"/>
  <c r="L28" i="74" s="1"/>
  <c r="B28" i="74"/>
  <c r="T27" i="74"/>
  <c r="P27" i="74"/>
  <c r="X27" i="74" s="1"/>
  <c r="Z27" i="74" s="1"/>
  <c r="H27" i="74"/>
  <c r="D27" i="74"/>
  <c r="L27" i="74" s="1"/>
  <c r="N27" i="74" s="1"/>
  <c r="B27" i="74"/>
  <c r="Z26" i="74"/>
  <c r="T26" i="74"/>
  <c r="X26" i="74" s="1"/>
  <c r="P26" i="74"/>
  <c r="H26" i="74"/>
  <c r="D26" i="74"/>
  <c r="L26" i="74" s="1"/>
  <c r="B26" i="74"/>
  <c r="T25" i="74"/>
  <c r="P25" i="74"/>
  <c r="X25" i="74" s="1"/>
  <c r="L25" i="74"/>
  <c r="N25" i="74" s="1"/>
  <c r="H25" i="74"/>
  <c r="D25" i="74"/>
  <c r="B25" i="74"/>
  <c r="T24" i="74"/>
  <c r="X24" i="74" s="1"/>
  <c r="Z24" i="74" s="1"/>
  <c r="P24" i="74"/>
  <c r="H24" i="74"/>
  <c r="D24" i="74"/>
  <c r="L24" i="74" s="1"/>
  <c r="B24" i="74"/>
  <c r="T23" i="74"/>
  <c r="P23" i="74"/>
  <c r="X23" i="74" s="1"/>
  <c r="Z23" i="74" s="1"/>
  <c r="H23" i="74"/>
  <c r="D23" i="74"/>
  <c r="L23" i="74" s="1"/>
  <c r="N23" i="74" s="1"/>
  <c r="B23" i="74"/>
  <c r="T22" i="74"/>
  <c r="P22" i="74"/>
  <c r="H22" i="74"/>
  <c r="D22" i="74"/>
  <c r="L22" i="74" s="1"/>
  <c r="B22" i="74"/>
  <c r="T21" i="74"/>
  <c r="Z21" i="74" s="1"/>
  <c r="P21" i="74"/>
  <c r="X21" i="74" s="1"/>
  <c r="L21" i="74"/>
  <c r="N21" i="74" s="1"/>
  <c r="H21" i="74"/>
  <c r="D21" i="74"/>
  <c r="B21" i="74"/>
  <c r="T20" i="74"/>
  <c r="X20" i="74" s="1"/>
  <c r="Z20" i="74" s="1"/>
  <c r="P20" i="74"/>
  <c r="H20" i="74"/>
  <c r="D20" i="74"/>
  <c r="L20" i="74" s="1"/>
  <c r="B20" i="74"/>
  <c r="T19" i="74"/>
  <c r="P19" i="74"/>
  <c r="X19" i="74" s="1"/>
  <c r="Z19" i="74" s="1"/>
  <c r="H19" i="74"/>
  <c r="D19" i="74"/>
  <c r="L19" i="74" s="1"/>
  <c r="N19" i="74" s="1"/>
  <c r="B19" i="74"/>
  <c r="T18" i="74"/>
  <c r="P18" i="74"/>
  <c r="H18" i="74"/>
  <c r="D18" i="74"/>
  <c r="L18" i="74" s="1"/>
  <c r="B18" i="74"/>
  <c r="T17" i="74"/>
  <c r="P17" i="74"/>
  <c r="X17" i="74" s="1"/>
  <c r="L17" i="74"/>
  <c r="N17" i="74" s="1"/>
  <c r="H17" i="74"/>
  <c r="D17" i="74"/>
  <c r="B17" i="74"/>
  <c r="T16" i="74"/>
  <c r="X16" i="74" s="1"/>
  <c r="Z16" i="74" s="1"/>
  <c r="P16" i="74"/>
  <c r="H16" i="74"/>
  <c r="D16" i="74"/>
  <c r="B16" i="74"/>
  <c r="T15" i="74"/>
  <c r="P15" i="74"/>
  <c r="X15" i="74" s="1"/>
  <c r="Z15" i="74" s="1"/>
  <c r="H15" i="74"/>
  <c r="D15" i="74"/>
  <c r="L15" i="74" s="1"/>
  <c r="N15" i="74" s="1"/>
  <c r="B15" i="74"/>
  <c r="T14" i="74"/>
  <c r="T12" i="74" s="1"/>
  <c r="P14" i="74"/>
  <c r="H14" i="74"/>
  <c r="D14" i="74"/>
  <c r="L14" i="74" s="1"/>
  <c r="B14" i="74"/>
  <c r="T13" i="74"/>
  <c r="P13" i="74"/>
  <c r="N13" i="74"/>
  <c r="L13" i="74"/>
  <c r="H13" i="74"/>
  <c r="D13" i="74"/>
  <c r="B13" i="74"/>
  <c r="D6" i="74"/>
  <c r="D4" i="74"/>
  <c r="X69" i="73"/>
  <c r="Z69" i="73" s="1"/>
  <c r="N69" i="73"/>
  <c r="L69" i="73"/>
  <c r="Z65" i="73"/>
  <c r="X65" i="73"/>
  <c r="T65" i="73"/>
  <c r="P65" i="73"/>
  <c r="N65" i="73"/>
  <c r="L65" i="73"/>
  <c r="H65" i="73"/>
  <c r="D65" i="73"/>
  <c r="X63" i="73"/>
  <c r="Z63" i="73" s="1"/>
  <c r="L63" i="73"/>
  <c r="N63" i="73" s="1"/>
  <c r="B63" i="73"/>
  <c r="T62" i="73"/>
  <c r="P62" i="73"/>
  <c r="X62" i="73" s="1"/>
  <c r="H62" i="73"/>
  <c r="D62" i="73"/>
  <c r="B62" i="73"/>
  <c r="Z61" i="73"/>
  <c r="X61" i="73"/>
  <c r="N61" i="73"/>
  <c r="L61" i="73"/>
  <c r="B61" i="73"/>
  <c r="T60" i="73"/>
  <c r="P60" i="73"/>
  <c r="X60" i="73" s="1"/>
  <c r="H60" i="73"/>
  <c r="D60" i="73"/>
  <c r="L60" i="73" s="1"/>
  <c r="N60" i="73" s="1"/>
  <c r="B60" i="73"/>
  <c r="Z59" i="73"/>
  <c r="X59" i="73"/>
  <c r="N59" i="73"/>
  <c r="L59" i="73"/>
  <c r="B59" i="73"/>
  <c r="X58" i="73"/>
  <c r="Z58" i="73" s="1"/>
  <c r="L58" i="73"/>
  <c r="N58" i="73" s="1"/>
  <c r="F58" i="73"/>
  <c r="B58" i="73"/>
  <c r="Z57" i="73"/>
  <c r="X57" i="73"/>
  <c r="N57" i="73"/>
  <c r="L57" i="73"/>
  <c r="B57" i="73"/>
  <c r="T56" i="73"/>
  <c r="P56" i="73"/>
  <c r="L56" i="73"/>
  <c r="H56" i="73"/>
  <c r="D56" i="73"/>
  <c r="B56" i="73"/>
  <c r="Z55" i="73"/>
  <c r="X55" i="73"/>
  <c r="L55" i="73"/>
  <c r="N55" i="73" s="1"/>
  <c r="B55" i="73"/>
  <c r="T54" i="73"/>
  <c r="P54" i="73"/>
  <c r="X54" i="73" s="1"/>
  <c r="H54" i="73"/>
  <c r="D54" i="73"/>
  <c r="L54" i="73" s="1"/>
  <c r="B54" i="73"/>
  <c r="Z53" i="73"/>
  <c r="X53" i="73"/>
  <c r="N53" i="73"/>
  <c r="L53" i="73"/>
  <c r="B53" i="73"/>
  <c r="T52" i="73"/>
  <c r="Z52" i="73" s="1"/>
  <c r="P52" i="73"/>
  <c r="X52" i="73" s="1"/>
  <c r="N52" i="73"/>
  <c r="H52" i="73"/>
  <c r="D52" i="73"/>
  <c r="L52" i="73" s="1"/>
  <c r="B52" i="73"/>
  <c r="Z51" i="73"/>
  <c r="X51" i="73"/>
  <c r="L51" i="73"/>
  <c r="N51" i="73" s="1"/>
  <c r="B51" i="73"/>
  <c r="T50" i="73"/>
  <c r="Z50" i="73" s="1"/>
  <c r="P50" i="73"/>
  <c r="X50" i="73" s="1"/>
  <c r="L50" i="73"/>
  <c r="H50" i="73"/>
  <c r="D50" i="73"/>
  <c r="B50" i="73"/>
  <c r="Z49" i="73"/>
  <c r="X49" i="73"/>
  <c r="N49" i="73"/>
  <c r="L49" i="73"/>
  <c r="F49" i="73"/>
  <c r="B49" i="73"/>
  <c r="T48" i="73"/>
  <c r="P48" i="73"/>
  <c r="H48" i="73"/>
  <c r="D48" i="73"/>
  <c r="L48" i="73" s="1"/>
  <c r="B48" i="73"/>
  <c r="X47" i="73"/>
  <c r="Z47" i="73" s="1"/>
  <c r="N47" i="73"/>
  <c r="L47" i="73"/>
  <c r="B47" i="73"/>
  <c r="T46" i="73"/>
  <c r="P46" i="73"/>
  <c r="X46" i="73" s="1"/>
  <c r="Z46" i="73" s="1"/>
  <c r="H46" i="73"/>
  <c r="D46" i="73"/>
  <c r="L46" i="73" s="1"/>
  <c r="B46" i="73"/>
  <c r="Z45" i="73"/>
  <c r="X45" i="73"/>
  <c r="N45" i="73"/>
  <c r="L45" i="73"/>
  <c r="B45" i="73"/>
  <c r="T44" i="73"/>
  <c r="P44" i="73"/>
  <c r="H44" i="73"/>
  <c r="D44" i="73"/>
  <c r="L44" i="73" s="1"/>
  <c r="B44" i="73"/>
  <c r="X43" i="73"/>
  <c r="Z43" i="73" s="1"/>
  <c r="L43" i="73"/>
  <c r="N43" i="73" s="1"/>
  <c r="B43" i="73"/>
  <c r="T42" i="73"/>
  <c r="P42" i="73"/>
  <c r="X42" i="73" s="1"/>
  <c r="H42" i="73"/>
  <c r="D42" i="73"/>
  <c r="L42" i="73" s="1"/>
  <c r="B42" i="73"/>
  <c r="Z41" i="73"/>
  <c r="X41" i="73"/>
  <c r="N41" i="73"/>
  <c r="L41" i="73"/>
  <c r="B41" i="73"/>
  <c r="T40" i="73"/>
  <c r="P40" i="73"/>
  <c r="X40" i="73" s="1"/>
  <c r="L40" i="73"/>
  <c r="N40" i="73" s="1"/>
  <c r="H40" i="73"/>
  <c r="D40" i="73"/>
  <c r="B40" i="73"/>
  <c r="Z39" i="73"/>
  <c r="X39" i="73"/>
  <c r="L39" i="73"/>
  <c r="N39" i="73" s="1"/>
  <c r="B39" i="73"/>
  <c r="X38" i="73"/>
  <c r="Z38" i="73" s="1"/>
  <c r="L38" i="73"/>
  <c r="N38" i="73" s="1"/>
  <c r="F38" i="73"/>
  <c r="B38" i="73"/>
  <c r="Z37" i="73"/>
  <c r="X37" i="73"/>
  <c r="N37" i="73"/>
  <c r="L37" i="73"/>
  <c r="B37" i="73"/>
  <c r="X36" i="73"/>
  <c r="Z36" i="73" s="1"/>
  <c r="N36" i="73"/>
  <c r="L36" i="73"/>
  <c r="F36" i="73"/>
  <c r="B36" i="73"/>
  <c r="T35" i="73"/>
  <c r="P35" i="73"/>
  <c r="X35" i="73" s="1"/>
  <c r="Z35" i="73" s="1"/>
  <c r="H35" i="73"/>
  <c r="F35" i="73"/>
  <c r="D35" i="73"/>
  <c r="L35" i="73" s="1"/>
  <c r="N35" i="73" s="1"/>
  <c r="B35" i="73"/>
  <c r="X34" i="73"/>
  <c r="Z34" i="73" s="1"/>
  <c r="L34" i="73"/>
  <c r="N34" i="73" s="1"/>
  <c r="B34" i="73"/>
  <c r="Z33" i="73"/>
  <c r="X33" i="73"/>
  <c r="N33" i="73"/>
  <c r="L33" i="73"/>
  <c r="F33" i="73"/>
  <c r="B33" i="73"/>
  <c r="Z32" i="73"/>
  <c r="X32" i="73"/>
  <c r="L32" i="73"/>
  <c r="N32" i="73" s="1"/>
  <c r="F32" i="73"/>
  <c r="B32" i="73"/>
  <c r="X31" i="73"/>
  <c r="Z31" i="73" s="1"/>
  <c r="L31" i="73"/>
  <c r="N31" i="73" s="1"/>
  <c r="B31" i="73"/>
  <c r="X30" i="73"/>
  <c r="Z30" i="73" s="1"/>
  <c r="N30" i="73"/>
  <c r="L30" i="73"/>
  <c r="B30" i="73"/>
  <c r="Z29" i="73"/>
  <c r="X29" i="73"/>
  <c r="N29" i="73"/>
  <c r="L29" i="73"/>
  <c r="F29" i="73"/>
  <c r="B29" i="73"/>
  <c r="Z28" i="73"/>
  <c r="X28" i="73"/>
  <c r="L28" i="73"/>
  <c r="N28" i="73" s="1"/>
  <c r="F28" i="73"/>
  <c r="B28" i="73"/>
  <c r="X27" i="73"/>
  <c r="Z27" i="73" s="1"/>
  <c r="L27" i="73"/>
  <c r="N27" i="73" s="1"/>
  <c r="B27" i="73"/>
  <c r="X26" i="73"/>
  <c r="T26" i="73"/>
  <c r="P26" i="73"/>
  <c r="H26" i="73"/>
  <c r="D26" i="73"/>
  <c r="B26" i="73"/>
  <c r="T25" i="73"/>
  <c r="Z25" i="73" s="1"/>
  <c r="P25" i="73"/>
  <c r="X25" i="73" s="1"/>
  <c r="H25" i="73"/>
  <c r="D25" i="73"/>
  <c r="L25" i="73" s="1"/>
  <c r="Z21" i="73"/>
  <c r="X21" i="73"/>
  <c r="N21" i="73"/>
  <c r="L21" i="73"/>
  <c r="B21" i="73"/>
  <c r="X20" i="73"/>
  <c r="Z20" i="73" s="1"/>
  <c r="L20" i="73"/>
  <c r="N20" i="73" s="1"/>
  <c r="F20" i="73"/>
  <c r="B20" i="73"/>
  <c r="T19" i="73"/>
  <c r="P19" i="73"/>
  <c r="X19" i="73" s="1"/>
  <c r="H19" i="73"/>
  <c r="F19" i="73"/>
  <c r="D19" i="73"/>
  <c r="L19" i="73" s="1"/>
  <c r="N19" i="73" s="1"/>
  <c r="T17" i="73"/>
  <c r="P17" i="73"/>
  <c r="X17" i="73" s="1"/>
  <c r="H17" i="73"/>
  <c r="D17" i="73"/>
  <c r="B17" i="73"/>
  <c r="X16" i="73"/>
  <c r="Z16" i="73" s="1"/>
  <c r="T16" i="73"/>
  <c r="P16" i="73"/>
  <c r="L16" i="73"/>
  <c r="H16" i="73"/>
  <c r="D16" i="73"/>
  <c r="B16" i="73"/>
  <c r="T15" i="73"/>
  <c r="P15" i="73"/>
  <c r="N15" i="73"/>
  <c r="L15" i="73"/>
  <c r="H15" i="73"/>
  <c r="D15" i="73"/>
  <c r="B15" i="73"/>
  <c r="T14" i="73"/>
  <c r="P14" i="73"/>
  <c r="X14" i="73" s="1"/>
  <c r="Z14" i="73" s="1"/>
  <c r="L14" i="73"/>
  <c r="H14" i="73"/>
  <c r="D14" i="73"/>
  <c r="D12" i="73" s="1"/>
  <c r="F48" i="73" s="1"/>
  <c r="B14" i="73"/>
  <c r="T13" i="73"/>
  <c r="P13" i="73"/>
  <c r="H13" i="73"/>
  <c r="D13" i="73"/>
  <c r="B13" i="73"/>
  <c r="D6" i="73"/>
  <c r="D4" i="73"/>
  <c r="X103" i="71"/>
  <c r="Z103" i="71" s="1"/>
  <c r="L103" i="71"/>
  <c r="N103" i="71" s="1"/>
  <c r="T99" i="71"/>
  <c r="P99" i="71"/>
  <c r="P97" i="71" s="1"/>
  <c r="H99" i="71"/>
  <c r="D99" i="71"/>
  <c r="L99" i="71" s="1"/>
  <c r="B99" i="71"/>
  <c r="Z98" i="71"/>
  <c r="X98" i="71"/>
  <c r="T98" i="71"/>
  <c r="P98" i="71"/>
  <c r="H98" i="71"/>
  <c r="D98" i="71"/>
  <c r="L98" i="71" s="1"/>
  <c r="N98" i="71" s="1"/>
  <c r="B98" i="71"/>
  <c r="T97" i="71"/>
  <c r="L97" i="71"/>
  <c r="H97" i="71"/>
  <c r="D97" i="71"/>
  <c r="Z95" i="71"/>
  <c r="X95" i="71"/>
  <c r="L95" i="71"/>
  <c r="N95" i="71" s="1"/>
  <c r="B95" i="71"/>
  <c r="X94" i="71"/>
  <c r="Z94" i="71" s="1"/>
  <c r="T94" i="71"/>
  <c r="P94" i="71"/>
  <c r="N94" i="71"/>
  <c r="L94" i="71"/>
  <c r="H94" i="71"/>
  <c r="D94" i="71"/>
  <c r="B94" i="71"/>
  <c r="X93" i="71"/>
  <c r="Z93" i="71" s="1"/>
  <c r="L93" i="71"/>
  <c r="N93" i="71" s="1"/>
  <c r="B93" i="71"/>
  <c r="Z92" i="71"/>
  <c r="X92" i="71"/>
  <c r="N92" i="71"/>
  <c r="L92" i="71"/>
  <c r="B92" i="71"/>
  <c r="T91" i="71"/>
  <c r="P91" i="71"/>
  <c r="X91" i="71" s="1"/>
  <c r="H91" i="71"/>
  <c r="D91" i="71"/>
  <c r="L91" i="71" s="1"/>
  <c r="N91" i="71" s="1"/>
  <c r="B91" i="71"/>
  <c r="Z90" i="71"/>
  <c r="X90" i="71"/>
  <c r="N90" i="71"/>
  <c r="L90" i="71"/>
  <c r="B90" i="71"/>
  <c r="X89" i="71"/>
  <c r="Z89" i="71" s="1"/>
  <c r="L89" i="71"/>
  <c r="N89" i="71" s="1"/>
  <c r="B89" i="71"/>
  <c r="Z88" i="71"/>
  <c r="X88" i="71"/>
  <c r="N88" i="71"/>
  <c r="L88" i="71"/>
  <c r="B88" i="71"/>
  <c r="T87" i="71"/>
  <c r="P87" i="71"/>
  <c r="H87" i="71"/>
  <c r="N87" i="71" s="1"/>
  <c r="D87" i="71"/>
  <c r="L87" i="71" s="1"/>
  <c r="B87" i="71"/>
  <c r="Z86" i="71"/>
  <c r="X86" i="71"/>
  <c r="N86" i="71"/>
  <c r="L86" i="71"/>
  <c r="B86" i="71"/>
  <c r="T85" i="71"/>
  <c r="P85" i="71"/>
  <c r="X85" i="71" s="1"/>
  <c r="H85" i="71"/>
  <c r="D85" i="71"/>
  <c r="L85" i="71" s="1"/>
  <c r="B85" i="71"/>
  <c r="Z84" i="71"/>
  <c r="X84" i="71"/>
  <c r="N84" i="71"/>
  <c r="L84" i="71"/>
  <c r="B84" i="71"/>
  <c r="X83" i="71"/>
  <c r="Z83" i="71" s="1"/>
  <c r="L83" i="71"/>
  <c r="N83" i="71" s="1"/>
  <c r="B83" i="71"/>
  <c r="T82" i="71"/>
  <c r="P82" i="71"/>
  <c r="X82" i="71" s="1"/>
  <c r="H82" i="71"/>
  <c r="D82" i="71"/>
  <c r="L82" i="71" s="1"/>
  <c r="B82" i="71"/>
  <c r="X81" i="71"/>
  <c r="Z81" i="71" s="1"/>
  <c r="L81" i="71"/>
  <c r="N81" i="71" s="1"/>
  <c r="B81" i="71"/>
  <c r="Z80" i="71"/>
  <c r="X80" i="71"/>
  <c r="T80" i="71"/>
  <c r="P80" i="71"/>
  <c r="H80" i="71"/>
  <c r="D80" i="71"/>
  <c r="L80" i="71" s="1"/>
  <c r="N80" i="71" s="1"/>
  <c r="B80" i="71"/>
  <c r="Z79" i="71"/>
  <c r="X79" i="71"/>
  <c r="L79" i="71"/>
  <c r="N79" i="71" s="1"/>
  <c r="B79" i="71"/>
  <c r="X78" i="71"/>
  <c r="Z78" i="71" s="1"/>
  <c r="T78" i="71"/>
  <c r="P78" i="71"/>
  <c r="N78" i="71"/>
  <c r="L78" i="71"/>
  <c r="H78" i="71"/>
  <c r="D78" i="71"/>
  <c r="B78" i="71"/>
  <c r="X77" i="71"/>
  <c r="Z77" i="71" s="1"/>
  <c r="L77" i="71"/>
  <c r="N77" i="71" s="1"/>
  <c r="B77" i="71"/>
  <c r="T76" i="71"/>
  <c r="P76" i="71"/>
  <c r="H76" i="71"/>
  <c r="D76" i="71"/>
  <c r="L76" i="71" s="1"/>
  <c r="B76" i="71"/>
  <c r="X75" i="71"/>
  <c r="Z75" i="71" s="1"/>
  <c r="N75" i="71"/>
  <c r="L75" i="71"/>
  <c r="B75" i="71"/>
  <c r="T74" i="71"/>
  <c r="P74" i="71"/>
  <c r="X74" i="71" s="1"/>
  <c r="Z74" i="71" s="1"/>
  <c r="H74" i="71"/>
  <c r="D74" i="71"/>
  <c r="L74" i="71" s="1"/>
  <c r="N74" i="71" s="1"/>
  <c r="B74" i="71"/>
  <c r="X73" i="71"/>
  <c r="Z73" i="71" s="1"/>
  <c r="N73" i="71"/>
  <c r="L73" i="71"/>
  <c r="B73" i="71"/>
  <c r="Z72" i="71"/>
  <c r="X72" i="71"/>
  <c r="N72" i="71"/>
  <c r="L72" i="71"/>
  <c r="B72" i="71"/>
  <c r="T71" i="71"/>
  <c r="P71" i="71"/>
  <c r="L71" i="71"/>
  <c r="H71" i="71"/>
  <c r="D71" i="71"/>
  <c r="B71" i="71"/>
  <c r="Z70" i="71"/>
  <c r="X70" i="71"/>
  <c r="N70" i="71"/>
  <c r="L70" i="71"/>
  <c r="B70" i="71"/>
  <c r="Z69" i="71"/>
  <c r="T69" i="71"/>
  <c r="P69" i="71"/>
  <c r="X69" i="71" s="1"/>
  <c r="H69" i="71"/>
  <c r="D69" i="71"/>
  <c r="L69" i="71" s="1"/>
  <c r="B69" i="71"/>
  <c r="Z68" i="71"/>
  <c r="X68" i="71"/>
  <c r="N68" i="71"/>
  <c r="L68" i="71"/>
  <c r="B68" i="71"/>
  <c r="X67" i="71"/>
  <c r="Z67" i="71" s="1"/>
  <c r="N67" i="71"/>
  <c r="L67" i="71"/>
  <c r="B67" i="71"/>
  <c r="Z66" i="71"/>
  <c r="X66" i="71"/>
  <c r="L66" i="71"/>
  <c r="N66" i="71" s="1"/>
  <c r="B66" i="71"/>
  <c r="X65" i="71"/>
  <c r="Z65" i="71" s="1"/>
  <c r="L65" i="71"/>
  <c r="N65" i="71" s="1"/>
  <c r="B65" i="71"/>
  <c r="Z64" i="71"/>
  <c r="X64" i="71"/>
  <c r="N64" i="71"/>
  <c r="L64" i="71"/>
  <c r="B64" i="71"/>
  <c r="X63" i="71"/>
  <c r="T63" i="71"/>
  <c r="P63" i="71"/>
  <c r="H63" i="71"/>
  <c r="D63" i="71"/>
  <c r="L63" i="71" s="1"/>
  <c r="B63" i="71"/>
  <c r="X62" i="71"/>
  <c r="Z62" i="71" s="1"/>
  <c r="N62" i="71"/>
  <c r="L62" i="71"/>
  <c r="B62" i="71"/>
  <c r="X61" i="71"/>
  <c r="Z61" i="71" s="1"/>
  <c r="L61" i="71"/>
  <c r="N61" i="71" s="1"/>
  <c r="B61" i="71"/>
  <c r="Z60" i="71"/>
  <c r="X60" i="71"/>
  <c r="N60" i="71"/>
  <c r="L60" i="71"/>
  <c r="B60" i="71"/>
  <c r="Z59" i="71"/>
  <c r="X59" i="71"/>
  <c r="L59" i="71"/>
  <c r="N59" i="71" s="1"/>
  <c r="B59" i="71"/>
  <c r="X58" i="71"/>
  <c r="Z58" i="71" s="1"/>
  <c r="N58" i="71"/>
  <c r="L58" i="71"/>
  <c r="B58" i="71"/>
  <c r="X57" i="71"/>
  <c r="Z57" i="71" s="1"/>
  <c r="L57" i="71"/>
  <c r="N57" i="71" s="1"/>
  <c r="B57" i="71"/>
  <c r="Z56" i="71"/>
  <c r="X56" i="71"/>
  <c r="N56" i="71"/>
  <c r="L56" i="71"/>
  <c r="B56" i="71"/>
  <c r="Z55" i="71"/>
  <c r="X55" i="71"/>
  <c r="L55" i="71"/>
  <c r="N55" i="71" s="1"/>
  <c r="B55" i="71"/>
  <c r="Z54" i="71"/>
  <c r="X54" i="71"/>
  <c r="N54" i="71"/>
  <c r="L54" i="71"/>
  <c r="B54" i="71"/>
  <c r="T53" i="71"/>
  <c r="P53" i="71"/>
  <c r="H53" i="71"/>
  <c r="D53" i="71"/>
  <c r="B53" i="71"/>
  <c r="T52" i="71"/>
  <c r="Z52" i="71" s="1"/>
  <c r="P52" i="71"/>
  <c r="X52" i="71" s="1"/>
  <c r="H52" i="71"/>
  <c r="N52" i="71" s="1"/>
  <c r="D52" i="71"/>
  <c r="L52" i="71" s="1"/>
  <c r="Z48" i="71"/>
  <c r="X48" i="71"/>
  <c r="N48" i="71"/>
  <c r="L48" i="71"/>
  <c r="B48" i="71"/>
  <c r="X47" i="71"/>
  <c r="Z47" i="71" s="1"/>
  <c r="L47" i="71"/>
  <c r="N47" i="71" s="1"/>
  <c r="B47" i="71"/>
  <c r="Z46" i="71"/>
  <c r="X46" i="71"/>
  <c r="L46" i="71"/>
  <c r="N46" i="71" s="1"/>
  <c r="B46" i="71"/>
  <c r="X45" i="71"/>
  <c r="Z45" i="71" s="1"/>
  <c r="L45" i="71"/>
  <c r="N45" i="71" s="1"/>
  <c r="B45" i="71"/>
  <c r="Z44" i="71"/>
  <c r="X44" i="71"/>
  <c r="L44" i="71"/>
  <c r="N44" i="71" s="1"/>
  <c r="B44" i="71"/>
  <c r="Z43" i="71"/>
  <c r="X43" i="71"/>
  <c r="L43" i="71"/>
  <c r="N43" i="71" s="1"/>
  <c r="B43" i="71"/>
  <c r="Z42" i="71"/>
  <c r="X42" i="71"/>
  <c r="N42" i="71"/>
  <c r="L42" i="71"/>
  <c r="B42" i="71"/>
  <c r="Z41" i="71"/>
  <c r="X41" i="71"/>
  <c r="L41" i="71"/>
  <c r="N41" i="71" s="1"/>
  <c r="B41" i="71"/>
  <c r="Z40" i="71"/>
  <c r="X40" i="71"/>
  <c r="L40" i="71"/>
  <c r="N40" i="71" s="1"/>
  <c r="B40" i="71"/>
  <c r="X39" i="71"/>
  <c r="Z39" i="71" s="1"/>
  <c r="L39" i="71"/>
  <c r="N39" i="71" s="1"/>
  <c r="B39" i="71"/>
  <c r="Z38" i="71"/>
  <c r="X38" i="71"/>
  <c r="L38" i="71"/>
  <c r="N38" i="71" s="1"/>
  <c r="B38" i="71"/>
  <c r="X37" i="71"/>
  <c r="Z37" i="71" s="1"/>
  <c r="L37" i="71"/>
  <c r="N37" i="71" s="1"/>
  <c r="B37" i="71"/>
  <c r="Z36" i="71"/>
  <c r="X36" i="71"/>
  <c r="L36" i="71"/>
  <c r="N36" i="71" s="1"/>
  <c r="B36" i="71"/>
  <c r="T35" i="71"/>
  <c r="P35" i="71"/>
  <c r="H35" i="71"/>
  <c r="D35" i="71"/>
  <c r="L35" i="71" s="1"/>
  <c r="N35" i="71" s="1"/>
  <c r="X33" i="71"/>
  <c r="T33" i="71"/>
  <c r="P33" i="71"/>
  <c r="H33" i="71"/>
  <c r="D33" i="71"/>
  <c r="L33" i="71" s="1"/>
  <c r="B33" i="71"/>
  <c r="T32" i="71"/>
  <c r="P32" i="71"/>
  <c r="X32" i="71" s="1"/>
  <c r="H32" i="71"/>
  <c r="D32" i="71"/>
  <c r="B32" i="71"/>
  <c r="X31" i="71"/>
  <c r="T31" i="71"/>
  <c r="P31" i="71"/>
  <c r="H31" i="71"/>
  <c r="D31" i="71"/>
  <c r="L31" i="71" s="1"/>
  <c r="B31" i="71"/>
  <c r="T30" i="71"/>
  <c r="Z30" i="71" s="1"/>
  <c r="P30" i="71"/>
  <c r="X30" i="71" s="1"/>
  <c r="N30" i="71"/>
  <c r="L30" i="71"/>
  <c r="H30" i="71"/>
  <c r="D30" i="71"/>
  <c r="B30" i="71"/>
  <c r="T29" i="71"/>
  <c r="P29" i="71"/>
  <c r="X29" i="71" s="1"/>
  <c r="H29" i="71"/>
  <c r="D29" i="71"/>
  <c r="L29" i="71" s="1"/>
  <c r="B29" i="71"/>
  <c r="T28" i="71"/>
  <c r="P28" i="71"/>
  <c r="X28" i="71" s="1"/>
  <c r="N28" i="71"/>
  <c r="L28" i="71"/>
  <c r="H28" i="71"/>
  <c r="D28" i="71"/>
  <c r="B28" i="71"/>
  <c r="T27" i="71"/>
  <c r="P27" i="71"/>
  <c r="H27" i="71"/>
  <c r="D27" i="71"/>
  <c r="L27" i="71" s="1"/>
  <c r="B27" i="71"/>
  <c r="T26" i="71"/>
  <c r="P26" i="71"/>
  <c r="N26" i="71"/>
  <c r="L26" i="71"/>
  <c r="H26" i="71"/>
  <c r="D26" i="71"/>
  <c r="B26" i="71"/>
  <c r="T25" i="71"/>
  <c r="Z25" i="71" s="1"/>
  <c r="P25" i="71"/>
  <c r="X25" i="71" s="1"/>
  <c r="L25" i="71"/>
  <c r="H25" i="71"/>
  <c r="D25" i="71"/>
  <c r="B25" i="71"/>
  <c r="T24" i="71"/>
  <c r="P24" i="71"/>
  <c r="X24" i="71" s="1"/>
  <c r="L24" i="71"/>
  <c r="H24" i="71"/>
  <c r="D24" i="71"/>
  <c r="B24" i="71"/>
  <c r="X23" i="71"/>
  <c r="Z23" i="71" s="1"/>
  <c r="T23" i="71"/>
  <c r="P23" i="71"/>
  <c r="H23" i="71"/>
  <c r="D23" i="71"/>
  <c r="L23" i="71" s="1"/>
  <c r="B23" i="71"/>
  <c r="T22" i="71"/>
  <c r="P22" i="71"/>
  <c r="N22" i="71"/>
  <c r="L22" i="71"/>
  <c r="H22" i="71"/>
  <c r="D22" i="71"/>
  <c r="B22" i="71"/>
  <c r="T21" i="71"/>
  <c r="P21" i="71"/>
  <c r="X21" i="71" s="1"/>
  <c r="H21" i="71"/>
  <c r="D21" i="71"/>
  <c r="B21" i="71"/>
  <c r="T20" i="71"/>
  <c r="P20" i="71"/>
  <c r="X20" i="71" s="1"/>
  <c r="H20" i="71"/>
  <c r="D20" i="71"/>
  <c r="B20" i="71"/>
  <c r="X19" i="71"/>
  <c r="T19" i="71"/>
  <c r="P19" i="71"/>
  <c r="H19" i="71"/>
  <c r="D19" i="71"/>
  <c r="B19" i="71"/>
  <c r="T18" i="71"/>
  <c r="P18" i="71"/>
  <c r="L18" i="71"/>
  <c r="N18" i="71" s="1"/>
  <c r="H18" i="71"/>
  <c r="D18" i="71"/>
  <c r="B18" i="71"/>
  <c r="X17" i="71"/>
  <c r="T17" i="71"/>
  <c r="Z17" i="71" s="1"/>
  <c r="P17" i="71"/>
  <c r="H17" i="71"/>
  <c r="D17" i="71"/>
  <c r="L17" i="71" s="1"/>
  <c r="B17" i="71"/>
  <c r="T16" i="71"/>
  <c r="P16" i="71"/>
  <c r="X16" i="71" s="1"/>
  <c r="H16" i="71"/>
  <c r="L16" i="71" s="1"/>
  <c r="D16" i="71"/>
  <c r="B16" i="71"/>
  <c r="T15" i="71"/>
  <c r="P15" i="71"/>
  <c r="H15" i="71"/>
  <c r="D15" i="71"/>
  <c r="L15" i="71" s="1"/>
  <c r="B15" i="71"/>
  <c r="T14" i="71"/>
  <c r="P14" i="71"/>
  <c r="X14" i="71" s="1"/>
  <c r="N14" i="71"/>
  <c r="L14" i="71"/>
  <c r="H14" i="71"/>
  <c r="D14" i="71"/>
  <c r="B14" i="71"/>
  <c r="T13" i="71"/>
  <c r="P13" i="71"/>
  <c r="H13" i="71"/>
  <c r="D13" i="71"/>
  <c r="B13" i="71"/>
  <c r="D6" i="71"/>
  <c r="D4" i="71"/>
  <c r="X67" i="70"/>
  <c r="Z67" i="70" s="1"/>
  <c r="L67" i="70"/>
  <c r="N67" i="70" s="1"/>
  <c r="F67" i="70"/>
  <c r="T63" i="70"/>
  <c r="Z63" i="70" s="1"/>
  <c r="P63" i="70"/>
  <c r="X63" i="70" s="1"/>
  <c r="L63" i="70"/>
  <c r="H63" i="70"/>
  <c r="N63" i="70" s="1"/>
  <c r="D63" i="70"/>
  <c r="Z61" i="70"/>
  <c r="X61" i="70"/>
  <c r="L61" i="70"/>
  <c r="N61" i="70" s="1"/>
  <c r="J61" i="70"/>
  <c r="F61" i="70"/>
  <c r="B61" i="70"/>
  <c r="Z60" i="70"/>
  <c r="X60" i="70"/>
  <c r="T60" i="70"/>
  <c r="P60" i="70"/>
  <c r="H60" i="70"/>
  <c r="F60" i="70"/>
  <c r="D60" i="70"/>
  <c r="B60" i="70"/>
  <c r="X59" i="70"/>
  <c r="Z59" i="70" s="1"/>
  <c r="N59" i="70"/>
  <c r="L59" i="70"/>
  <c r="B59" i="70"/>
  <c r="Z58" i="70"/>
  <c r="X58" i="70"/>
  <c r="N58" i="70"/>
  <c r="L58" i="70"/>
  <c r="B58" i="70"/>
  <c r="X57" i="70"/>
  <c r="Z57" i="70" s="1"/>
  <c r="V57" i="70"/>
  <c r="L57" i="70"/>
  <c r="N57" i="70" s="1"/>
  <c r="F57" i="70"/>
  <c r="B57" i="70"/>
  <c r="X56" i="70"/>
  <c r="Z56" i="70" s="1"/>
  <c r="L56" i="70"/>
  <c r="N56" i="70" s="1"/>
  <c r="B56" i="70"/>
  <c r="Z55" i="70"/>
  <c r="X55" i="70"/>
  <c r="T55" i="70"/>
  <c r="P55" i="70"/>
  <c r="J55" i="70"/>
  <c r="H55" i="70"/>
  <c r="D55" i="70"/>
  <c r="L55" i="70" s="1"/>
  <c r="B55" i="70"/>
  <c r="Z54" i="70"/>
  <c r="X54" i="70"/>
  <c r="L54" i="70"/>
  <c r="N54" i="70" s="1"/>
  <c r="B54" i="70"/>
  <c r="X53" i="70"/>
  <c r="V53" i="70"/>
  <c r="T53" i="70"/>
  <c r="P53" i="70"/>
  <c r="H53" i="70"/>
  <c r="F53" i="70"/>
  <c r="D53" i="70"/>
  <c r="L53" i="70" s="1"/>
  <c r="B53" i="70"/>
  <c r="Z52" i="70"/>
  <c r="X52" i="70"/>
  <c r="L52" i="70"/>
  <c r="N52" i="70" s="1"/>
  <c r="B52" i="70"/>
  <c r="Z51" i="70"/>
  <c r="X51" i="70"/>
  <c r="L51" i="70"/>
  <c r="N51" i="70" s="1"/>
  <c r="B51" i="70"/>
  <c r="T50" i="70"/>
  <c r="P50" i="70"/>
  <c r="X50" i="70" s="1"/>
  <c r="L50" i="70"/>
  <c r="N50" i="70" s="1"/>
  <c r="J50" i="70"/>
  <c r="H50" i="70"/>
  <c r="D50" i="70"/>
  <c r="B50" i="70"/>
  <c r="X49" i="70"/>
  <c r="Z49" i="70" s="1"/>
  <c r="L49" i="70"/>
  <c r="N49" i="70" s="1"/>
  <c r="F49" i="70"/>
  <c r="B49" i="70"/>
  <c r="T48" i="70"/>
  <c r="Z48" i="70" s="1"/>
  <c r="P48" i="70"/>
  <c r="X48" i="70" s="1"/>
  <c r="N48" i="70"/>
  <c r="H48" i="70"/>
  <c r="L48" i="70" s="1"/>
  <c r="D48" i="70"/>
  <c r="B48" i="70"/>
  <c r="Z47" i="70"/>
  <c r="X47" i="70"/>
  <c r="N47" i="70"/>
  <c r="L47" i="70"/>
  <c r="F47" i="70"/>
  <c r="B47" i="70"/>
  <c r="Z46" i="70"/>
  <c r="T46" i="70"/>
  <c r="P46" i="70"/>
  <c r="X46" i="70" s="1"/>
  <c r="J46" i="70"/>
  <c r="H46" i="70"/>
  <c r="D46" i="70"/>
  <c r="L46" i="70" s="1"/>
  <c r="N46" i="70" s="1"/>
  <c r="B46" i="70"/>
  <c r="Z45" i="70"/>
  <c r="X45" i="70"/>
  <c r="N45" i="70"/>
  <c r="L45" i="70"/>
  <c r="F45" i="70"/>
  <c r="B45" i="70"/>
  <c r="Z44" i="70"/>
  <c r="X44" i="70"/>
  <c r="T44" i="70"/>
  <c r="P44" i="70"/>
  <c r="H44" i="70"/>
  <c r="N44" i="70" s="1"/>
  <c r="F44" i="70"/>
  <c r="D44" i="70"/>
  <c r="L44" i="70" s="1"/>
  <c r="B44" i="70"/>
  <c r="X43" i="70"/>
  <c r="Z43" i="70" s="1"/>
  <c r="N43" i="70"/>
  <c r="L43" i="70"/>
  <c r="B43" i="70"/>
  <c r="T42" i="70"/>
  <c r="X42" i="70" s="1"/>
  <c r="P42" i="70"/>
  <c r="H42" i="70"/>
  <c r="D42" i="70"/>
  <c r="L42" i="70" s="1"/>
  <c r="B42" i="70"/>
  <c r="X41" i="70"/>
  <c r="Z41" i="70" s="1"/>
  <c r="N41" i="70"/>
  <c r="L41" i="70"/>
  <c r="B41" i="70"/>
  <c r="T40" i="70"/>
  <c r="P40" i="70"/>
  <c r="X40" i="70" s="1"/>
  <c r="Z40" i="70" s="1"/>
  <c r="N40" i="70"/>
  <c r="H40" i="70"/>
  <c r="D40" i="70"/>
  <c r="L40" i="70" s="1"/>
  <c r="B40" i="70"/>
  <c r="Z39" i="70"/>
  <c r="X39" i="70"/>
  <c r="N39" i="70"/>
  <c r="L39" i="70"/>
  <c r="B39" i="70"/>
  <c r="T38" i="70"/>
  <c r="P38" i="70"/>
  <c r="N38" i="70"/>
  <c r="L38" i="70"/>
  <c r="J38" i="70"/>
  <c r="H38" i="70"/>
  <c r="D38" i="70"/>
  <c r="B38" i="70"/>
  <c r="X37" i="70"/>
  <c r="Z37" i="70" s="1"/>
  <c r="L37" i="70"/>
  <c r="N37" i="70" s="1"/>
  <c r="J37" i="70"/>
  <c r="F37" i="70"/>
  <c r="B37" i="70"/>
  <c r="X36" i="70"/>
  <c r="Z36" i="70" s="1"/>
  <c r="L36" i="70"/>
  <c r="N36" i="70" s="1"/>
  <c r="B36" i="70"/>
  <c r="Z35" i="70"/>
  <c r="X35" i="70"/>
  <c r="N35" i="70"/>
  <c r="L35" i="70"/>
  <c r="B35" i="70"/>
  <c r="Z34" i="70"/>
  <c r="X34" i="70"/>
  <c r="V34" i="70"/>
  <c r="N34" i="70"/>
  <c r="L34" i="70"/>
  <c r="B34" i="70"/>
  <c r="X33" i="70"/>
  <c r="Z33" i="70" s="1"/>
  <c r="L33" i="70"/>
  <c r="N33" i="70" s="1"/>
  <c r="J33" i="70"/>
  <c r="F33" i="70"/>
  <c r="B33" i="70"/>
  <c r="T32" i="70"/>
  <c r="Z32" i="70" s="1"/>
  <c r="P32" i="70"/>
  <c r="X32" i="70" s="1"/>
  <c r="N32" i="70"/>
  <c r="H32" i="70"/>
  <c r="L32" i="70" s="1"/>
  <c r="F32" i="70"/>
  <c r="D32" i="70"/>
  <c r="B32" i="70"/>
  <c r="Z31" i="70"/>
  <c r="X31" i="70"/>
  <c r="N31" i="70"/>
  <c r="L31" i="70"/>
  <c r="F31" i="70"/>
  <c r="B31" i="70"/>
  <c r="Z30" i="70"/>
  <c r="X30" i="70"/>
  <c r="L30" i="70"/>
  <c r="N30" i="70" s="1"/>
  <c r="F30" i="70"/>
  <c r="B30" i="70"/>
  <c r="X29" i="70"/>
  <c r="Z29" i="70" s="1"/>
  <c r="V29" i="70"/>
  <c r="N29" i="70"/>
  <c r="L29" i="70"/>
  <c r="B29" i="70"/>
  <c r="X28" i="70"/>
  <c r="Z28" i="70" s="1"/>
  <c r="L28" i="70"/>
  <c r="N28" i="70" s="1"/>
  <c r="J28" i="70"/>
  <c r="B28" i="70"/>
  <c r="Z27" i="70"/>
  <c r="X27" i="70"/>
  <c r="L27" i="70"/>
  <c r="N27" i="70" s="1"/>
  <c r="F27" i="70"/>
  <c r="B27" i="70"/>
  <c r="Z26" i="70"/>
  <c r="X26" i="70"/>
  <c r="L26" i="70"/>
  <c r="N26" i="70" s="1"/>
  <c r="F26" i="70"/>
  <c r="B26" i="70"/>
  <c r="X25" i="70"/>
  <c r="Z25" i="70" s="1"/>
  <c r="N25" i="70"/>
  <c r="L25" i="70"/>
  <c r="B25" i="70"/>
  <c r="X24" i="70"/>
  <c r="Z24" i="70" s="1"/>
  <c r="N24" i="70"/>
  <c r="L24" i="70"/>
  <c r="B24" i="70"/>
  <c r="T23" i="70"/>
  <c r="P23" i="70"/>
  <c r="X23" i="70" s="1"/>
  <c r="L23" i="70"/>
  <c r="J23" i="70"/>
  <c r="H23" i="70"/>
  <c r="D23" i="70"/>
  <c r="B23" i="70"/>
  <c r="T22" i="70"/>
  <c r="P22" i="70"/>
  <c r="N22" i="70"/>
  <c r="L22" i="70"/>
  <c r="H22" i="70"/>
  <c r="D22" i="70"/>
  <c r="T20" i="70"/>
  <c r="X18" i="70"/>
  <c r="Z18" i="70" s="1"/>
  <c r="N18" i="70"/>
  <c r="L18" i="70"/>
  <c r="F18" i="70"/>
  <c r="B18" i="70"/>
  <c r="Z17" i="70"/>
  <c r="X17" i="70"/>
  <c r="L17" i="70"/>
  <c r="N17" i="70" s="1"/>
  <c r="F17" i="70"/>
  <c r="B17" i="70"/>
  <c r="X16" i="70"/>
  <c r="Z16" i="70" s="1"/>
  <c r="T16" i="70"/>
  <c r="P16" i="70"/>
  <c r="H16" i="70"/>
  <c r="F16" i="70"/>
  <c r="D16" i="70"/>
  <c r="T14" i="70"/>
  <c r="T12" i="70" s="1"/>
  <c r="P14" i="70"/>
  <c r="H14" i="70"/>
  <c r="D14" i="70"/>
  <c r="L14" i="70" s="1"/>
  <c r="B14" i="70"/>
  <c r="T13" i="70"/>
  <c r="P13" i="70"/>
  <c r="P12" i="70" s="1"/>
  <c r="R25" i="70" s="1"/>
  <c r="L13" i="70"/>
  <c r="N13" i="70" s="1"/>
  <c r="H13" i="70"/>
  <c r="D13" i="70"/>
  <c r="B13" i="70"/>
  <c r="H12" i="70"/>
  <c r="J22" i="70" s="1"/>
  <c r="D12" i="70"/>
  <c r="D6" i="70"/>
  <c r="D4" i="70"/>
  <c r="X88" i="69"/>
  <c r="Z88" i="69" s="1"/>
  <c r="L88" i="69"/>
  <c r="N88" i="69" s="1"/>
  <c r="Z84" i="69"/>
  <c r="X84" i="69"/>
  <c r="T84" i="69"/>
  <c r="P84" i="69"/>
  <c r="H84" i="69"/>
  <c r="N84" i="69" s="1"/>
  <c r="D84" i="69"/>
  <c r="Z82" i="69"/>
  <c r="X82" i="69"/>
  <c r="L82" i="69"/>
  <c r="N82" i="69" s="1"/>
  <c r="B82" i="69"/>
  <c r="T81" i="69"/>
  <c r="P81" i="69"/>
  <c r="X81" i="69" s="1"/>
  <c r="Z81" i="69" s="1"/>
  <c r="H81" i="69"/>
  <c r="D81" i="69"/>
  <c r="L81" i="69" s="1"/>
  <c r="N81" i="69" s="1"/>
  <c r="B81" i="69"/>
  <c r="Z80" i="69"/>
  <c r="X80" i="69"/>
  <c r="N80" i="69"/>
  <c r="L80" i="69"/>
  <c r="B80" i="69"/>
  <c r="T79" i="69"/>
  <c r="P79" i="69"/>
  <c r="N79" i="69"/>
  <c r="L79" i="69"/>
  <c r="H79" i="69"/>
  <c r="D79" i="69"/>
  <c r="B79" i="69"/>
  <c r="Z78" i="69"/>
  <c r="X78" i="69"/>
  <c r="N78" i="69"/>
  <c r="L78" i="69"/>
  <c r="B78" i="69"/>
  <c r="Z77" i="69"/>
  <c r="X77" i="69"/>
  <c r="L77" i="69"/>
  <c r="N77" i="69" s="1"/>
  <c r="B77" i="69"/>
  <c r="T76" i="69"/>
  <c r="P76" i="69"/>
  <c r="X76" i="69" s="1"/>
  <c r="Z76" i="69" s="1"/>
  <c r="N76" i="69"/>
  <c r="L76" i="69"/>
  <c r="H76" i="69"/>
  <c r="D76" i="69"/>
  <c r="B76" i="69"/>
  <c r="Z75" i="69"/>
  <c r="X75" i="69"/>
  <c r="L75" i="69"/>
  <c r="N75" i="69" s="1"/>
  <c r="B75" i="69"/>
  <c r="X74" i="69"/>
  <c r="Z74" i="69" s="1"/>
  <c r="T74" i="69"/>
  <c r="P74" i="69"/>
  <c r="H74" i="69"/>
  <c r="D74" i="69"/>
  <c r="B74" i="69"/>
  <c r="X73" i="69"/>
  <c r="Z73" i="69" s="1"/>
  <c r="N73" i="69"/>
  <c r="L73" i="69"/>
  <c r="B73" i="69"/>
  <c r="T72" i="69"/>
  <c r="P72" i="69"/>
  <c r="H72" i="69"/>
  <c r="N72" i="69" s="1"/>
  <c r="D72" i="69"/>
  <c r="L72" i="69" s="1"/>
  <c r="B72" i="69"/>
  <c r="X71" i="69"/>
  <c r="Z71" i="69" s="1"/>
  <c r="N71" i="69"/>
  <c r="L71" i="69"/>
  <c r="B71" i="69"/>
  <c r="Z70" i="69"/>
  <c r="X70" i="69"/>
  <c r="T70" i="69"/>
  <c r="P70" i="69"/>
  <c r="N70" i="69"/>
  <c r="H70" i="69"/>
  <c r="D70" i="69"/>
  <c r="L70" i="69" s="1"/>
  <c r="B70" i="69"/>
  <c r="Z69" i="69"/>
  <c r="X69" i="69"/>
  <c r="N69" i="69"/>
  <c r="L69" i="69"/>
  <c r="B69" i="69"/>
  <c r="T68" i="69"/>
  <c r="P68" i="69"/>
  <c r="N68" i="69"/>
  <c r="L68" i="69"/>
  <c r="H68" i="69"/>
  <c r="D68" i="69"/>
  <c r="B68" i="69"/>
  <c r="X67" i="69"/>
  <c r="Z67" i="69" s="1"/>
  <c r="N67" i="69"/>
  <c r="L67" i="69"/>
  <c r="B67" i="69"/>
  <c r="T66" i="69"/>
  <c r="P66" i="69"/>
  <c r="X66" i="69" s="1"/>
  <c r="N66" i="69"/>
  <c r="L66" i="69"/>
  <c r="H66" i="69"/>
  <c r="D66" i="69"/>
  <c r="B66" i="69"/>
  <c r="Z65" i="69"/>
  <c r="X65" i="69"/>
  <c r="N65" i="69"/>
  <c r="L65" i="69"/>
  <c r="B65" i="69"/>
  <c r="Z64" i="69"/>
  <c r="X64" i="69"/>
  <c r="L64" i="69"/>
  <c r="N64" i="69" s="1"/>
  <c r="B64" i="69"/>
  <c r="X63" i="69"/>
  <c r="Z63" i="69" s="1"/>
  <c r="N63" i="69"/>
  <c r="L63" i="69"/>
  <c r="B63" i="69"/>
  <c r="T62" i="69"/>
  <c r="X62" i="69" s="1"/>
  <c r="Z62" i="69" s="1"/>
  <c r="P62" i="69"/>
  <c r="H62" i="69"/>
  <c r="D62" i="69"/>
  <c r="L62" i="69" s="1"/>
  <c r="N62" i="69" s="1"/>
  <c r="B62" i="69"/>
  <c r="Z61" i="69"/>
  <c r="X61" i="69"/>
  <c r="L61" i="69"/>
  <c r="N61" i="69" s="1"/>
  <c r="B61" i="69"/>
  <c r="X60" i="69"/>
  <c r="Z60" i="69" s="1"/>
  <c r="N60" i="69"/>
  <c r="L60" i="69"/>
  <c r="B60" i="69"/>
  <c r="Z59" i="69"/>
  <c r="X59" i="69"/>
  <c r="L59" i="69"/>
  <c r="N59" i="69" s="1"/>
  <c r="B59" i="69"/>
  <c r="X58" i="69"/>
  <c r="Z58" i="69" s="1"/>
  <c r="L58" i="69"/>
  <c r="N58" i="69" s="1"/>
  <c r="B58" i="69"/>
  <c r="Z57" i="69"/>
  <c r="X57" i="69"/>
  <c r="N57" i="69"/>
  <c r="L57" i="69"/>
  <c r="B57" i="69"/>
  <c r="X56" i="69"/>
  <c r="Z56" i="69" s="1"/>
  <c r="N56" i="69"/>
  <c r="L56" i="69"/>
  <c r="B56" i="69"/>
  <c r="Z55" i="69"/>
  <c r="X55" i="69"/>
  <c r="L55" i="69"/>
  <c r="N55" i="69" s="1"/>
  <c r="B55" i="69"/>
  <c r="X54" i="69"/>
  <c r="Z54" i="69" s="1"/>
  <c r="L54" i="69"/>
  <c r="N54" i="69" s="1"/>
  <c r="B54" i="69"/>
  <c r="T53" i="69"/>
  <c r="P53" i="69"/>
  <c r="X53" i="69" s="1"/>
  <c r="Z53" i="69" s="1"/>
  <c r="H53" i="69"/>
  <c r="D53" i="69"/>
  <c r="L53" i="69" s="1"/>
  <c r="N53" i="69" s="1"/>
  <c r="B53" i="69"/>
  <c r="X52" i="69"/>
  <c r="T52" i="69"/>
  <c r="Z52" i="69" s="1"/>
  <c r="P52" i="69"/>
  <c r="H52" i="69"/>
  <c r="D52" i="69"/>
  <c r="L52" i="69" s="1"/>
  <c r="Z48" i="69"/>
  <c r="X48" i="69"/>
  <c r="N48" i="69"/>
  <c r="L48" i="69"/>
  <c r="B48" i="69"/>
  <c r="X47" i="69"/>
  <c r="Z47" i="69" s="1"/>
  <c r="N47" i="69"/>
  <c r="L47" i="69"/>
  <c r="B47" i="69"/>
  <c r="X46" i="69"/>
  <c r="Z46" i="69" s="1"/>
  <c r="N46" i="69"/>
  <c r="L46" i="69"/>
  <c r="B46" i="69"/>
  <c r="Z45" i="69"/>
  <c r="X45" i="69"/>
  <c r="N45" i="69"/>
  <c r="L45" i="69"/>
  <c r="B45" i="69"/>
  <c r="Z44" i="69"/>
  <c r="X44" i="69"/>
  <c r="N44" i="69"/>
  <c r="L44" i="69"/>
  <c r="B44" i="69"/>
  <c r="X43" i="69"/>
  <c r="Z43" i="69" s="1"/>
  <c r="L43" i="69"/>
  <c r="N43" i="69" s="1"/>
  <c r="B43" i="69"/>
  <c r="Z42" i="69"/>
  <c r="X42" i="69"/>
  <c r="N42" i="69"/>
  <c r="L42" i="69"/>
  <c r="B42" i="69"/>
  <c r="Z41" i="69"/>
  <c r="X41" i="69"/>
  <c r="N41" i="69"/>
  <c r="L41" i="69"/>
  <c r="B41" i="69"/>
  <c r="X40" i="69"/>
  <c r="Z40" i="69" s="1"/>
  <c r="N40" i="69"/>
  <c r="L40" i="69"/>
  <c r="B40" i="69"/>
  <c r="Z39" i="69"/>
  <c r="X39" i="69"/>
  <c r="N39" i="69"/>
  <c r="L39" i="69"/>
  <c r="B39" i="69"/>
  <c r="T38" i="69"/>
  <c r="P38" i="69"/>
  <c r="H38" i="69"/>
  <c r="L38" i="69" s="1"/>
  <c r="N38" i="69" s="1"/>
  <c r="D38" i="69"/>
  <c r="T36" i="69"/>
  <c r="Z36" i="69" s="1"/>
  <c r="P36" i="69"/>
  <c r="X36" i="69" s="1"/>
  <c r="H36" i="69"/>
  <c r="L36" i="69" s="1"/>
  <c r="D36" i="69"/>
  <c r="B36" i="69"/>
  <c r="Z35" i="69"/>
  <c r="X35" i="69"/>
  <c r="T35" i="69"/>
  <c r="P35" i="69"/>
  <c r="H35" i="69"/>
  <c r="N35" i="69" s="1"/>
  <c r="D35" i="69"/>
  <c r="L35" i="69" s="1"/>
  <c r="B35" i="69"/>
  <c r="T34" i="69"/>
  <c r="X34" i="69" s="1"/>
  <c r="P34" i="69"/>
  <c r="N34" i="69"/>
  <c r="H34" i="69"/>
  <c r="D34" i="69"/>
  <c r="L34" i="69" s="1"/>
  <c r="B34" i="69"/>
  <c r="T33" i="69"/>
  <c r="P33" i="69"/>
  <c r="H33" i="69"/>
  <c r="L33" i="69" s="1"/>
  <c r="D33" i="69"/>
  <c r="B33" i="69"/>
  <c r="T32" i="69"/>
  <c r="P32" i="69"/>
  <c r="X32" i="69" s="1"/>
  <c r="H32" i="69"/>
  <c r="D32" i="69"/>
  <c r="L32" i="69" s="1"/>
  <c r="N32" i="69" s="1"/>
  <c r="B32" i="69"/>
  <c r="Z31" i="69"/>
  <c r="X31" i="69"/>
  <c r="T31" i="69"/>
  <c r="P31" i="69"/>
  <c r="H31" i="69"/>
  <c r="D31" i="69"/>
  <c r="B31" i="69"/>
  <c r="T30" i="69"/>
  <c r="P30" i="69"/>
  <c r="X30" i="69" s="1"/>
  <c r="Z30" i="69" s="1"/>
  <c r="N30" i="69"/>
  <c r="L30" i="69"/>
  <c r="H30" i="69"/>
  <c r="D30" i="69"/>
  <c r="B30" i="69"/>
  <c r="T29" i="69"/>
  <c r="P29" i="69"/>
  <c r="X29" i="69" s="1"/>
  <c r="Z29" i="69" s="1"/>
  <c r="H29" i="69"/>
  <c r="D29" i="69"/>
  <c r="L29" i="69" s="1"/>
  <c r="B29" i="69"/>
  <c r="T28" i="69"/>
  <c r="P28" i="69"/>
  <c r="X28" i="69" s="1"/>
  <c r="L28" i="69"/>
  <c r="H28" i="69"/>
  <c r="N28" i="69" s="1"/>
  <c r="D28" i="69"/>
  <c r="B28" i="69"/>
  <c r="Z27" i="69"/>
  <c r="X27" i="69"/>
  <c r="T27" i="69"/>
  <c r="P27" i="69"/>
  <c r="H27" i="69"/>
  <c r="D27" i="69"/>
  <c r="B27" i="69"/>
  <c r="X26" i="69"/>
  <c r="T26" i="69"/>
  <c r="Z26" i="69" s="1"/>
  <c r="P26" i="69"/>
  <c r="N26" i="69"/>
  <c r="L26" i="69"/>
  <c r="H26" i="69"/>
  <c r="D26" i="69"/>
  <c r="B26" i="69"/>
  <c r="T25" i="69"/>
  <c r="X25" i="69" s="1"/>
  <c r="P25" i="69"/>
  <c r="H25" i="69"/>
  <c r="D25" i="69"/>
  <c r="L25" i="69" s="1"/>
  <c r="N25" i="69" s="1"/>
  <c r="B25" i="69"/>
  <c r="T24" i="69"/>
  <c r="P24" i="69"/>
  <c r="X24" i="69" s="1"/>
  <c r="L24" i="69"/>
  <c r="N24" i="69" s="1"/>
  <c r="H24" i="69"/>
  <c r="D24" i="69"/>
  <c r="B24" i="69"/>
  <c r="Z23" i="69"/>
  <c r="X23" i="69"/>
  <c r="T23" i="69"/>
  <c r="P23" i="69"/>
  <c r="H23" i="69"/>
  <c r="D23" i="69"/>
  <c r="B23" i="69"/>
  <c r="X22" i="69"/>
  <c r="Z22" i="69" s="1"/>
  <c r="T22" i="69"/>
  <c r="P22" i="69"/>
  <c r="N22" i="69"/>
  <c r="L22" i="69"/>
  <c r="H22" i="69"/>
  <c r="D22" i="69"/>
  <c r="B22" i="69"/>
  <c r="T21" i="69"/>
  <c r="P21" i="69"/>
  <c r="X21" i="69" s="1"/>
  <c r="N21" i="69"/>
  <c r="H21" i="69"/>
  <c r="L21" i="69" s="1"/>
  <c r="D21" i="69"/>
  <c r="B21" i="69"/>
  <c r="T20" i="69"/>
  <c r="P20" i="69"/>
  <c r="X20" i="69" s="1"/>
  <c r="H20" i="69"/>
  <c r="D20" i="69"/>
  <c r="L20" i="69" s="1"/>
  <c r="N20" i="69" s="1"/>
  <c r="B20" i="69"/>
  <c r="Z19" i="69"/>
  <c r="X19" i="69"/>
  <c r="T19" i="69"/>
  <c r="P19" i="69"/>
  <c r="H19" i="69"/>
  <c r="D19" i="69"/>
  <c r="B19" i="69"/>
  <c r="T18" i="69"/>
  <c r="P18" i="69"/>
  <c r="X18" i="69" s="1"/>
  <c r="Z18" i="69" s="1"/>
  <c r="N18" i="69"/>
  <c r="L18" i="69"/>
  <c r="H18" i="69"/>
  <c r="D18" i="69"/>
  <c r="B18" i="69"/>
  <c r="T17" i="69"/>
  <c r="P17" i="69"/>
  <c r="X17" i="69" s="1"/>
  <c r="Z17" i="69" s="1"/>
  <c r="H17" i="69"/>
  <c r="D17" i="69"/>
  <c r="L17" i="69" s="1"/>
  <c r="B17" i="69"/>
  <c r="T16" i="69"/>
  <c r="P16" i="69"/>
  <c r="X16" i="69" s="1"/>
  <c r="L16" i="69"/>
  <c r="H16" i="69"/>
  <c r="N16" i="69" s="1"/>
  <c r="D16" i="69"/>
  <c r="B16" i="69"/>
  <c r="Z15" i="69"/>
  <c r="X15" i="69"/>
  <c r="T15" i="69"/>
  <c r="P15" i="69"/>
  <c r="H15" i="69"/>
  <c r="D15" i="69"/>
  <c r="B15" i="69"/>
  <c r="X14" i="69"/>
  <c r="T14" i="69"/>
  <c r="Z14" i="69" s="1"/>
  <c r="P14" i="69"/>
  <c r="N14" i="69"/>
  <c r="L14" i="69"/>
  <c r="H14" i="69"/>
  <c r="D14" i="69"/>
  <c r="B14" i="69"/>
  <c r="T13" i="69"/>
  <c r="P13" i="69"/>
  <c r="H13" i="69"/>
  <c r="D13" i="69"/>
  <c r="L13" i="69" s="1"/>
  <c r="N13" i="69" s="1"/>
  <c r="B13" i="69"/>
  <c r="D6" i="69"/>
  <c r="D4" i="69"/>
  <c r="F58" i="68"/>
  <c r="Z53" i="68"/>
  <c r="X53" i="68"/>
  <c r="N53" i="68"/>
  <c r="L53" i="68"/>
  <c r="V51" i="68"/>
  <c r="R51" i="68"/>
  <c r="Z49" i="68"/>
  <c r="X49" i="68"/>
  <c r="V49" i="68"/>
  <c r="T49" i="68"/>
  <c r="R49" i="68"/>
  <c r="P49" i="68"/>
  <c r="H49" i="68"/>
  <c r="N49" i="68" s="1"/>
  <c r="D49" i="68"/>
  <c r="Z47" i="68"/>
  <c r="X47" i="68"/>
  <c r="V47" i="68"/>
  <c r="R47" i="68"/>
  <c r="N47" i="68"/>
  <c r="L47" i="68"/>
  <c r="B47" i="68"/>
  <c r="Z46" i="68"/>
  <c r="V46" i="68"/>
  <c r="T46" i="68"/>
  <c r="R46" i="68"/>
  <c r="P46" i="68"/>
  <c r="X46" i="68" s="1"/>
  <c r="N46" i="68"/>
  <c r="L46" i="68"/>
  <c r="H46" i="68"/>
  <c r="D46" i="68"/>
  <c r="B46" i="68"/>
  <c r="X45" i="68"/>
  <c r="Z45" i="68" s="1"/>
  <c r="V45" i="68"/>
  <c r="R45" i="68"/>
  <c r="L45" i="68"/>
  <c r="N45" i="68" s="1"/>
  <c r="B45" i="68"/>
  <c r="V44" i="68"/>
  <c r="T44" i="68"/>
  <c r="R44" i="68"/>
  <c r="P44" i="68"/>
  <c r="X44" i="68" s="1"/>
  <c r="L44" i="68"/>
  <c r="H44" i="68"/>
  <c r="D44" i="68"/>
  <c r="B44" i="68"/>
  <c r="X43" i="68"/>
  <c r="Z43" i="68" s="1"/>
  <c r="V43" i="68"/>
  <c r="R43" i="68"/>
  <c r="N43" i="68"/>
  <c r="L43" i="68"/>
  <c r="B43" i="68"/>
  <c r="Z42" i="68"/>
  <c r="X42" i="68"/>
  <c r="L42" i="68"/>
  <c r="N42" i="68" s="1"/>
  <c r="B42" i="68"/>
  <c r="Z41" i="68"/>
  <c r="X41" i="68"/>
  <c r="V41" i="68"/>
  <c r="T41" i="68"/>
  <c r="P41" i="68"/>
  <c r="H41" i="68"/>
  <c r="D41" i="68"/>
  <c r="L41" i="68" s="1"/>
  <c r="B41" i="68"/>
  <c r="X40" i="68"/>
  <c r="Z40" i="68" s="1"/>
  <c r="L40" i="68"/>
  <c r="N40" i="68" s="1"/>
  <c r="B40" i="68"/>
  <c r="X39" i="68"/>
  <c r="V39" i="68"/>
  <c r="T39" i="68"/>
  <c r="Z39" i="68" s="1"/>
  <c r="R39" i="68"/>
  <c r="P39" i="68"/>
  <c r="H39" i="68"/>
  <c r="F39" i="68"/>
  <c r="D39" i="68"/>
  <c r="L39" i="68" s="1"/>
  <c r="B39" i="68"/>
  <c r="X38" i="68"/>
  <c r="Z38" i="68" s="1"/>
  <c r="V38" i="68"/>
  <c r="R38" i="68"/>
  <c r="N38" i="68"/>
  <c r="L38" i="68"/>
  <c r="B38" i="68"/>
  <c r="V37" i="68"/>
  <c r="T37" i="68"/>
  <c r="Z37" i="68" s="1"/>
  <c r="R37" i="68"/>
  <c r="P37" i="68"/>
  <c r="X37" i="68" s="1"/>
  <c r="N37" i="68"/>
  <c r="H37" i="68"/>
  <c r="D37" i="68"/>
  <c r="L37" i="68" s="1"/>
  <c r="B37" i="68"/>
  <c r="X36" i="68"/>
  <c r="Z36" i="68" s="1"/>
  <c r="V36" i="68"/>
  <c r="R36" i="68"/>
  <c r="N36" i="68"/>
  <c r="L36" i="68"/>
  <c r="B36" i="68"/>
  <c r="X35" i="68"/>
  <c r="V35" i="68"/>
  <c r="T35" i="68"/>
  <c r="R35" i="68"/>
  <c r="P35" i="68"/>
  <c r="L35" i="68"/>
  <c r="N35" i="68" s="1"/>
  <c r="H35" i="68"/>
  <c r="D35" i="68"/>
  <c r="B35" i="68"/>
  <c r="Z34" i="68"/>
  <c r="X34" i="68"/>
  <c r="V34" i="68"/>
  <c r="R34" i="68"/>
  <c r="N34" i="68"/>
  <c r="L34" i="68"/>
  <c r="B34" i="68"/>
  <c r="X33" i="68"/>
  <c r="Z33" i="68" s="1"/>
  <c r="R33" i="68"/>
  <c r="L33" i="68"/>
  <c r="N33" i="68" s="1"/>
  <c r="F33" i="68"/>
  <c r="B33" i="68"/>
  <c r="Z32" i="68"/>
  <c r="X32" i="68"/>
  <c r="L32" i="68"/>
  <c r="N32" i="68" s="1"/>
  <c r="B32" i="68"/>
  <c r="Z31" i="68"/>
  <c r="X31" i="68"/>
  <c r="V31" i="68"/>
  <c r="R31" i="68"/>
  <c r="N31" i="68"/>
  <c r="L31" i="68"/>
  <c r="B31" i="68"/>
  <c r="X30" i="68"/>
  <c r="Z30" i="68" s="1"/>
  <c r="V30" i="68"/>
  <c r="R30" i="68"/>
  <c r="L30" i="68"/>
  <c r="N30" i="68" s="1"/>
  <c r="F30" i="68"/>
  <c r="B30" i="68"/>
  <c r="T29" i="68"/>
  <c r="R29" i="68"/>
  <c r="P29" i="68"/>
  <c r="H29" i="68"/>
  <c r="D29" i="68"/>
  <c r="B29" i="68"/>
  <c r="X28" i="68"/>
  <c r="Z28" i="68" s="1"/>
  <c r="V28" i="68"/>
  <c r="R28" i="68"/>
  <c r="L28" i="68"/>
  <c r="N28" i="68" s="1"/>
  <c r="B28" i="68"/>
  <c r="Z27" i="68"/>
  <c r="X27" i="68"/>
  <c r="L27" i="68"/>
  <c r="N27" i="68" s="1"/>
  <c r="F27" i="68"/>
  <c r="B27" i="68"/>
  <c r="Z26" i="68"/>
  <c r="X26" i="68"/>
  <c r="V26" i="68"/>
  <c r="R26" i="68"/>
  <c r="N26" i="68"/>
  <c r="L26" i="68"/>
  <c r="B26" i="68"/>
  <c r="X25" i="68"/>
  <c r="Z25" i="68" s="1"/>
  <c r="V25" i="68"/>
  <c r="R25" i="68"/>
  <c r="L25" i="68"/>
  <c r="N25" i="68" s="1"/>
  <c r="B25" i="68"/>
  <c r="X24" i="68"/>
  <c r="Z24" i="68" s="1"/>
  <c r="V24" i="68"/>
  <c r="R24" i="68"/>
  <c r="N24" i="68"/>
  <c r="L24" i="68"/>
  <c r="J24" i="68"/>
  <c r="F24" i="68"/>
  <c r="B24" i="68"/>
  <c r="Z23" i="68"/>
  <c r="X23" i="68"/>
  <c r="L23" i="68"/>
  <c r="N23" i="68" s="1"/>
  <c r="B23" i="68"/>
  <c r="Z22" i="68"/>
  <c r="X22" i="68"/>
  <c r="V22" i="68"/>
  <c r="R22" i="68"/>
  <c r="N22" i="68"/>
  <c r="L22" i="68"/>
  <c r="B22" i="68"/>
  <c r="Z21" i="68"/>
  <c r="X21" i="68"/>
  <c r="V21" i="68"/>
  <c r="R21" i="68"/>
  <c r="L21" i="68"/>
  <c r="N21" i="68" s="1"/>
  <c r="B21" i="68"/>
  <c r="X20" i="68"/>
  <c r="Z20" i="68" s="1"/>
  <c r="V20" i="68"/>
  <c r="R20" i="68"/>
  <c r="L20" i="68"/>
  <c r="N20" i="68" s="1"/>
  <c r="F20" i="68"/>
  <c r="B20" i="68"/>
  <c r="T19" i="68"/>
  <c r="P19" i="68"/>
  <c r="X19" i="68" s="1"/>
  <c r="Z19" i="68" s="1"/>
  <c r="L19" i="68"/>
  <c r="H19" i="68"/>
  <c r="D19" i="68"/>
  <c r="B19" i="68"/>
  <c r="T18" i="68"/>
  <c r="R18" i="68"/>
  <c r="P18" i="68"/>
  <c r="X18" i="68" s="1"/>
  <c r="Z18" i="68" s="1"/>
  <c r="H18" i="68"/>
  <c r="F18" i="68"/>
  <c r="D18" i="68"/>
  <c r="L18" i="68" s="1"/>
  <c r="R16" i="68"/>
  <c r="F16" i="68"/>
  <c r="Z14" i="68"/>
  <c r="T14" i="68"/>
  <c r="T16" i="68" s="1"/>
  <c r="R14" i="68"/>
  <c r="P14" i="68"/>
  <c r="X14" i="68" s="1"/>
  <c r="L14" i="68"/>
  <c r="H14" i="68"/>
  <c r="N14" i="68" s="1"/>
  <c r="D14" i="68"/>
  <c r="Z12" i="68"/>
  <c r="T12" i="68"/>
  <c r="V40" i="68" s="1"/>
  <c r="P12" i="68"/>
  <c r="R41" i="68" s="1"/>
  <c r="H12" i="68"/>
  <c r="J40" i="68" s="1"/>
  <c r="D12" i="68"/>
  <c r="D6" i="68"/>
  <c r="D4" i="68"/>
  <c r="V97" i="64"/>
  <c r="R97" i="64"/>
  <c r="V94" i="64"/>
  <c r="R94" i="64"/>
  <c r="Z92" i="64"/>
  <c r="X92" i="64"/>
  <c r="V92" i="64"/>
  <c r="N92" i="64"/>
  <c r="L92" i="64"/>
  <c r="R90" i="64"/>
  <c r="T88" i="64"/>
  <c r="R88" i="64"/>
  <c r="P88" i="64"/>
  <c r="X88" i="64" s="1"/>
  <c r="Z88" i="64" s="1"/>
  <c r="N88" i="64"/>
  <c r="L88" i="64"/>
  <c r="H88" i="64"/>
  <c r="D88" i="64"/>
  <c r="B88" i="64"/>
  <c r="T87" i="64"/>
  <c r="R87" i="64"/>
  <c r="P87" i="64"/>
  <c r="L87" i="64"/>
  <c r="H87" i="64"/>
  <c r="H86" i="64" s="1"/>
  <c r="D87" i="64"/>
  <c r="B87" i="64"/>
  <c r="V86" i="64"/>
  <c r="R86" i="64"/>
  <c r="D86" i="64"/>
  <c r="Z84" i="64"/>
  <c r="X84" i="64"/>
  <c r="V84" i="64"/>
  <c r="R84" i="64"/>
  <c r="N84" i="64"/>
  <c r="L84" i="64"/>
  <c r="J84" i="64"/>
  <c r="B84" i="64"/>
  <c r="T83" i="64"/>
  <c r="P83" i="64"/>
  <c r="X83" i="64" s="1"/>
  <c r="H83" i="64"/>
  <c r="D83" i="64"/>
  <c r="B83" i="64"/>
  <c r="X82" i="64"/>
  <c r="Z82" i="64" s="1"/>
  <c r="N82" i="64"/>
  <c r="L82" i="64"/>
  <c r="B82" i="64"/>
  <c r="X81" i="64"/>
  <c r="Z81" i="64" s="1"/>
  <c r="N81" i="64"/>
  <c r="L81" i="64"/>
  <c r="F81" i="64"/>
  <c r="B81" i="64"/>
  <c r="Z80" i="64"/>
  <c r="X80" i="64"/>
  <c r="V80" i="64"/>
  <c r="T80" i="64"/>
  <c r="R80" i="64"/>
  <c r="P80" i="64"/>
  <c r="H80" i="64"/>
  <c r="F80" i="64"/>
  <c r="D80" i="64"/>
  <c r="L80" i="64" s="1"/>
  <c r="N80" i="64" s="1"/>
  <c r="B80" i="64"/>
  <c r="X79" i="64"/>
  <c r="Z79" i="64" s="1"/>
  <c r="R79" i="64"/>
  <c r="L79" i="64"/>
  <c r="N79" i="64" s="1"/>
  <c r="B79" i="64"/>
  <c r="Z78" i="64"/>
  <c r="X78" i="64"/>
  <c r="V78" i="64"/>
  <c r="T78" i="64"/>
  <c r="R78" i="64"/>
  <c r="P78" i="64"/>
  <c r="H78" i="64"/>
  <c r="L78" i="64" s="1"/>
  <c r="N78" i="64" s="1"/>
  <c r="D78" i="64"/>
  <c r="B78" i="64"/>
  <c r="X77" i="64"/>
  <c r="Z77" i="64" s="1"/>
  <c r="R77" i="64"/>
  <c r="L77" i="64"/>
  <c r="N77" i="64" s="1"/>
  <c r="B77" i="64"/>
  <c r="V76" i="64"/>
  <c r="T76" i="64"/>
  <c r="R76" i="64"/>
  <c r="P76" i="64"/>
  <c r="X76" i="64" s="1"/>
  <c r="H76" i="64"/>
  <c r="D76" i="64"/>
  <c r="L76" i="64" s="1"/>
  <c r="N76" i="64" s="1"/>
  <c r="B76" i="64"/>
  <c r="X75" i="64"/>
  <c r="Z75" i="64" s="1"/>
  <c r="V75" i="64"/>
  <c r="R75" i="64"/>
  <c r="L75" i="64"/>
  <c r="N75" i="64" s="1"/>
  <c r="F75" i="64"/>
  <c r="B75" i="64"/>
  <c r="X74" i="64"/>
  <c r="Z74" i="64" s="1"/>
  <c r="N74" i="64"/>
  <c r="L74" i="64"/>
  <c r="B74" i="64"/>
  <c r="X73" i="64"/>
  <c r="Z73" i="64" s="1"/>
  <c r="N73" i="64"/>
  <c r="L73" i="64"/>
  <c r="F73" i="64"/>
  <c r="B73" i="64"/>
  <c r="Z72" i="64"/>
  <c r="X72" i="64"/>
  <c r="V72" i="64"/>
  <c r="N72" i="64"/>
  <c r="L72" i="64"/>
  <c r="B72" i="64"/>
  <c r="X71" i="64"/>
  <c r="Z71" i="64" s="1"/>
  <c r="V71" i="64"/>
  <c r="R71" i="64"/>
  <c r="L71" i="64"/>
  <c r="N71" i="64" s="1"/>
  <c r="F71" i="64"/>
  <c r="B71" i="64"/>
  <c r="T70" i="64"/>
  <c r="R70" i="64"/>
  <c r="P70" i="64"/>
  <c r="X70" i="64" s="1"/>
  <c r="Z70" i="64" s="1"/>
  <c r="N70" i="64"/>
  <c r="L70" i="64"/>
  <c r="H70" i="64"/>
  <c r="F70" i="64"/>
  <c r="D70" i="64"/>
  <c r="B70" i="64"/>
  <c r="Z69" i="64"/>
  <c r="X69" i="64"/>
  <c r="R69" i="64"/>
  <c r="L69" i="64"/>
  <c r="N69" i="64" s="1"/>
  <c r="F69" i="64"/>
  <c r="B69" i="64"/>
  <c r="T68" i="64"/>
  <c r="X68" i="64" s="1"/>
  <c r="Z68" i="64" s="1"/>
  <c r="P68" i="64"/>
  <c r="N68" i="64"/>
  <c r="L68" i="64"/>
  <c r="H68" i="64"/>
  <c r="F68" i="64"/>
  <c r="D68" i="64"/>
  <c r="B68" i="64"/>
  <c r="X67" i="64"/>
  <c r="Z67" i="64" s="1"/>
  <c r="L67" i="64"/>
  <c r="N67" i="64" s="1"/>
  <c r="F67" i="64"/>
  <c r="B67" i="64"/>
  <c r="Z66" i="64"/>
  <c r="X66" i="64"/>
  <c r="V66" i="64"/>
  <c r="L66" i="64"/>
  <c r="N66" i="64" s="1"/>
  <c r="B66" i="64"/>
  <c r="X65" i="64"/>
  <c r="Z65" i="64" s="1"/>
  <c r="R65" i="64"/>
  <c r="L65" i="64"/>
  <c r="N65" i="64" s="1"/>
  <c r="B65" i="64"/>
  <c r="V64" i="64"/>
  <c r="T64" i="64"/>
  <c r="Z64" i="64" s="1"/>
  <c r="R64" i="64"/>
  <c r="P64" i="64"/>
  <c r="X64" i="64" s="1"/>
  <c r="H64" i="64"/>
  <c r="D64" i="64"/>
  <c r="L64" i="64" s="1"/>
  <c r="N64" i="64" s="1"/>
  <c r="B64" i="64"/>
  <c r="X63" i="64"/>
  <c r="Z63" i="64" s="1"/>
  <c r="V63" i="64"/>
  <c r="R63" i="64"/>
  <c r="L63" i="64"/>
  <c r="N63" i="64" s="1"/>
  <c r="F63" i="64"/>
  <c r="B63" i="64"/>
  <c r="X62" i="64"/>
  <c r="Z62" i="64" s="1"/>
  <c r="N62" i="64"/>
  <c r="L62" i="64"/>
  <c r="B62" i="64"/>
  <c r="X61" i="64"/>
  <c r="Z61" i="64" s="1"/>
  <c r="N61" i="64"/>
  <c r="L61" i="64"/>
  <c r="F61" i="64"/>
  <c r="B61" i="64"/>
  <c r="Z60" i="64"/>
  <c r="X60" i="64"/>
  <c r="V60" i="64"/>
  <c r="T60" i="64"/>
  <c r="R60" i="64"/>
  <c r="P60" i="64"/>
  <c r="H60" i="64"/>
  <c r="F60" i="64"/>
  <c r="D60" i="64"/>
  <c r="L60" i="64" s="1"/>
  <c r="N60" i="64" s="1"/>
  <c r="B60" i="64"/>
  <c r="X59" i="64"/>
  <c r="Z59" i="64" s="1"/>
  <c r="R59" i="64"/>
  <c r="L59" i="64"/>
  <c r="N59" i="64" s="1"/>
  <c r="B59" i="64"/>
  <c r="Z58" i="64"/>
  <c r="X58" i="64"/>
  <c r="V58" i="64"/>
  <c r="T58" i="64"/>
  <c r="R58" i="64"/>
  <c r="P58" i="64"/>
  <c r="H58" i="64"/>
  <c r="L58" i="64" s="1"/>
  <c r="N58" i="64" s="1"/>
  <c r="D58" i="64"/>
  <c r="B58" i="64"/>
  <c r="X57" i="64"/>
  <c r="Z57" i="64" s="1"/>
  <c r="R57" i="64"/>
  <c r="L57" i="64"/>
  <c r="N57" i="64" s="1"/>
  <c r="B57" i="64"/>
  <c r="V56" i="64"/>
  <c r="T56" i="64"/>
  <c r="R56" i="64"/>
  <c r="P56" i="64"/>
  <c r="X56" i="64" s="1"/>
  <c r="H56" i="64"/>
  <c r="D56" i="64"/>
  <c r="L56" i="64" s="1"/>
  <c r="N56" i="64" s="1"/>
  <c r="B56" i="64"/>
  <c r="X55" i="64"/>
  <c r="Z55" i="64" s="1"/>
  <c r="V55" i="64"/>
  <c r="R55" i="64"/>
  <c r="L55" i="64"/>
  <c r="N55" i="64" s="1"/>
  <c r="F55" i="64"/>
  <c r="B55" i="64"/>
  <c r="T54" i="64"/>
  <c r="R54" i="64"/>
  <c r="P54" i="64"/>
  <c r="X54" i="64" s="1"/>
  <c r="Z54" i="64" s="1"/>
  <c r="N54" i="64"/>
  <c r="L54" i="64"/>
  <c r="H54" i="64"/>
  <c r="F54" i="64"/>
  <c r="D54" i="64"/>
  <c r="B54" i="64"/>
  <c r="Z53" i="64"/>
  <c r="X53" i="64"/>
  <c r="R53" i="64"/>
  <c r="L53" i="64"/>
  <c r="N53" i="64" s="1"/>
  <c r="F53" i="64"/>
  <c r="B53" i="64"/>
  <c r="T52" i="64"/>
  <c r="X52" i="64" s="1"/>
  <c r="Z52" i="64" s="1"/>
  <c r="P52" i="64"/>
  <c r="N52" i="64"/>
  <c r="L52" i="64"/>
  <c r="J52" i="64"/>
  <c r="H52" i="64"/>
  <c r="F52" i="64"/>
  <c r="D52" i="64"/>
  <c r="B52" i="64"/>
  <c r="X51" i="64"/>
  <c r="Z51" i="64" s="1"/>
  <c r="V51" i="64"/>
  <c r="L51" i="64"/>
  <c r="N51" i="64" s="1"/>
  <c r="F51" i="64"/>
  <c r="B51" i="64"/>
  <c r="Z50" i="64"/>
  <c r="V50" i="64"/>
  <c r="T50" i="64"/>
  <c r="P50" i="64"/>
  <c r="X50" i="64" s="1"/>
  <c r="H50" i="64"/>
  <c r="F50" i="64"/>
  <c r="D50" i="64"/>
  <c r="L50" i="64" s="1"/>
  <c r="B50" i="64"/>
  <c r="X49" i="64"/>
  <c r="Z49" i="64" s="1"/>
  <c r="N49" i="64"/>
  <c r="L49" i="64"/>
  <c r="F49" i="64"/>
  <c r="B49" i="64"/>
  <c r="Z48" i="64"/>
  <c r="X48" i="64"/>
  <c r="V48" i="64"/>
  <c r="T48" i="64"/>
  <c r="R48" i="64"/>
  <c r="P48" i="64"/>
  <c r="H48" i="64"/>
  <c r="F48" i="64"/>
  <c r="D48" i="64"/>
  <c r="L48" i="64" s="1"/>
  <c r="N48" i="64" s="1"/>
  <c r="B48" i="64"/>
  <c r="X47" i="64"/>
  <c r="Z47" i="64" s="1"/>
  <c r="R47" i="64"/>
  <c r="L47" i="64"/>
  <c r="N47" i="64" s="1"/>
  <c r="B47" i="64"/>
  <c r="Z46" i="64"/>
  <c r="X46" i="64"/>
  <c r="V46" i="64"/>
  <c r="T46" i="64"/>
  <c r="R46" i="64"/>
  <c r="P46" i="64"/>
  <c r="H46" i="64"/>
  <c r="L46" i="64" s="1"/>
  <c r="N46" i="64" s="1"/>
  <c r="D46" i="64"/>
  <c r="B46" i="64"/>
  <c r="X45" i="64"/>
  <c r="Z45" i="64" s="1"/>
  <c r="R45" i="64"/>
  <c r="L45" i="64"/>
  <c r="N45" i="64" s="1"/>
  <c r="B45" i="64"/>
  <c r="Z44" i="64"/>
  <c r="X44" i="64"/>
  <c r="V44" i="64"/>
  <c r="R44" i="64"/>
  <c r="N44" i="64"/>
  <c r="L44" i="64"/>
  <c r="B44" i="64"/>
  <c r="V43" i="64"/>
  <c r="T43" i="64"/>
  <c r="Z43" i="64" s="1"/>
  <c r="P43" i="64"/>
  <c r="X43" i="64" s="1"/>
  <c r="H43" i="64"/>
  <c r="D43" i="64"/>
  <c r="B43" i="64"/>
  <c r="X42" i="64"/>
  <c r="Z42" i="64" s="1"/>
  <c r="N42" i="64"/>
  <c r="L42" i="64"/>
  <c r="B42" i="64"/>
  <c r="X41" i="64"/>
  <c r="Z41" i="64" s="1"/>
  <c r="N41" i="64"/>
  <c r="L41" i="64"/>
  <c r="F41" i="64"/>
  <c r="B41" i="64"/>
  <c r="Z40" i="64"/>
  <c r="X40" i="64"/>
  <c r="V40" i="64"/>
  <c r="T40" i="64"/>
  <c r="R40" i="64"/>
  <c r="P40" i="64"/>
  <c r="H40" i="64"/>
  <c r="F40" i="64"/>
  <c r="D40" i="64"/>
  <c r="L40" i="64" s="1"/>
  <c r="N40" i="64" s="1"/>
  <c r="B40" i="64"/>
  <c r="X39" i="64"/>
  <c r="Z39" i="64" s="1"/>
  <c r="R39" i="64"/>
  <c r="L39" i="64"/>
  <c r="N39" i="64" s="1"/>
  <c r="B39" i="64"/>
  <c r="X38" i="64"/>
  <c r="Z38" i="64" s="1"/>
  <c r="V38" i="64"/>
  <c r="T38" i="64"/>
  <c r="R38" i="64"/>
  <c r="P38" i="64"/>
  <c r="N38" i="64"/>
  <c r="H38" i="64"/>
  <c r="L38" i="64" s="1"/>
  <c r="D38" i="64"/>
  <c r="B38" i="64"/>
  <c r="X37" i="64"/>
  <c r="Z37" i="64" s="1"/>
  <c r="R37" i="64"/>
  <c r="L37" i="64"/>
  <c r="N37" i="64" s="1"/>
  <c r="B37" i="64"/>
  <c r="V36" i="64"/>
  <c r="T36" i="64"/>
  <c r="R36" i="64"/>
  <c r="P36" i="64"/>
  <c r="X36" i="64" s="1"/>
  <c r="H36" i="64"/>
  <c r="D36" i="64"/>
  <c r="L36" i="64" s="1"/>
  <c r="N36" i="64" s="1"/>
  <c r="B36" i="64"/>
  <c r="X35" i="64"/>
  <c r="Z35" i="64" s="1"/>
  <c r="V35" i="64"/>
  <c r="R35" i="64"/>
  <c r="L35" i="64"/>
  <c r="N35" i="64" s="1"/>
  <c r="F35" i="64"/>
  <c r="B35" i="64"/>
  <c r="T34" i="64"/>
  <c r="R34" i="64"/>
  <c r="P34" i="64"/>
  <c r="X34" i="64" s="1"/>
  <c r="Z34" i="64" s="1"/>
  <c r="N34" i="64"/>
  <c r="L34" i="64"/>
  <c r="H34" i="64"/>
  <c r="F34" i="64"/>
  <c r="D34" i="64"/>
  <c r="B34" i="64"/>
  <c r="Z33" i="64"/>
  <c r="X33" i="64"/>
  <c r="R33" i="64"/>
  <c r="N33" i="64"/>
  <c r="L33" i="64"/>
  <c r="F33" i="64"/>
  <c r="B33" i="64"/>
  <c r="Z32" i="64"/>
  <c r="X32" i="64"/>
  <c r="R32" i="64"/>
  <c r="N32" i="64"/>
  <c r="L32" i="64"/>
  <c r="J32" i="64"/>
  <c r="F32" i="64"/>
  <c r="B32" i="64"/>
  <c r="X31" i="64"/>
  <c r="Z31" i="64" s="1"/>
  <c r="R31" i="64"/>
  <c r="L31" i="64"/>
  <c r="N31" i="64" s="1"/>
  <c r="B31" i="64"/>
  <c r="Z30" i="64"/>
  <c r="X30" i="64"/>
  <c r="V30" i="64"/>
  <c r="N30" i="64"/>
  <c r="L30" i="64"/>
  <c r="J30" i="64"/>
  <c r="B30" i="64"/>
  <c r="Z29" i="64"/>
  <c r="X29" i="64"/>
  <c r="R29" i="64"/>
  <c r="N29" i="64"/>
  <c r="L29" i="64"/>
  <c r="F29" i="64"/>
  <c r="B29" i="64"/>
  <c r="T28" i="64"/>
  <c r="X28" i="64" s="1"/>
  <c r="Z28" i="64" s="1"/>
  <c r="P28" i="64"/>
  <c r="N28" i="64"/>
  <c r="L28" i="64"/>
  <c r="J28" i="64"/>
  <c r="H28" i="64"/>
  <c r="F28" i="64"/>
  <c r="D28" i="64"/>
  <c r="B28" i="64"/>
  <c r="X27" i="64"/>
  <c r="Z27" i="64" s="1"/>
  <c r="V27" i="64"/>
  <c r="L27" i="64"/>
  <c r="N27" i="64" s="1"/>
  <c r="J27" i="64"/>
  <c r="F27" i="64"/>
  <c r="B27" i="64"/>
  <c r="Z26" i="64"/>
  <c r="X26" i="64"/>
  <c r="V26" i="64"/>
  <c r="L26" i="64"/>
  <c r="N26" i="64" s="1"/>
  <c r="B26" i="64"/>
  <c r="X25" i="64"/>
  <c r="Z25" i="64" s="1"/>
  <c r="V25" i="64"/>
  <c r="R25" i="64"/>
  <c r="L25" i="64"/>
  <c r="N25" i="64" s="1"/>
  <c r="B25" i="64"/>
  <c r="Z24" i="64"/>
  <c r="X24" i="64"/>
  <c r="V24" i="64"/>
  <c r="R24" i="64"/>
  <c r="N24" i="64"/>
  <c r="L24" i="64"/>
  <c r="B24" i="64"/>
  <c r="X23" i="64"/>
  <c r="Z23" i="64" s="1"/>
  <c r="V23" i="64"/>
  <c r="L23" i="64"/>
  <c r="N23" i="64" s="1"/>
  <c r="F23" i="64"/>
  <c r="B23" i="64"/>
  <c r="Z22" i="64"/>
  <c r="X22" i="64"/>
  <c r="V22" i="64"/>
  <c r="L22" i="64"/>
  <c r="N22" i="64" s="1"/>
  <c r="B22" i="64"/>
  <c r="Z21" i="64"/>
  <c r="X21" i="64"/>
  <c r="V21" i="64"/>
  <c r="R21" i="64"/>
  <c r="L21" i="64"/>
  <c r="N21" i="64" s="1"/>
  <c r="B21" i="64"/>
  <c r="Z20" i="64"/>
  <c r="X20" i="64"/>
  <c r="V20" i="64"/>
  <c r="R20" i="64"/>
  <c r="N20" i="64"/>
  <c r="L20" i="64"/>
  <c r="B20" i="64"/>
  <c r="V19" i="64"/>
  <c r="T19" i="64"/>
  <c r="Z19" i="64" s="1"/>
  <c r="P19" i="64"/>
  <c r="X19" i="64" s="1"/>
  <c r="H19" i="64"/>
  <c r="D19" i="64"/>
  <c r="B19" i="64"/>
  <c r="T18" i="64"/>
  <c r="R18" i="64"/>
  <c r="P18" i="64"/>
  <c r="X18" i="64" s="1"/>
  <c r="N18" i="64"/>
  <c r="L18" i="64"/>
  <c r="J18" i="64"/>
  <c r="H18" i="64"/>
  <c r="F18" i="64"/>
  <c r="D18" i="64"/>
  <c r="R16" i="64"/>
  <c r="F16" i="64"/>
  <c r="T14" i="64"/>
  <c r="Z14" i="64" s="1"/>
  <c r="R14" i="64"/>
  <c r="P14" i="64"/>
  <c r="X14" i="64" s="1"/>
  <c r="N14" i="64"/>
  <c r="L14" i="64"/>
  <c r="J14" i="64"/>
  <c r="H14" i="64"/>
  <c r="F14" i="64"/>
  <c r="D14" i="64"/>
  <c r="X12" i="64"/>
  <c r="T12" i="64"/>
  <c r="V79" i="64" s="1"/>
  <c r="P12" i="64"/>
  <c r="R72" i="64" s="1"/>
  <c r="H12" i="64"/>
  <c r="J90" i="64" s="1"/>
  <c r="D12" i="64"/>
  <c r="F84" i="64" s="1"/>
  <c r="D6" i="64"/>
  <c r="D4" i="64"/>
  <c r="J54" i="61"/>
  <c r="F54" i="61"/>
  <c r="F51" i="61"/>
  <c r="Z49" i="61"/>
  <c r="X49" i="61"/>
  <c r="N49" i="61"/>
  <c r="L49" i="61"/>
  <c r="F49" i="61"/>
  <c r="V47" i="61"/>
  <c r="R47" i="61"/>
  <c r="F47" i="61"/>
  <c r="Z45" i="61"/>
  <c r="X45" i="61"/>
  <c r="V45" i="61"/>
  <c r="T45" i="61"/>
  <c r="P45" i="61"/>
  <c r="H45" i="61"/>
  <c r="N45" i="61" s="1"/>
  <c r="F45" i="61"/>
  <c r="D45" i="61"/>
  <c r="L45" i="61" s="1"/>
  <c r="Z43" i="61"/>
  <c r="X43" i="61"/>
  <c r="V43" i="61"/>
  <c r="N43" i="61"/>
  <c r="L43" i="61"/>
  <c r="F43" i="61"/>
  <c r="B43" i="61"/>
  <c r="V42" i="61"/>
  <c r="T42" i="61"/>
  <c r="P42" i="61"/>
  <c r="X42" i="61" s="1"/>
  <c r="L42" i="61"/>
  <c r="N42" i="61" s="1"/>
  <c r="H42" i="61"/>
  <c r="F42" i="61"/>
  <c r="D42" i="61"/>
  <c r="B42" i="61"/>
  <c r="Z41" i="61"/>
  <c r="X41" i="61"/>
  <c r="V41" i="61"/>
  <c r="N41" i="61"/>
  <c r="L41" i="61"/>
  <c r="J41" i="61"/>
  <c r="B41" i="61"/>
  <c r="T40" i="61"/>
  <c r="R40" i="61"/>
  <c r="P40" i="61"/>
  <c r="H40" i="61"/>
  <c r="D40" i="61"/>
  <c r="B40" i="61"/>
  <c r="Z39" i="61"/>
  <c r="X39" i="61"/>
  <c r="V39" i="61"/>
  <c r="R39" i="61"/>
  <c r="N39" i="61"/>
  <c r="L39" i="61"/>
  <c r="B39" i="61"/>
  <c r="X38" i="61"/>
  <c r="Z38" i="61" s="1"/>
  <c r="V38" i="61"/>
  <c r="L38" i="61"/>
  <c r="N38" i="61" s="1"/>
  <c r="F38" i="61"/>
  <c r="B38" i="61"/>
  <c r="V37" i="61"/>
  <c r="T37" i="61"/>
  <c r="P37" i="61"/>
  <c r="X37" i="61" s="1"/>
  <c r="Z37" i="61" s="1"/>
  <c r="H37" i="61"/>
  <c r="F37" i="61"/>
  <c r="D37" i="61"/>
  <c r="B37" i="61"/>
  <c r="X36" i="61"/>
  <c r="Z36" i="61" s="1"/>
  <c r="N36" i="61"/>
  <c r="L36" i="61"/>
  <c r="F36" i="61"/>
  <c r="B36" i="61"/>
  <c r="Z35" i="61"/>
  <c r="X35" i="61"/>
  <c r="V35" i="61"/>
  <c r="T35" i="61"/>
  <c r="P35" i="61"/>
  <c r="H35" i="61"/>
  <c r="F35" i="61"/>
  <c r="D35" i="61"/>
  <c r="L35" i="61" s="1"/>
  <c r="B35" i="61"/>
  <c r="X34" i="61"/>
  <c r="Z34" i="61" s="1"/>
  <c r="R34" i="61"/>
  <c r="N34" i="61"/>
  <c r="L34" i="61"/>
  <c r="B34" i="61"/>
  <c r="Z33" i="61"/>
  <c r="X33" i="61"/>
  <c r="V33" i="61"/>
  <c r="T33" i="61"/>
  <c r="P33" i="61"/>
  <c r="H33" i="61"/>
  <c r="D33" i="61"/>
  <c r="L33" i="61" s="1"/>
  <c r="N33" i="61" s="1"/>
  <c r="B33" i="61"/>
  <c r="Z32" i="61"/>
  <c r="X32" i="61"/>
  <c r="V32" i="61"/>
  <c r="L32" i="61"/>
  <c r="N32" i="61" s="1"/>
  <c r="B32" i="61"/>
  <c r="X31" i="61"/>
  <c r="Z31" i="61" s="1"/>
  <c r="V31" i="61"/>
  <c r="N31" i="61"/>
  <c r="L31" i="61"/>
  <c r="B31" i="61"/>
  <c r="Z30" i="61"/>
  <c r="X30" i="61"/>
  <c r="V30" i="61"/>
  <c r="L30" i="61"/>
  <c r="N30" i="61" s="1"/>
  <c r="F30" i="61"/>
  <c r="B30" i="61"/>
  <c r="Z29" i="61"/>
  <c r="X29" i="61"/>
  <c r="V29" i="61"/>
  <c r="L29" i="61"/>
  <c r="N29" i="61" s="1"/>
  <c r="B29" i="61"/>
  <c r="X28" i="61"/>
  <c r="Z28" i="61" s="1"/>
  <c r="V28" i="61"/>
  <c r="T28" i="61"/>
  <c r="P28" i="61"/>
  <c r="H28" i="61"/>
  <c r="D28" i="61"/>
  <c r="L28" i="61" s="1"/>
  <c r="B28" i="61"/>
  <c r="Z27" i="61"/>
  <c r="X27" i="61"/>
  <c r="V27" i="61"/>
  <c r="N27" i="61"/>
  <c r="L27" i="61"/>
  <c r="F27" i="61"/>
  <c r="B27" i="61"/>
  <c r="X26" i="61"/>
  <c r="Z26" i="61" s="1"/>
  <c r="V26" i="61"/>
  <c r="L26" i="61"/>
  <c r="N26" i="61" s="1"/>
  <c r="F26" i="61"/>
  <c r="B26" i="61"/>
  <c r="X25" i="61"/>
  <c r="Z25" i="61" s="1"/>
  <c r="L25" i="61"/>
  <c r="N25" i="61" s="1"/>
  <c r="F25" i="61"/>
  <c r="B25" i="61"/>
  <c r="X24" i="61"/>
  <c r="Z24" i="61" s="1"/>
  <c r="N24" i="61"/>
  <c r="L24" i="61"/>
  <c r="F24" i="61"/>
  <c r="B24" i="61"/>
  <c r="Z23" i="61"/>
  <c r="X23" i="61"/>
  <c r="V23" i="61"/>
  <c r="N23" i="61"/>
  <c r="L23" i="61"/>
  <c r="F23" i="61"/>
  <c r="B23" i="61"/>
  <c r="X22" i="61"/>
  <c r="Z22" i="61" s="1"/>
  <c r="V22" i="61"/>
  <c r="L22" i="61"/>
  <c r="N22" i="61" s="1"/>
  <c r="F22" i="61"/>
  <c r="B22" i="61"/>
  <c r="X21" i="61"/>
  <c r="Z21" i="61" s="1"/>
  <c r="V21" i="61"/>
  <c r="N21" i="61"/>
  <c r="L21" i="61"/>
  <c r="J21" i="61"/>
  <c r="F21" i="61"/>
  <c r="B21" i="61"/>
  <c r="X20" i="61"/>
  <c r="Z20" i="61" s="1"/>
  <c r="N20" i="61"/>
  <c r="L20" i="61"/>
  <c r="F20" i="61"/>
  <c r="B20" i="61"/>
  <c r="Z19" i="61"/>
  <c r="X19" i="61"/>
  <c r="V19" i="61"/>
  <c r="T19" i="61"/>
  <c r="R19" i="61"/>
  <c r="P19" i="61"/>
  <c r="H19" i="61"/>
  <c r="F19" i="61"/>
  <c r="D19" i="61"/>
  <c r="L19" i="61" s="1"/>
  <c r="B19" i="61"/>
  <c r="T18" i="61"/>
  <c r="P18" i="61"/>
  <c r="H18" i="61"/>
  <c r="F18" i="61"/>
  <c r="D18" i="61"/>
  <c r="F16" i="61"/>
  <c r="D16" i="61"/>
  <c r="X14" i="61"/>
  <c r="T14" i="61"/>
  <c r="Z14" i="61" s="1"/>
  <c r="P14" i="61"/>
  <c r="H14" i="61"/>
  <c r="N14" i="61" s="1"/>
  <c r="F14" i="61"/>
  <c r="D14" i="61"/>
  <c r="Z12" i="61"/>
  <c r="T12" i="61"/>
  <c r="V34" i="61" s="1"/>
  <c r="P12" i="61"/>
  <c r="H12" i="61"/>
  <c r="J31" i="61" s="1"/>
  <c r="D12" i="61"/>
  <c r="F39" i="61" s="1"/>
  <c r="D6" i="61"/>
  <c r="D4" i="61"/>
  <c r="J50" i="60"/>
  <c r="Z48" i="60"/>
  <c r="X48" i="60"/>
  <c r="N48" i="60"/>
  <c r="L48" i="60"/>
  <c r="Z44" i="60"/>
  <c r="T44" i="60"/>
  <c r="R44" i="60"/>
  <c r="P44" i="60"/>
  <c r="H44" i="60"/>
  <c r="N44" i="60" s="1"/>
  <c r="D44" i="60"/>
  <c r="Z42" i="60"/>
  <c r="X42" i="60"/>
  <c r="R42" i="60"/>
  <c r="N42" i="60"/>
  <c r="L42" i="60"/>
  <c r="F42" i="60"/>
  <c r="B42" i="60"/>
  <c r="T41" i="60"/>
  <c r="P41" i="60"/>
  <c r="N41" i="60"/>
  <c r="L41" i="60"/>
  <c r="H41" i="60"/>
  <c r="D41" i="60"/>
  <c r="B41" i="60"/>
  <c r="X40" i="60"/>
  <c r="Z40" i="60" s="1"/>
  <c r="V40" i="60"/>
  <c r="L40" i="60"/>
  <c r="N40" i="60" s="1"/>
  <c r="B40" i="60"/>
  <c r="Z39" i="60"/>
  <c r="X39" i="60"/>
  <c r="N39" i="60"/>
  <c r="L39" i="60"/>
  <c r="B39" i="60"/>
  <c r="X38" i="60"/>
  <c r="Z38" i="60" s="1"/>
  <c r="T38" i="60"/>
  <c r="P38" i="60"/>
  <c r="H38" i="60"/>
  <c r="D38" i="60"/>
  <c r="L38" i="60" s="1"/>
  <c r="B38" i="60"/>
  <c r="Z37" i="60"/>
  <c r="X37" i="60"/>
  <c r="V37" i="60"/>
  <c r="N37" i="60"/>
  <c r="L37" i="60"/>
  <c r="F37" i="60"/>
  <c r="B37" i="60"/>
  <c r="T36" i="60"/>
  <c r="P36" i="60"/>
  <c r="X36" i="60" s="1"/>
  <c r="L36" i="60"/>
  <c r="H36" i="60"/>
  <c r="D36" i="60"/>
  <c r="B36" i="60"/>
  <c r="Z35" i="60"/>
  <c r="X35" i="60"/>
  <c r="V35" i="60"/>
  <c r="N35" i="60"/>
  <c r="L35" i="60"/>
  <c r="B35" i="60"/>
  <c r="T34" i="60"/>
  <c r="R34" i="60"/>
  <c r="P34" i="60"/>
  <c r="X34" i="60" s="1"/>
  <c r="Z34" i="60" s="1"/>
  <c r="H34" i="60"/>
  <c r="D34" i="60"/>
  <c r="B34" i="60"/>
  <c r="Z33" i="60"/>
  <c r="X33" i="60"/>
  <c r="V33" i="60"/>
  <c r="R33" i="60"/>
  <c r="N33" i="60"/>
  <c r="L33" i="60"/>
  <c r="J33" i="60"/>
  <c r="B33" i="60"/>
  <c r="V32" i="60"/>
  <c r="T32" i="60"/>
  <c r="P32" i="60"/>
  <c r="X32" i="60" s="1"/>
  <c r="H32" i="60"/>
  <c r="D32" i="60"/>
  <c r="L32" i="60" s="1"/>
  <c r="N32" i="60" s="1"/>
  <c r="B32" i="60"/>
  <c r="X31" i="60"/>
  <c r="Z31" i="60" s="1"/>
  <c r="L31" i="60"/>
  <c r="N31" i="60" s="1"/>
  <c r="J31" i="60"/>
  <c r="F31" i="60"/>
  <c r="B31" i="60"/>
  <c r="X30" i="60"/>
  <c r="T30" i="60"/>
  <c r="P30" i="60"/>
  <c r="H30" i="60"/>
  <c r="D30" i="60"/>
  <c r="L30" i="60" s="1"/>
  <c r="B30" i="60"/>
  <c r="Z29" i="60"/>
  <c r="X29" i="60"/>
  <c r="V29" i="60"/>
  <c r="N29" i="60"/>
  <c r="L29" i="60"/>
  <c r="J29" i="60"/>
  <c r="B29" i="60"/>
  <c r="T28" i="60"/>
  <c r="P28" i="60"/>
  <c r="X28" i="60" s="1"/>
  <c r="Z28" i="60" s="1"/>
  <c r="N28" i="60"/>
  <c r="L28" i="60"/>
  <c r="H28" i="60"/>
  <c r="D28" i="60"/>
  <c r="B28" i="60"/>
  <c r="Z27" i="60"/>
  <c r="X27" i="60"/>
  <c r="V27" i="60"/>
  <c r="N27" i="60"/>
  <c r="L27" i="60"/>
  <c r="J27" i="60"/>
  <c r="B27" i="60"/>
  <c r="Z26" i="60"/>
  <c r="X26" i="60"/>
  <c r="L26" i="60"/>
  <c r="N26" i="60" s="1"/>
  <c r="B26" i="60"/>
  <c r="Z25" i="60"/>
  <c r="X25" i="60"/>
  <c r="V25" i="60"/>
  <c r="R25" i="60"/>
  <c r="N25" i="60"/>
  <c r="L25" i="60"/>
  <c r="B25" i="60"/>
  <c r="X24" i="60"/>
  <c r="Z24" i="60" s="1"/>
  <c r="V24" i="60"/>
  <c r="L24" i="60"/>
  <c r="N24" i="60" s="1"/>
  <c r="J24" i="60"/>
  <c r="B24" i="60"/>
  <c r="X23" i="60"/>
  <c r="Z23" i="60" s="1"/>
  <c r="L23" i="60"/>
  <c r="N23" i="60" s="1"/>
  <c r="J23" i="60"/>
  <c r="B23" i="60"/>
  <c r="Z22" i="60"/>
  <c r="X22" i="60"/>
  <c r="V22" i="60"/>
  <c r="R22" i="60"/>
  <c r="N22" i="60"/>
  <c r="L22" i="60"/>
  <c r="B22" i="60"/>
  <c r="Z21" i="60"/>
  <c r="X21" i="60"/>
  <c r="V21" i="60"/>
  <c r="R21" i="60"/>
  <c r="L21" i="60"/>
  <c r="N21" i="60" s="1"/>
  <c r="J21" i="60"/>
  <c r="F21" i="60"/>
  <c r="B21" i="60"/>
  <c r="X20" i="60"/>
  <c r="Z20" i="60" s="1"/>
  <c r="V20" i="60"/>
  <c r="L20" i="60"/>
  <c r="N20" i="60" s="1"/>
  <c r="J20" i="60"/>
  <c r="B20" i="60"/>
  <c r="Z19" i="60"/>
  <c r="X19" i="60"/>
  <c r="T19" i="60"/>
  <c r="P19" i="60"/>
  <c r="J19" i="60"/>
  <c r="H19" i="60"/>
  <c r="D19" i="60"/>
  <c r="B19" i="60"/>
  <c r="Z18" i="60"/>
  <c r="T18" i="60"/>
  <c r="R18" i="60"/>
  <c r="P18" i="60"/>
  <c r="X18" i="60" s="1"/>
  <c r="J18" i="60"/>
  <c r="H18" i="60"/>
  <c r="F18" i="60"/>
  <c r="D18" i="60"/>
  <c r="L18" i="60" s="1"/>
  <c r="R16" i="60"/>
  <c r="J16" i="60"/>
  <c r="F16" i="60"/>
  <c r="D16" i="60"/>
  <c r="Z14" i="60"/>
  <c r="T14" i="60"/>
  <c r="T16" i="60" s="1"/>
  <c r="T46" i="60" s="1"/>
  <c r="R14" i="60"/>
  <c r="P14" i="60"/>
  <c r="X14" i="60" s="1"/>
  <c r="J14" i="60"/>
  <c r="H14" i="60"/>
  <c r="N14" i="60" s="1"/>
  <c r="F14" i="60"/>
  <c r="D14" i="60"/>
  <c r="L14" i="60" s="1"/>
  <c r="Z12" i="60"/>
  <c r="T12" i="60"/>
  <c r="V39" i="60" s="1"/>
  <c r="P12" i="60"/>
  <c r="R20" i="60" s="1"/>
  <c r="N12" i="60"/>
  <c r="H12" i="60"/>
  <c r="D12" i="60"/>
  <c r="F24" i="60" s="1"/>
  <c r="D6" i="60"/>
  <c r="D4" i="60"/>
  <c r="V66" i="59"/>
  <c r="F66" i="59"/>
  <c r="V63" i="59"/>
  <c r="F63" i="59"/>
  <c r="Z61" i="59"/>
  <c r="X61" i="59"/>
  <c r="V61" i="59"/>
  <c r="N61" i="59"/>
  <c r="L61" i="59"/>
  <c r="J61" i="59"/>
  <c r="V59" i="59"/>
  <c r="F59" i="59"/>
  <c r="V57" i="59"/>
  <c r="T57" i="59"/>
  <c r="Z57" i="59" s="1"/>
  <c r="P57" i="59"/>
  <c r="X57" i="59" s="1"/>
  <c r="N57" i="59"/>
  <c r="H57" i="59"/>
  <c r="F57" i="59"/>
  <c r="D57" i="59"/>
  <c r="L57" i="59" s="1"/>
  <c r="X55" i="59"/>
  <c r="Z55" i="59" s="1"/>
  <c r="V55" i="59"/>
  <c r="L55" i="59"/>
  <c r="N55" i="59" s="1"/>
  <c r="J55" i="59"/>
  <c r="B55" i="59"/>
  <c r="T54" i="59"/>
  <c r="P54" i="59"/>
  <c r="X54" i="59" s="1"/>
  <c r="Z54" i="59" s="1"/>
  <c r="L54" i="59"/>
  <c r="J54" i="59"/>
  <c r="H54" i="59"/>
  <c r="D54" i="59"/>
  <c r="B54" i="59"/>
  <c r="Z53" i="59"/>
  <c r="X53" i="59"/>
  <c r="N53" i="59"/>
  <c r="L53" i="59"/>
  <c r="J53" i="59"/>
  <c r="F53" i="59"/>
  <c r="B53" i="59"/>
  <c r="X52" i="59"/>
  <c r="Z52" i="59" s="1"/>
  <c r="N52" i="59"/>
  <c r="L52" i="59"/>
  <c r="J52" i="59"/>
  <c r="F52" i="59"/>
  <c r="B52" i="59"/>
  <c r="X51" i="59"/>
  <c r="Z51" i="59" s="1"/>
  <c r="V51" i="59"/>
  <c r="T51" i="59"/>
  <c r="P51" i="59"/>
  <c r="H51" i="59"/>
  <c r="N51" i="59" s="1"/>
  <c r="F51" i="59"/>
  <c r="D51" i="59"/>
  <c r="L51" i="59" s="1"/>
  <c r="B51" i="59"/>
  <c r="Z50" i="59"/>
  <c r="X50" i="59"/>
  <c r="L50" i="59"/>
  <c r="N50" i="59" s="1"/>
  <c r="B50" i="59"/>
  <c r="Z49" i="59"/>
  <c r="X49" i="59"/>
  <c r="V49" i="59"/>
  <c r="N49" i="59"/>
  <c r="L49" i="59"/>
  <c r="B49" i="59"/>
  <c r="V48" i="59"/>
  <c r="T48" i="59"/>
  <c r="P48" i="59"/>
  <c r="N48" i="59"/>
  <c r="L48" i="59"/>
  <c r="H48" i="59"/>
  <c r="D48" i="59"/>
  <c r="B48" i="59"/>
  <c r="X47" i="59"/>
  <c r="Z47" i="59" s="1"/>
  <c r="V47" i="59"/>
  <c r="N47" i="59"/>
  <c r="L47" i="59"/>
  <c r="J47" i="59"/>
  <c r="B47" i="59"/>
  <c r="X46" i="59"/>
  <c r="Z46" i="59" s="1"/>
  <c r="L46" i="59"/>
  <c r="N46" i="59" s="1"/>
  <c r="J46" i="59"/>
  <c r="F46" i="59"/>
  <c r="B46" i="59"/>
  <c r="Z45" i="59"/>
  <c r="X45" i="59"/>
  <c r="N45" i="59"/>
  <c r="L45" i="59"/>
  <c r="F45" i="59"/>
  <c r="B45" i="59"/>
  <c r="V44" i="59"/>
  <c r="T44" i="59"/>
  <c r="P44" i="59"/>
  <c r="H44" i="59"/>
  <c r="F44" i="59"/>
  <c r="D44" i="59"/>
  <c r="L44" i="59" s="1"/>
  <c r="N44" i="59" s="1"/>
  <c r="B44" i="59"/>
  <c r="Z43" i="59"/>
  <c r="X43" i="59"/>
  <c r="V43" i="59"/>
  <c r="L43" i="59"/>
  <c r="N43" i="59" s="1"/>
  <c r="J43" i="59"/>
  <c r="B43" i="59"/>
  <c r="X42" i="59"/>
  <c r="T42" i="59"/>
  <c r="P42" i="59"/>
  <c r="H42" i="59"/>
  <c r="N42" i="59" s="1"/>
  <c r="D42" i="59"/>
  <c r="L42" i="59" s="1"/>
  <c r="B42" i="59"/>
  <c r="Z41" i="59"/>
  <c r="X41" i="59"/>
  <c r="V41" i="59"/>
  <c r="N41" i="59"/>
  <c r="L41" i="59"/>
  <c r="B41" i="59"/>
  <c r="V40" i="59"/>
  <c r="T40" i="59"/>
  <c r="P40" i="59"/>
  <c r="X40" i="59" s="1"/>
  <c r="L40" i="59"/>
  <c r="N40" i="59" s="1"/>
  <c r="H40" i="59"/>
  <c r="D40" i="59"/>
  <c r="B40" i="59"/>
  <c r="X39" i="59"/>
  <c r="Z39" i="59" s="1"/>
  <c r="V39" i="59"/>
  <c r="N39" i="59"/>
  <c r="L39" i="59"/>
  <c r="J39" i="59"/>
  <c r="B39" i="59"/>
  <c r="X38" i="59"/>
  <c r="Z38" i="59" s="1"/>
  <c r="L38" i="59"/>
  <c r="N38" i="59" s="1"/>
  <c r="J38" i="59"/>
  <c r="F38" i="59"/>
  <c r="B38" i="59"/>
  <c r="Z37" i="59"/>
  <c r="T37" i="59"/>
  <c r="P37" i="59"/>
  <c r="X37" i="59" s="1"/>
  <c r="J37" i="59"/>
  <c r="H37" i="59"/>
  <c r="F37" i="59"/>
  <c r="D37" i="59"/>
  <c r="L37" i="59" s="1"/>
  <c r="B37" i="59"/>
  <c r="X36" i="59"/>
  <c r="Z36" i="59" s="1"/>
  <c r="N36" i="59"/>
  <c r="L36" i="59"/>
  <c r="J36" i="59"/>
  <c r="F36" i="59"/>
  <c r="B36" i="59"/>
  <c r="X35" i="59"/>
  <c r="Z35" i="59" s="1"/>
  <c r="V35" i="59"/>
  <c r="T35" i="59"/>
  <c r="P35" i="59"/>
  <c r="H35" i="59"/>
  <c r="N35" i="59" s="1"/>
  <c r="F35" i="59"/>
  <c r="D35" i="59"/>
  <c r="L35" i="59" s="1"/>
  <c r="B35" i="59"/>
  <c r="Z34" i="59"/>
  <c r="X34" i="59"/>
  <c r="N34" i="59"/>
  <c r="L34" i="59"/>
  <c r="B34" i="59"/>
  <c r="Z33" i="59"/>
  <c r="X33" i="59"/>
  <c r="V33" i="59"/>
  <c r="N33" i="59"/>
  <c r="L33" i="59"/>
  <c r="F33" i="59"/>
  <c r="B33" i="59"/>
  <c r="Z32" i="59"/>
  <c r="X32" i="59"/>
  <c r="V32" i="59"/>
  <c r="L32" i="59"/>
  <c r="N32" i="59" s="1"/>
  <c r="J32" i="59"/>
  <c r="F32" i="59"/>
  <c r="B32" i="59"/>
  <c r="X31" i="59"/>
  <c r="Z31" i="59" s="1"/>
  <c r="L31" i="59"/>
  <c r="N31" i="59" s="1"/>
  <c r="J31" i="59"/>
  <c r="F31" i="59"/>
  <c r="B31" i="59"/>
  <c r="Z30" i="59"/>
  <c r="X30" i="59"/>
  <c r="L30" i="59"/>
  <c r="N30" i="59" s="1"/>
  <c r="J30" i="59"/>
  <c r="B30" i="59"/>
  <c r="Z29" i="59"/>
  <c r="V29" i="59"/>
  <c r="T29" i="59"/>
  <c r="X29" i="59" s="1"/>
  <c r="P29" i="59"/>
  <c r="J29" i="59"/>
  <c r="H29" i="59"/>
  <c r="D29" i="59"/>
  <c r="L29" i="59" s="1"/>
  <c r="B29" i="59"/>
  <c r="X28" i="59"/>
  <c r="Z28" i="59" s="1"/>
  <c r="V28" i="59"/>
  <c r="N28" i="59"/>
  <c r="L28" i="59"/>
  <c r="J28" i="59"/>
  <c r="F28" i="59"/>
  <c r="B28" i="59"/>
  <c r="X27" i="59"/>
  <c r="Z27" i="59" s="1"/>
  <c r="V27" i="59"/>
  <c r="N27" i="59"/>
  <c r="L27" i="59"/>
  <c r="J27" i="59"/>
  <c r="B27" i="59"/>
  <c r="X26" i="59"/>
  <c r="Z26" i="59" s="1"/>
  <c r="V26" i="59"/>
  <c r="N26" i="59"/>
  <c r="L26" i="59"/>
  <c r="J26" i="59"/>
  <c r="F26" i="59"/>
  <c r="B26" i="59"/>
  <c r="Z25" i="59"/>
  <c r="X25" i="59"/>
  <c r="N25" i="59"/>
  <c r="L25" i="59"/>
  <c r="F25" i="59"/>
  <c r="B25" i="59"/>
  <c r="X24" i="59"/>
  <c r="Z24" i="59" s="1"/>
  <c r="V24" i="59"/>
  <c r="N24" i="59"/>
  <c r="L24" i="59"/>
  <c r="J24" i="59"/>
  <c r="F24" i="59"/>
  <c r="B24" i="59"/>
  <c r="X23" i="59"/>
  <c r="Z23" i="59" s="1"/>
  <c r="V23" i="59"/>
  <c r="L23" i="59"/>
  <c r="N23" i="59" s="1"/>
  <c r="J23" i="59"/>
  <c r="B23" i="59"/>
  <c r="X22" i="59"/>
  <c r="Z22" i="59" s="1"/>
  <c r="V22" i="59"/>
  <c r="L22" i="59"/>
  <c r="N22" i="59" s="1"/>
  <c r="J22" i="59"/>
  <c r="F22" i="59"/>
  <c r="B22" i="59"/>
  <c r="Z21" i="59"/>
  <c r="X21" i="59"/>
  <c r="L21" i="59"/>
  <c r="N21" i="59" s="1"/>
  <c r="F21" i="59"/>
  <c r="B21" i="59"/>
  <c r="X20" i="59"/>
  <c r="Z20" i="59" s="1"/>
  <c r="V20" i="59"/>
  <c r="N20" i="59"/>
  <c r="L20" i="59"/>
  <c r="J20" i="59"/>
  <c r="F20" i="59"/>
  <c r="B20" i="59"/>
  <c r="X19" i="59"/>
  <c r="V19" i="59"/>
  <c r="T19" i="59"/>
  <c r="Z19" i="59" s="1"/>
  <c r="P19" i="59"/>
  <c r="N19" i="59"/>
  <c r="H19" i="59"/>
  <c r="F19" i="59"/>
  <c r="D19" i="59"/>
  <c r="L19" i="59" s="1"/>
  <c r="B19" i="59"/>
  <c r="X18" i="59"/>
  <c r="T18" i="59"/>
  <c r="P18" i="59"/>
  <c r="J18" i="59"/>
  <c r="H18" i="59"/>
  <c r="F18" i="59"/>
  <c r="D18" i="59"/>
  <c r="L18" i="59" s="1"/>
  <c r="T16" i="59"/>
  <c r="T59" i="59" s="1"/>
  <c r="J16" i="59"/>
  <c r="F16" i="59"/>
  <c r="Z14" i="59"/>
  <c r="X14" i="59"/>
  <c r="T14" i="59"/>
  <c r="P14" i="59"/>
  <c r="J14" i="59"/>
  <c r="H14" i="59"/>
  <c r="N14" i="59" s="1"/>
  <c r="F14" i="59"/>
  <c r="D14" i="59"/>
  <c r="L14" i="59" s="1"/>
  <c r="Z12" i="59"/>
  <c r="T12" i="59"/>
  <c r="V50" i="59" s="1"/>
  <c r="P12" i="59"/>
  <c r="N12" i="59"/>
  <c r="L12" i="59"/>
  <c r="H12" i="59"/>
  <c r="J48" i="59" s="1"/>
  <c r="D12" i="59"/>
  <c r="F55" i="59" s="1"/>
  <c r="D6" i="59"/>
  <c r="D4" i="59"/>
  <c r="Z66" i="58"/>
  <c r="X66" i="58"/>
  <c r="V66" i="58"/>
  <c r="R66" i="58"/>
  <c r="N66" i="58"/>
  <c r="L66" i="58"/>
  <c r="J66" i="58"/>
  <c r="R64" i="58"/>
  <c r="F64" i="58"/>
  <c r="T62" i="58"/>
  <c r="Z62" i="58" s="1"/>
  <c r="R62" i="58"/>
  <c r="P62" i="58"/>
  <c r="X62" i="58" s="1"/>
  <c r="N62" i="58"/>
  <c r="L62" i="58"/>
  <c r="H62" i="58"/>
  <c r="D62" i="58"/>
  <c r="X60" i="58"/>
  <c r="Z60" i="58" s="1"/>
  <c r="N60" i="58"/>
  <c r="L60" i="58"/>
  <c r="J60" i="58"/>
  <c r="F60" i="58"/>
  <c r="B60" i="58"/>
  <c r="Z59" i="58"/>
  <c r="X59" i="58"/>
  <c r="V59" i="58"/>
  <c r="T59" i="58"/>
  <c r="P59" i="58"/>
  <c r="H59" i="58"/>
  <c r="D59" i="58"/>
  <c r="B59" i="58"/>
  <c r="Z58" i="58"/>
  <c r="X58" i="58"/>
  <c r="L58" i="58"/>
  <c r="N58" i="58" s="1"/>
  <c r="J58" i="58"/>
  <c r="B58" i="58"/>
  <c r="T57" i="58"/>
  <c r="X57" i="58" s="1"/>
  <c r="R57" i="58"/>
  <c r="P57" i="58"/>
  <c r="H57" i="58"/>
  <c r="D57" i="58"/>
  <c r="B57" i="58"/>
  <c r="X56" i="58"/>
  <c r="Z56" i="58" s="1"/>
  <c r="V56" i="58"/>
  <c r="R56" i="58"/>
  <c r="N56" i="58"/>
  <c r="L56" i="58"/>
  <c r="B56" i="58"/>
  <c r="X55" i="58"/>
  <c r="T55" i="58"/>
  <c r="Z55" i="58" s="1"/>
  <c r="R55" i="58"/>
  <c r="P55" i="58"/>
  <c r="N55" i="58"/>
  <c r="H55" i="58"/>
  <c r="D55" i="58"/>
  <c r="L55" i="58" s="1"/>
  <c r="B55" i="58"/>
  <c r="Z54" i="58"/>
  <c r="X54" i="58"/>
  <c r="R54" i="58"/>
  <c r="N54" i="58"/>
  <c r="L54" i="58"/>
  <c r="B54" i="58"/>
  <c r="X53" i="58"/>
  <c r="Z53" i="58" s="1"/>
  <c r="R53" i="58"/>
  <c r="N53" i="58"/>
  <c r="L53" i="58"/>
  <c r="J53" i="58"/>
  <c r="F53" i="58"/>
  <c r="B53" i="58"/>
  <c r="X52" i="58"/>
  <c r="Z52" i="58" s="1"/>
  <c r="N52" i="58"/>
  <c r="L52" i="58"/>
  <c r="J52" i="58"/>
  <c r="B52" i="58"/>
  <c r="X51" i="58"/>
  <c r="Z51" i="58" s="1"/>
  <c r="T51" i="58"/>
  <c r="P51" i="58"/>
  <c r="L51" i="58"/>
  <c r="H51" i="58"/>
  <c r="D51" i="58"/>
  <c r="B51" i="58"/>
  <c r="X50" i="58"/>
  <c r="Z50" i="58" s="1"/>
  <c r="L50" i="58"/>
  <c r="N50" i="58" s="1"/>
  <c r="J50" i="58"/>
  <c r="B50" i="58"/>
  <c r="Z49" i="58"/>
  <c r="X49" i="58"/>
  <c r="V49" i="58"/>
  <c r="R49" i="58"/>
  <c r="N49" i="58"/>
  <c r="L49" i="58"/>
  <c r="B49" i="58"/>
  <c r="V48" i="58"/>
  <c r="T48" i="58"/>
  <c r="P48" i="58"/>
  <c r="X48" i="58" s="1"/>
  <c r="Z48" i="58" s="1"/>
  <c r="L48" i="58"/>
  <c r="N48" i="58" s="1"/>
  <c r="H48" i="58"/>
  <c r="D48" i="58"/>
  <c r="B48" i="58"/>
  <c r="X47" i="58"/>
  <c r="Z47" i="58" s="1"/>
  <c r="L47" i="58"/>
  <c r="N47" i="58" s="1"/>
  <c r="J47" i="58"/>
  <c r="B47" i="58"/>
  <c r="V46" i="58"/>
  <c r="T46" i="58"/>
  <c r="R46" i="58"/>
  <c r="P46" i="58"/>
  <c r="X46" i="58" s="1"/>
  <c r="L46" i="58"/>
  <c r="J46" i="58"/>
  <c r="H46" i="58"/>
  <c r="D46" i="58"/>
  <c r="B46" i="58"/>
  <c r="X45" i="58"/>
  <c r="Z45" i="58" s="1"/>
  <c r="R45" i="58"/>
  <c r="N45" i="58"/>
  <c r="L45" i="58"/>
  <c r="J45" i="58"/>
  <c r="F45" i="58"/>
  <c r="B45" i="58"/>
  <c r="T44" i="58"/>
  <c r="Z44" i="58" s="1"/>
  <c r="R44" i="58"/>
  <c r="P44" i="58"/>
  <c r="X44" i="58" s="1"/>
  <c r="H44" i="58"/>
  <c r="F44" i="58"/>
  <c r="D44" i="58"/>
  <c r="B44" i="58"/>
  <c r="X43" i="58"/>
  <c r="Z43" i="58" s="1"/>
  <c r="R43" i="58"/>
  <c r="L43" i="58"/>
  <c r="N43" i="58" s="1"/>
  <c r="J43" i="58"/>
  <c r="B43" i="58"/>
  <c r="Z42" i="58"/>
  <c r="X42" i="58"/>
  <c r="T42" i="58"/>
  <c r="P42" i="58"/>
  <c r="J42" i="58"/>
  <c r="H42" i="58"/>
  <c r="D42" i="58"/>
  <c r="B42" i="58"/>
  <c r="Z41" i="58"/>
  <c r="X41" i="58"/>
  <c r="L41" i="58"/>
  <c r="N41" i="58" s="1"/>
  <c r="F41" i="58"/>
  <c r="B41" i="58"/>
  <c r="T40" i="58"/>
  <c r="P40" i="58"/>
  <c r="J40" i="58"/>
  <c r="H40" i="58"/>
  <c r="F40" i="58"/>
  <c r="D40" i="58"/>
  <c r="L40" i="58" s="1"/>
  <c r="B40" i="58"/>
  <c r="X39" i="58"/>
  <c r="Z39" i="58" s="1"/>
  <c r="L39" i="58"/>
  <c r="N39" i="58" s="1"/>
  <c r="B39" i="58"/>
  <c r="T38" i="58"/>
  <c r="R38" i="58"/>
  <c r="P38" i="58"/>
  <c r="X38" i="58" s="1"/>
  <c r="H38" i="58"/>
  <c r="N38" i="58" s="1"/>
  <c r="D38" i="58"/>
  <c r="L38" i="58" s="1"/>
  <c r="B38" i="58"/>
  <c r="Z37" i="58"/>
  <c r="X37" i="58"/>
  <c r="V37" i="58"/>
  <c r="R37" i="58"/>
  <c r="N37" i="58"/>
  <c r="L37" i="58"/>
  <c r="B37" i="58"/>
  <c r="Z36" i="58"/>
  <c r="V36" i="58"/>
  <c r="T36" i="58"/>
  <c r="P36" i="58"/>
  <c r="X36" i="58" s="1"/>
  <c r="N36" i="58"/>
  <c r="L36" i="58"/>
  <c r="H36" i="58"/>
  <c r="D36" i="58"/>
  <c r="B36" i="58"/>
  <c r="X35" i="58"/>
  <c r="Z35" i="58" s="1"/>
  <c r="L35" i="58"/>
  <c r="N35" i="58" s="1"/>
  <c r="J35" i="58"/>
  <c r="B35" i="58"/>
  <c r="T34" i="58"/>
  <c r="R34" i="58"/>
  <c r="P34" i="58"/>
  <c r="X34" i="58" s="1"/>
  <c r="J34" i="58"/>
  <c r="H34" i="58"/>
  <c r="D34" i="58"/>
  <c r="B34" i="58"/>
  <c r="X33" i="58"/>
  <c r="Z33" i="58" s="1"/>
  <c r="R33" i="58"/>
  <c r="N33" i="58"/>
  <c r="L33" i="58"/>
  <c r="J33" i="58"/>
  <c r="B33" i="58"/>
  <c r="X32" i="58"/>
  <c r="Z32" i="58" s="1"/>
  <c r="N32" i="58"/>
  <c r="L32" i="58"/>
  <c r="J32" i="58"/>
  <c r="F32" i="58"/>
  <c r="B32" i="58"/>
  <c r="Z31" i="58"/>
  <c r="X31" i="58"/>
  <c r="L31" i="58"/>
  <c r="N31" i="58" s="1"/>
  <c r="B31" i="58"/>
  <c r="Z30" i="58"/>
  <c r="X30" i="58"/>
  <c r="R30" i="58"/>
  <c r="L30" i="58"/>
  <c r="N30" i="58" s="1"/>
  <c r="B30" i="58"/>
  <c r="X29" i="58"/>
  <c r="T29" i="58"/>
  <c r="R29" i="58"/>
  <c r="P29" i="58"/>
  <c r="L29" i="58"/>
  <c r="N29" i="58" s="1"/>
  <c r="J29" i="58"/>
  <c r="H29" i="58"/>
  <c r="D29" i="58"/>
  <c r="B29" i="58"/>
  <c r="Z28" i="58"/>
  <c r="X28" i="58"/>
  <c r="V28" i="58"/>
  <c r="R28" i="58"/>
  <c r="L28" i="58"/>
  <c r="N28" i="58" s="1"/>
  <c r="J28" i="58"/>
  <c r="B28" i="58"/>
  <c r="X27" i="58"/>
  <c r="Z27" i="58" s="1"/>
  <c r="R27" i="58"/>
  <c r="L27" i="58"/>
  <c r="N27" i="58" s="1"/>
  <c r="J27" i="58"/>
  <c r="B27" i="58"/>
  <c r="X26" i="58"/>
  <c r="Z26" i="58" s="1"/>
  <c r="L26" i="58"/>
  <c r="N26" i="58" s="1"/>
  <c r="J26" i="58"/>
  <c r="B26" i="58"/>
  <c r="Z25" i="58"/>
  <c r="X25" i="58"/>
  <c r="V25" i="58"/>
  <c r="R25" i="58"/>
  <c r="N25" i="58"/>
  <c r="L25" i="58"/>
  <c r="B25" i="58"/>
  <c r="Z24" i="58"/>
  <c r="X24" i="58"/>
  <c r="R24" i="58"/>
  <c r="L24" i="58"/>
  <c r="N24" i="58" s="1"/>
  <c r="J24" i="58"/>
  <c r="B24" i="58"/>
  <c r="X23" i="58"/>
  <c r="Z23" i="58" s="1"/>
  <c r="R23" i="58"/>
  <c r="L23" i="58"/>
  <c r="N23" i="58" s="1"/>
  <c r="J23" i="58"/>
  <c r="B23" i="58"/>
  <c r="Z22" i="58"/>
  <c r="X22" i="58"/>
  <c r="L22" i="58"/>
  <c r="N22" i="58" s="1"/>
  <c r="J22" i="58"/>
  <c r="B22" i="58"/>
  <c r="Z21" i="58"/>
  <c r="X21" i="58"/>
  <c r="R21" i="58"/>
  <c r="N21" i="58"/>
  <c r="L21" i="58"/>
  <c r="B21" i="58"/>
  <c r="Z20" i="58"/>
  <c r="X20" i="58"/>
  <c r="R20" i="58"/>
  <c r="L20" i="58"/>
  <c r="N20" i="58" s="1"/>
  <c r="J20" i="58"/>
  <c r="F20" i="58"/>
  <c r="B20" i="58"/>
  <c r="T19" i="58"/>
  <c r="P19" i="58"/>
  <c r="N19" i="58"/>
  <c r="J19" i="58"/>
  <c r="H19" i="58"/>
  <c r="L19" i="58" s="1"/>
  <c r="D19" i="58"/>
  <c r="B19" i="58"/>
  <c r="T18" i="58"/>
  <c r="R18" i="58"/>
  <c r="P18" i="58"/>
  <c r="X18" i="58" s="1"/>
  <c r="J18" i="58"/>
  <c r="H18" i="58"/>
  <c r="D18" i="58"/>
  <c r="V16" i="58"/>
  <c r="R16" i="58"/>
  <c r="P16" i="58"/>
  <c r="J16" i="58"/>
  <c r="V14" i="58"/>
  <c r="T14" i="58"/>
  <c r="Z14" i="58" s="1"/>
  <c r="R14" i="58"/>
  <c r="P14" i="58"/>
  <c r="X14" i="58" s="1"/>
  <c r="J14" i="58"/>
  <c r="H14" i="58"/>
  <c r="D14" i="58"/>
  <c r="T12" i="58"/>
  <c r="V47" i="58" s="1"/>
  <c r="P12" i="58"/>
  <c r="R40" i="58" s="1"/>
  <c r="N12" i="58"/>
  <c r="H12" i="58"/>
  <c r="J71" i="58" s="1"/>
  <c r="D12" i="58"/>
  <c r="D6" i="58"/>
  <c r="D4" i="58"/>
  <c r="R63" i="57"/>
  <c r="F63" i="57"/>
  <c r="R60" i="57"/>
  <c r="F60" i="57"/>
  <c r="Z58" i="57"/>
  <c r="X58" i="57"/>
  <c r="N58" i="57"/>
  <c r="L58" i="57"/>
  <c r="J58" i="57"/>
  <c r="J56" i="57"/>
  <c r="F56" i="57"/>
  <c r="V54" i="57"/>
  <c r="T54" i="57"/>
  <c r="Z54" i="57" s="1"/>
  <c r="P54" i="57"/>
  <c r="J54" i="57"/>
  <c r="H54" i="57"/>
  <c r="N54" i="57" s="1"/>
  <c r="D54" i="57"/>
  <c r="L54" i="57" s="1"/>
  <c r="X52" i="57"/>
  <c r="Z52" i="57" s="1"/>
  <c r="R52" i="57"/>
  <c r="L52" i="57"/>
  <c r="N52" i="57" s="1"/>
  <c r="B52" i="57"/>
  <c r="X51" i="57"/>
  <c r="T51" i="57"/>
  <c r="R51" i="57"/>
  <c r="P51" i="57"/>
  <c r="H51" i="57"/>
  <c r="D51" i="57"/>
  <c r="L51" i="57" s="1"/>
  <c r="N51" i="57" s="1"/>
  <c r="B51" i="57"/>
  <c r="Z50" i="57"/>
  <c r="X50" i="57"/>
  <c r="R50" i="57"/>
  <c r="N50" i="57"/>
  <c r="L50" i="57"/>
  <c r="B50" i="57"/>
  <c r="X49" i="57"/>
  <c r="T49" i="57"/>
  <c r="R49" i="57"/>
  <c r="P49" i="57"/>
  <c r="N49" i="57"/>
  <c r="L49" i="57"/>
  <c r="J49" i="57"/>
  <c r="H49" i="57"/>
  <c r="D49" i="57"/>
  <c r="B49" i="57"/>
  <c r="Z48" i="57"/>
  <c r="X48" i="57"/>
  <c r="R48" i="57"/>
  <c r="L48" i="57"/>
  <c r="N48" i="57" s="1"/>
  <c r="J48" i="57"/>
  <c r="F48" i="57"/>
  <c r="B48" i="57"/>
  <c r="T47" i="57"/>
  <c r="P47" i="57"/>
  <c r="N47" i="57"/>
  <c r="J47" i="57"/>
  <c r="H47" i="57"/>
  <c r="L47" i="57" s="1"/>
  <c r="D47" i="57"/>
  <c r="B47" i="57"/>
  <c r="X46" i="57"/>
  <c r="Z46" i="57" s="1"/>
  <c r="N46" i="57"/>
  <c r="L46" i="57"/>
  <c r="F46" i="57"/>
  <c r="B46" i="57"/>
  <c r="T45" i="57"/>
  <c r="P45" i="57"/>
  <c r="X45" i="57" s="1"/>
  <c r="Z45" i="57" s="1"/>
  <c r="J45" i="57"/>
  <c r="H45" i="57"/>
  <c r="D45" i="57"/>
  <c r="L45" i="57" s="1"/>
  <c r="B45" i="57"/>
  <c r="Z44" i="57"/>
  <c r="X44" i="57"/>
  <c r="N44" i="57"/>
  <c r="L44" i="57"/>
  <c r="J44" i="57"/>
  <c r="F44" i="57"/>
  <c r="B44" i="57"/>
  <c r="Z43" i="57"/>
  <c r="X43" i="57"/>
  <c r="T43" i="57"/>
  <c r="P43" i="57"/>
  <c r="H43" i="57"/>
  <c r="D43" i="57"/>
  <c r="B43" i="57"/>
  <c r="Z42" i="57"/>
  <c r="X42" i="57"/>
  <c r="N42" i="57"/>
  <c r="L42" i="57"/>
  <c r="J42" i="57"/>
  <c r="B42" i="57"/>
  <c r="T41" i="57"/>
  <c r="R41" i="57"/>
  <c r="P41" i="57"/>
  <c r="H41" i="57"/>
  <c r="N41" i="57" s="1"/>
  <c r="D41" i="57"/>
  <c r="L41" i="57" s="1"/>
  <c r="B41" i="57"/>
  <c r="X40" i="57"/>
  <c r="Z40" i="57" s="1"/>
  <c r="R40" i="57"/>
  <c r="N40" i="57"/>
  <c r="L40" i="57"/>
  <c r="B40" i="57"/>
  <c r="X39" i="57"/>
  <c r="T39" i="57"/>
  <c r="R39" i="57"/>
  <c r="P39" i="57"/>
  <c r="H39" i="57"/>
  <c r="D39" i="57"/>
  <c r="L39" i="57" s="1"/>
  <c r="N39" i="57" s="1"/>
  <c r="B39" i="57"/>
  <c r="X38" i="57"/>
  <c r="Z38" i="57" s="1"/>
  <c r="R38" i="57"/>
  <c r="N38" i="57"/>
  <c r="L38" i="57"/>
  <c r="B38" i="57"/>
  <c r="X37" i="57"/>
  <c r="T37" i="57"/>
  <c r="R37" i="57"/>
  <c r="P37" i="57"/>
  <c r="N37" i="57"/>
  <c r="L37" i="57"/>
  <c r="J37" i="57"/>
  <c r="H37" i="57"/>
  <c r="D37" i="57"/>
  <c r="B37" i="57"/>
  <c r="Z36" i="57"/>
  <c r="X36" i="57"/>
  <c r="V36" i="57"/>
  <c r="R36" i="57"/>
  <c r="L36" i="57"/>
  <c r="N36" i="57" s="1"/>
  <c r="J36" i="57"/>
  <c r="B36" i="57"/>
  <c r="T35" i="57"/>
  <c r="P35" i="57"/>
  <c r="X35" i="57" s="1"/>
  <c r="J35" i="57"/>
  <c r="H35" i="57"/>
  <c r="L35" i="57" s="1"/>
  <c r="F35" i="57"/>
  <c r="D35" i="57"/>
  <c r="B35" i="57"/>
  <c r="X34" i="57"/>
  <c r="Z34" i="57" s="1"/>
  <c r="N34" i="57"/>
  <c r="L34" i="57"/>
  <c r="B34" i="57"/>
  <c r="T33" i="57"/>
  <c r="P33" i="57"/>
  <c r="X33" i="57" s="1"/>
  <c r="Z33" i="57" s="1"/>
  <c r="L33" i="57"/>
  <c r="J33" i="57"/>
  <c r="H33" i="57"/>
  <c r="D33" i="57"/>
  <c r="B33" i="57"/>
  <c r="Z32" i="57"/>
  <c r="X32" i="57"/>
  <c r="N32" i="57"/>
  <c r="L32" i="57"/>
  <c r="J32" i="57"/>
  <c r="F32" i="57"/>
  <c r="B32" i="57"/>
  <c r="Z31" i="57"/>
  <c r="X31" i="57"/>
  <c r="L31" i="57"/>
  <c r="N31" i="57" s="1"/>
  <c r="B31" i="57"/>
  <c r="X30" i="57"/>
  <c r="Z30" i="57" s="1"/>
  <c r="R30" i="57"/>
  <c r="N30" i="57"/>
  <c r="L30" i="57"/>
  <c r="B30" i="57"/>
  <c r="X29" i="57"/>
  <c r="Z29" i="57" s="1"/>
  <c r="R29" i="57"/>
  <c r="N29" i="57"/>
  <c r="L29" i="57"/>
  <c r="J29" i="57"/>
  <c r="B29" i="57"/>
  <c r="T28" i="57"/>
  <c r="R28" i="57"/>
  <c r="P28" i="57"/>
  <c r="X28" i="57" s="1"/>
  <c r="L28" i="57"/>
  <c r="H28" i="57"/>
  <c r="F28" i="57"/>
  <c r="D28" i="57"/>
  <c r="B28" i="57"/>
  <c r="X27" i="57"/>
  <c r="Z27" i="57" s="1"/>
  <c r="R27" i="57"/>
  <c r="L27" i="57"/>
  <c r="N27" i="57" s="1"/>
  <c r="J27" i="57"/>
  <c r="B27" i="57"/>
  <c r="Z26" i="57"/>
  <c r="X26" i="57"/>
  <c r="L26" i="57"/>
  <c r="N26" i="57" s="1"/>
  <c r="J26" i="57"/>
  <c r="B26" i="57"/>
  <c r="Z25" i="57"/>
  <c r="X25" i="57"/>
  <c r="R25" i="57"/>
  <c r="N25" i="57"/>
  <c r="L25" i="57"/>
  <c r="B25" i="57"/>
  <c r="Z24" i="57"/>
  <c r="X24" i="57"/>
  <c r="V24" i="57"/>
  <c r="R24" i="57"/>
  <c r="L24" i="57"/>
  <c r="N24" i="57" s="1"/>
  <c r="J24" i="57"/>
  <c r="F24" i="57"/>
  <c r="B24" i="57"/>
  <c r="X23" i="57"/>
  <c r="Z23" i="57" s="1"/>
  <c r="R23" i="57"/>
  <c r="L23" i="57"/>
  <c r="N23" i="57" s="1"/>
  <c r="J23" i="57"/>
  <c r="B23" i="57"/>
  <c r="X22" i="57"/>
  <c r="Z22" i="57" s="1"/>
  <c r="L22" i="57"/>
  <c r="N22" i="57" s="1"/>
  <c r="J22" i="57"/>
  <c r="B22" i="57"/>
  <c r="Z21" i="57"/>
  <c r="X21" i="57"/>
  <c r="R21" i="57"/>
  <c r="N21" i="57"/>
  <c r="L21" i="57"/>
  <c r="B21" i="57"/>
  <c r="Z20" i="57"/>
  <c r="X20" i="57"/>
  <c r="R20" i="57"/>
  <c r="L20" i="57"/>
  <c r="N20" i="57" s="1"/>
  <c r="J20" i="57"/>
  <c r="B20" i="57"/>
  <c r="T19" i="57"/>
  <c r="P19" i="57"/>
  <c r="X19" i="57" s="1"/>
  <c r="J19" i="57"/>
  <c r="H19" i="57"/>
  <c r="L19" i="57" s="1"/>
  <c r="F19" i="57"/>
  <c r="D19" i="57"/>
  <c r="B19" i="57"/>
  <c r="T18" i="57"/>
  <c r="Z18" i="57" s="1"/>
  <c r="R18" i="57"/>
  <c r="P18" i="57"/>
  <c r="X18" i="57" s="1"/>
  <c r="J18" i="57"/>
  <c r="H18" i="57"/>
  <c r="D18" i="57"/>
  <c r="R16" i="57"/>
  <c r="P16" i="57"/>
  <c r="J16" i="57"/>
  <c r="H16" i="57"/>
  <c r="T14" i="57"/>
  <c r="Z14" i="57" s="1"/>
  <c r="R14" i="57"/>
  <c r="P14" i="57"/>
  <c r="X14" i="57" s="1"/>
  <c r="L14" i="57"/>
  <c r="J14" i="57"/>
  <c r="H14" i="57"/>
  <c r="N14" i="57" s="1"/>
  <c r="D14" i="57"/>
  <c r="T12" i="57"/>
  <c r="V20" i="57" s="1"/>
  <c r="P12" i="57"/>
  <c r="R56" i="57" s="1"/>
  <c r="N12" i="57"/>
  <c r="L12" i="57"/>
  <c r="H12" i="57"/>
  <c r="J50" i="57" s="1"/>
  <c r="D12" i="57"/>
  <c r="F34" i="57" s="1"/>
  <c r="D6" i="57"/>
  <c r="D4" i="57"/>
  <c r="R72" i="56"/>
  <c r="R69" i="56"/>
  <c r="Z67" i="56"/>
  <c r="X67" i="56"/>
  <c r="N67" i="56"/>
  <c r="L67" i="56"/>
  <c r="J67" i="56"/>
  <c r="F67" i="56"/>
  <c r="V65" i="56"/>
  <c r="J65" i="56"/>
  <c r="V63" i="56"/>
  <c r="T63" i="56"/>
  <c r="Z63" i="56" s="1"/>
  <c r="P63" i="56"/>
  <c r="J63" i="56"/>
  <c r="H63" i="56"/>
  <c r="N63" i="56" s="1"/>
  <c r="D63" i="56"/>
  <c r="L63" i="56" s="1"/>
  <c r="X61" i="56"/>
  <c r="Z61" i="56" s="1"/>
  <c r="V61" i="56"/>
  <c r="R61" i="56"/>
  <c r="L61" i="56"/>
  <c r="N61" i="56" s="1"/>
  <c r="B61" i="56"/>
  <c r="X60" i="56"/>
  <c r="Z60" i="56" s="1"/>
  <c r="V60" i="56"/>
  <c r="L60" i="56"/>
  <c r="N60" i="56" s="1"/>
  <c r="J60" i="56"/>
  <c r="B60" i="56"/>
  <c r="V59" i="56"/>
  <c r="T59" i="56"/>
  <c r="R59" i="56"/>
  <c r="P59" i="56"/>
  <c r="X59" i="56" s="1"/>
  <c r="J59" i="56"/>
  <c r="H59" i="56"/>
  <c r="D59" i="56"/>
  <c r="B59" i="56"/>
  <c r="X58" i="56"/>
  <c r="Z58" i="56" s="1"/>
  <c r="R58" i="56"/>
  <c r="N58" i="56"/>
  <c r="L58" i="56"/>
  <c r="J58" i="56"/>
  <c r="B58" i="56"/>
  <c r="T57" i="56"/>
  <c r="R57" i="56"/>
  <c r="P57" i="56"/>
  <c r="X57" i="56" s="1"/>
  <c r="L57" i="56"/>
  <c r="H57" i="56"/>
  <c r="F57" i="56"/>
  <c r="D57" i="56"/>
  <c r="B57" i="56"/>
  <c r="X56" i="56"/>
  <c r="Z56" i="56" s="1"/>
  <c r="R56" i="56"/>
  <c r="L56" i="56"/>
  <c r="N56" i="56" s="1"/>
  <c r="J56" i="56"/>
  <c r="B56" i="56"/>
  <c r="Z55" i="56"/>
  <c r="X55" i="56"/>
  <c r="L55" i="56"/>
  <c r="N55" i="56" s="1"/>
  <c r="J55" i="56"/>
  <c r="B55" i="56"/>
  <c r="V54" i="56"/>
  <c r="T54" i="56"/>
  <c r="X54" i="56" s="1"/>
  <c r="R54" i="56"/>
  <c r="P54" i="56"/>
  <c r="H54" i="56"/>
  <c r="D54" i="56"/>
  <c r="B54" i="56"/>
  <c r="Z53" i="56"/>
  <c r="X53" i="56"/>
  <c r="V53" i="56"/>
  <c r="R53" i="56"/>
  <c r="N53" i="56"/>
  <c r="L53" i="56"/>
  <c r="B53" i="56"/>
  <c r="Z52" i="56"/>
  <c r="V52" i="56"/>
  <c r="T52" i="56"/>
  <c r="R52" i="56"/>
  <c r="P52" i="56"/>
  <c r="X52" i="56" s="1"/>
  <c r="N52" i="56"/>
  <c r="H52" i="56"/>
  <c r="D52" i="56"/>
  <c r="L52" i="56" s="1"/>
  <c r="B52" i="56"/>
  <c r="Z51" i="56"/>
  <c r="X51" i="56"/>
  <c r="R51" i="56"/>
  <c r="N51" i="56"/>
  <c r="L51" i="56"/>
  <c r="B51" i="56"/>
  <c r="X50" i="56"/>
  <c r="Z50" i="56" s="1"/>
  <c r="R50" i="56"/>
  <c r="N50" i="56"/>
  <c r="L50" i="56"/>
  <c r="J50" i="56"/>
  <c r="B50" i="56"/>
  <c r="T49" i="56"/>
  <c r="R49" i="56"/>
  <c r="P49" i="56"/>
  <c r="X49" i="56" s="1"/>
  <c r="H49" i="56"/>
  <c r="D49" i="56"/>
  <c r="L49" i="56" s="1"/>
  <c r="B49" i="56"/>
  <c r="X48" i="56"/>
  <c r="Z48" i="56" s="1"/>
  <c r="R48" i="56"/>
  <c r="L48" i="56"/>
  <c r="N48" i="56" s="1"/>
  <c r="J48" i="56"/>
  <c r="B48" i="56"/>
  <c r="Z47" i="56"/>
  <c r="X47" i="56"/>
  <c r="N47" i="56"/>
  <c r="L47" i="56"/>
  <c r="J47" i="56"/>
  <c r="B47" i="56"/>
  <c r="Z46" i="56"/>
  <c r="V46" i="56"/>
  <c r="T46" i="56"/>
  <c r="R46" i="56"/>
  <c r="P46" i="56"/>
  <c r="X46" i="56" s="1"/>
  <c r="H46" i="56"/>
  <c r="D46" i="56"/>
  <c r="L46" i="56" s="1"/>
  <c r="B46" i="56"/>
  <c r="X45" i="56"/>
  <c r="Z45" i="56" s="1"/>
  <c r="V45" i="56"/>
  <c r="R45" i="56"/>
  <c r="N45" i="56"/>
  <c r="L45" i="56"/>
  <c r="B45" i="56"/>
  <c r="V44" i="56"/>
  <c r="T44" i="56"/>
  <c r="R44" i="56"/>
  <c r="P44" i="56"/>
  <c r="X44" i="56" s="1"/>
  <c r="Z44" i="56" s="1"/>
  <c r="H44" i="56"/>
  <c r="D44" i="56"/>
  <c r="L44" i="56" s="1"/>
  <c r="N44" i="56" s="1"/>
  <c r="B44" i="56"/>
  <c r="X43" i="56"/>
  <c r="Z43" i="56" s="1"/>
  <c r="R43" i="56"/>
  <c r="L43" i="56"/>
  <c r="N43" i="56" s="1"/>
  <c r="B43" i="56"/>
  <c r="T42" i="56"/>
  <c r="R42" i="56"/>
  <c r="P42" i="56"/>
  <c r="N42" i="56"/>
  <c r="L42" i="56"/>
  <c r="J42" i="56"/>
  <c r="H42" i="56"/>
  <c r="D42" i="56"/>
  <c r="B42" i="56"/>
  <c r="Z41" i="56"/>
  <c r="X41" i="56"/>
  <c r="V41" i="56"/>
  <c r="R41" i="56"/>
  <c r="L41" i="56"/>
  <c r="N41" i="56" s="1"/>
  <c r="J41" i="56"/>
  <c r="F41" i="56"/>
  <c r="B41" i="56"/>
  <c r="T40" i="56"/>
  <c r="P40" i="56"/>
  <c r="J40" i="56"/>
  <c r="H40" i="56"/>
  <c r="D40" i="56"/>
  <c r="B40" i="56"/>
  <c r="Z39" i="56"/>
  <c r="X39" i="56"/>
  <c r="V39" i="56"/>
  <c r="L39" i="56"/>
  <c r="N39" i="56" s="1"/>
  <c r="F39" i="56"/>
  <c r="B39" i="56"/>
  <c r="T38" i="56"/>
  <c r="P38" i="56"/>
  <c r="X38" i="56" s="1"/>
  <c r="Z38" i="56" s="1"/>
  <c r="J38" i="56"/>
  <c r="H38" i="56"/>
  <c r="D38" i="56"/>
  <c r="L38" i="56" s="1"/>
  <c r="N38" i="56" s="1"/>
  <c r="B38" i="56"/>
  <c r="Z37" i="56"/>
  <c r="X37" i="56"/>
  <c r="N37" i="56"/>
  <c r="L37" i="56"/>
  <c r="J37" i="56"/>
  <c r="B37" i="56"/>
  <c r="X36" i="56"/>
  <c r="Z36" i="56" s="1"/>
  <c r="V36" i="56"/>
  <c r="T36" i="56"/>
  <c r="P36" i="56"/>
  <c r="H36" i="56"/>
  <c r="F36" i="56"/>
  <c r="D36" i="56"/>
  <c r="B36" i="56"/>
  <c r="X35" i="56"/>
  <c r="Z35" i="56" s="1"/>
  <c r="N35" i="56"/>
  <c r="L35" i="56"/>
  <c r="J35" i="56"/>
  <c r="B35" i="56"/>
  <c r="V34" i="56"/>
  <c r="T34" i="56"/>
  <c r="R34" i="56"/>
  <c r="P34" i="56"/>
  <c r="H34" i="56"/>
  <c r="D34" i="56"/>
  <c r="B34" i="56"/>
  <c r="X33" i="56"/>
  <c r="Z33" i="56" s="1"/>
  <c r="V33" i="56"/>
  <c r="R33" i="56"/>
  <c r="N33" i="56"/>
  <c r="L33" i="56"/>
  <c r="B33" i="56"/>
  <c r="X32" i="56"/>
  <c r="Z32" i="56" s="1"/>
  <c r="V32" i="56"/>
  <c r="T32" i="56"/>
  <c r="R32" i="56"/>
  <c r="P32" i="56"/>
  <c r="H32" i="56"/>
  <c r="D32" i="56"/>
  <c r="L32" i="56" s="1"/>
  <c r="N32" i="56" s="1"/>
  <c r="B32" i="56"/>
  <c r="Z31" i="56"/>
  <c r="X31" i="56"/>
  <c r="R31" i="56"/>
  <c r="N31" i="56"/>
  <c r="L31" i="56"/>
  <c r="B31" i="56"/>
  <c r="X30" i="56"/>
  <c r="Z30" i="56" s="1"/>
  <c r="R30" i="56"/>
  <c r="N30" i="56"/>
  <c r="L30" i="56"/>
  <c r="J30" i="56"/>
  <c r="B30" i="56"/>
  <c r="Z29" i="56"/>
  <c r="X29" i="56"/>
  <c r="N29" i="56"/>
  <c r="L29" i="56"/>
  <c r="J29" i="56"/>
  <c r="B29" i="56"/>
  <c r="X28" i="56"/>
  <c r="Z28" i="56" s="1"/>
  <c r="V28" i="56"/>
  <c r="T28" i="56"/>
  <c r="P28" i="56"/>
  <c r="H28" i="56"/>
  <c r="F28" i="56"/>
  <c r="D28" i="56"/>
  <c r="B28" i="56"/>
  <c r="Z27" i="56"/>
  <c r="X27" i="56"/>
  <c r="N27" i="56"/>
  <c r="L27" i="56"/>
  <c r="J27" i="56"/>
  <c r="B27" i="56"/>
  <c r="Z26" i="56"/>
  <c r="X26" i="56"/>
  <c r="V26" i="56"/>
  <c r="R26" i="56"/>
  <c r="N26" i="56"/>
  <c r="L26" i="56"/>
  <c r="B26" i="56"/>
  <c r="Z25" i="56"/>
  <c r="X25" i="56"/>
  <c r="V25" i="56"/>
  <c r="R25" i="56"/>
  <c r="L25" i="56"/>
  <c r="N25" i="56" s="1"/>
  <c r="J25" i="56"/>
  <c r="B25" i="56"/>
  <c r="X24" i="56"/>
  <c r="Z24" i="56" s="1"/>
  <c r="R24" i="56"/>
  <c r="L24" i="56"/>
  <c r="N24" i="56" s="1"/>
  <c r="J24" i="56"/>
  <c r="B24" i="56"/>
  <c r="X23" i="56"/>
  <c r="Z23" i="56" s="1"/>
  <c r="V23" i="56"/>
  <c r="N23" i="56"/>
  <c r="L23" i="56"/>
  <c r="J23" i="56"/>
  <c r="B23" i="56"/>
  <c r="Z22" i="56"/>
  <c r="X22" i="56"/>
  <c r="V22" i="56"/>
  <c r="R22" i="56"/>
  <c r="N22" i="56"/>
  <c r="L22" i="56"/>
  <c r="B22" i="56"/>
  <c r="Z21" i="56"/>
  <c r="X21" i="56"/>
  <c r="V21" i="56"/>
  <c r="R21" i="56"/>
  <c r="L21" i="56"/>
  <c r="N21" i="56" s="1"/>
  <c r="J21" i="56"/>
  <c r="F21" i="56"/>
  <c r="B21" i="56"/>
  <c r="X20" i="56"/>
  <c r="Z20" i="56" s="1"/>
  <c r="V20" i="56"/>
  <c r="R20" i="56"/>
  <c r="L20" i="56"/>
  <c r="N20" i="56" s="1"/>
  <c r="J20" i="56"/>
  <c r="B20" i="56"/>
  <c r="Z19" i="56"/>
  <c r="X19" i="56"/>
  <c r="V19" i="56"/>
  <c r="T19" i="56"/>
  <c r="P19" i="56"/>
  <c r="J19" i="56"/>
  <c r="H19" i="56"/>
  <c r="N19" i="56" s="1"/>
  <c r="D19" i="56"/>
  <c r="L19" i="56" s="1"/>
  <c r="B19" i="56"/>
  <c r="T18" i="56"/>
  <c r="P18" i="56"/>
  <c r="X18" i="56" s="1"/>
  <c r="Z18" i="56" s="1"/>
  <c r="L18" i="56"/>
  <c r="J18" i="56"/>
  <c r="H18" i="56"/>
  <c r="N18" i="56" s="1"/>
  <c r="F18" i="56"/>
  <c r="D18" i="56"/>
  <c r="Z16" i="56"/>
  <c r="J16" i="56"/>
  <c r="Z14" i="56"/>
  <c r="T14" i="56"/>
  <c r="T16" i="56" s="1"/>
  <c r="T65" i="56" s="1"/>
  <c r="P14" i="56"/>
  <c r="L14" i="56"/>
  <c r="J14" i="56"/>
  <c r="H14" i="56"/>
  <c r="N14" i="56" s="1"/>
  <c r="D14" i="56"/>
  <c r="Z12" i="56"/>
  <c r="T12" i="56"/>
  <c r="V55" i="56" s="1"/>
  <c r="P12" i="56"/>
  <c r="R65" i="56" s="1"/>
  <c r="N12" i="56"/>
  <c r="L12" i="56"/>
  <c r="H12" i="56"/>
  <c r="J51" i="56" s="1"/>
  <c r="D12" i="56"/>
  <c r="D6" i="56"/>
  <c r="D4" i="56"/>
  <c r="F37" i="55"/>
  <c r="F34" i="55"/>
  <c r="Z32" i="55"/>
  <c r="X32" i="55"/>
  <c r="N32" i="55"/>
  <c r="L32" i="55"/>
  <c r="F32" i="55"/>
  <c r="R30" i="55"/>
  <c r="P30" i="55"/>
  <c r="T28" i="55"/>
  <c r="Z28" i="55" s="1"/>
  <c r="R28" i="55"/>
  <c r="P28" i="55"/>
  <c r="X28" i="55" s="1"/>
  <c r="N28" i="55"/>
  <c r="H28" i="55"/>
  <c r="D28" i="55"/>
  <c r="L28" i="55" s="1"/>
  <c r="X26" i="55"/>
  <c r="Z26" i="55" s="1"/>
  <c r="L26" i="55"/>
  <c r="N26" i="55" s="1"/>
  <c r="J26" i="55"/>
  <c r="B26" i="55"/>
  <c r="T25" i="55"/>
  <c r="R25" i="55"/>
  <c r="P25" i="55"/>
  <c r="X25" i="55" s="1"/>
  <c r="Z25" i="55" s="1"/>
  <c r="L25" i="55"/>
  <c r="J25" i="55"/>
  <c r="H25" i="55"/>
  <c r="D25" i="55"/>
  <c r="B25" i="55"/>
  <c r="X24" i="55"/>
  <c r="Z24" i="55" s="1"/>
  <c r="R24" i="55"/>
  <c r="N24" i="55"/>
  <c r="L24" i="55"/>
  <c r="J24" i="55"/>
  <c r="B24" i="55"/>
  <c r="T23" i="55"/>
  <c r="R23" i="55"/>
  <c r="P23" i="55"/>
  <c r="X23" i="55" s="1"/>
  <c r="Z23" i="55" s="1"/>
  <c r="N23" i="55"/>
  <c r="L23" i="55"/>
  <c r="J23" i="55"/>
  <c r="H23" i="55"/>
  <c r="D23" i="55"/>
  <c r="B23" i="55"/>
  <c r="X22" i="55"/>
  <c r="Z22" i="55" s="1"/>
  <c r="R22" i="55"/>
  <c r="L22" i="55"/>
  <c r="N22" i="55" s="1"/>
  <c r="J22" i="55"/>
  <c r="B22" i="55"/>
  <c r="X21" i="55"/>
  <c r="Z21" i="55" s="1"/>
  <c r="T21" i="55"/>
  <c r="P21" i="55"/>
  <c r="N21" i="55"/>
  <c r="J21" i="55"/>
  <c r="H21" i="55"/>
  <c r="D21" i="55"/>
  <c r="L21" i="55" s="1"/>
  <c r="B21" i="55"/>
  <c r="Z20" i="55"/>
  <c r="X20" i="55"/>
  <c r="L20" i="55"/>
  <c r="N20" i="55" s="1"/>
  <c r="F20" i="55"/>
  <c r="B20" i="55"/>
  <c r="X19" i="55"/>
  <c r="T19" i="55"/>
  <c r="P19" i="55"/>
  <c r="J19" i="55"/>
  <c r="H19" i="55"/>
  <c r="F19" i="55"/>
  <c r="D19" i="55"/>
  <c r="L19" i="55" s="1"/>
  <c r="N19" i="55" s="1"/>
  <c r="B19" i="55"/>
  <c r="X18" i="55"/>
  <c r="Z18" i="55" s="1"/>
  <c r="V18" i="55"/>
  <c r="T18" i="55"/>
  <c r="P18" i="55"/>
  <c r="L18" i="55"/>
  <c r="H18" i="55"/>
  <c r="D18" i="55"/>
  <c r="V16" i="55"/>
  <c r="H16" i="55"/>
  <c r="F16" i="55"/>
  <c r="Z14" i="55"/>
  <c r="X14" i="55"/>
  <c r="T14" i="55"/>
  <c r="P14" i="55"/>
  <c r="P16" i="55" s="1"/>
  <c r="H14" i="55"/>
  <c r="N14" i="55" s="1"/>
  <c r="D14" i="55"/>
  <c r="T12" i="55"/>
  <c r="P12" i="55"/>
  <c r="R32" i="55" s="1"/>
  <c r="H12" i="55"/>
  <c r="J30" i="55" s="1"/>
  <c r="D12" i="55"/>
  <c r="F18" i="55" s="1"/>
  <c r="D6" i="55"/>
  <c r="D4" i="55"/>
  <c r="V31" i="54"/>
  <c r="R31" i="54"/>
  <c r="Z29" i="54"/>
  <c r="V29" i="54"/>
  <c r="T29" i="54"/>
  <c r="X29" i="54" s="1"/>
  <c r="R29" i="54"/>
  <c r="P29" i="54"/>
  <c r="H29" i="54"/>
  <c r="D29" i="54"/>
  <c r="L29" i="54" s="1"/>
  <c r="V28" i="54"/>
  <c r="T28" i="54"/>
  <c r="P28" i="54"/>
  <c r="H28" i="54"/>
  <c r="D28" i="54"/>
  <c r="L28" i="54" s="1"/>
  <c r="V26" i="54"/>
  <c r="Z24" i="54"/>
  <c r="X24" i="54"/>
  <c r="V24" i="54"/>
  <c r="R24" i="54"/>
  <c r="N24" i="54"/>
  <c r="L24" i="54"/>
  <c r="J22" i="54"/>
  <c r="T20" i="54"/>
  <c r="P20" i="54"/>
  <c r="N20" i="54"/>
  <c r="L20" i="54"/>
  <c r="H20" i="54"/>
  <c r="D20" i="54"/>
  <c r="T18" i="54"/>
  <c r="Z18" i="54" s="1"/>
  <c r="R18" i="54"/>
  <c r="P18" i="54"/>
  <c r="N18" i="54"/>
  <c r="L18" i="54"/>
  <c r="J18" i="54"/>
  <c r="H18" i="54"/>
  <c r="D18" i="54"/>
  <c r="J16" i="54"/>
  <c r="T14" i="54"/>
  <c r="P14" i="54"/>
  <c r="N14" i="54"/>
  <c r="L14" i="54"/>
  <c r="H14" i="54"/>
  <c r="D14" i="54"/>
  <c r="Z12" i="54"/>
  <c r="T12" i="54"/>
  <c r="V22" i="54" s="1"/>
  <c r="P12" i="54"/>
  <c r="P16" i="54" s="1"/>
  <c r="P22" i="54" s="1"/>
  <c r="P26" i="54" s="1"/>
  <c r="N12" i="54"/>
  <c r="H12" i="54"/>
  <c r="D12" i="54"/>
  <c r="D6" i="54"/>
  <c r="D4" i="54"/>
  <c r="Z86" i="51"/>
  <c r="X86" i="51"/>
  <c r="N86" i="51"/>
  <c r="L86" i="51"/>
  <c r="T82" i="51"/>
  <c r="Z82" i="51" s="1"/>
  <c r="P82" i="51"/>
  <c r="X82" i="51" s="1"/>
  <c r="L82" i="51"/>
  <c r="N82" i="51" s="1"/>
  <c r="H82" i="51"/>
  <c r="D82" i="51"/>
  <c r="B82" i="51"/>
  <c r="T81" i="51"/>
  <c r="Z81" i="51" s="1"/>
  <c r="P81" i="51"/>
  <c r="N81" i="51"/>
  <c r="L81" i="51"/>
  <c r="H81" i="51"/>
  <c r="H79" i="51" s="1"/>
  <c r="D81" i="51"/>
  <c r="B81" i="51"/>
  <c r="T80" i="51"/>
  <c r="P80" i="51"/>
  <c r="X80" i="51" s="1"/>
  <c r="Z80" i="51" s="1"/>
  <c r="N80" i="51"/>
  <c r="H80" i="51"/>
  <c r="D80" i="51"/>
  <c r="L80" i="51" s="1"/>
  <c r="B80" i="51"/>
  <c r="P79" i="51"/>
  <c r="D79" i="51"/>
  <c r="X77" i="51"/>
  <c r="Z77" i="51" s="1"/>
  <c r="L77" i="51"/>
  <c r="N77" i="51" s="1"/>
  <c r="B77" i="51"/>
  <c r="T76" i="51"/>
  <c r="P76" i="51"/>
  <c r="X76" i="51" s="1"/>
  <c r="L76" i="51"/>
  <c r="N76" i="51" s="1"/>
  <c r="H76" i="51"/>
  <c r="D76" i="51"/>
  <c r="B76" i="51"/>
  <c r="X75" i="51"/>
  <c r="Z75" i="51" s="1"/>
  <c r="L75" i="51"/>
  <c r="N75" i="51" s="1"/>
  <c r="B75" i="51"/>
  <c r="Z74" i="51"/>
  <c r="X74" i="51"/>
  <c r="N74" i="51"/>
  <c r="L74" i="51"/>
  <c r="B74" i="51"/>
  <c r="X73" i="51"/>
  <c r="Z73" i="51" s="1"/>
  <c r="T73" i="51"/>
  <c r="P73" i="51"/>
  <c r="H73" i="51"/>
  <c r="D73" i="51"/>
  <c r="B73" i="51"/>
  <c r="Z72" i="51"/>
  <c r="X72" i="51"/>
  <c r="L72" i="51"/>
  <c r="N72" i="51" s="1"/>
  <c r="B72" i="51"/>
  <c r="X71" i="51"/>
  <c r="T71" i="51"/>
  <c r="P71" i="51"/>
  <c r="H71" i="51"/>
  <c r="D71" i="51"/>
  <c r="L71" i="51" s="1"/>
  <c r="B71" i="51"/>
  <c r="X70" i="51"/>
  <c r="Z70" i="51" s="1"/>
  <c r="N70" i="51"/>
  <c r="L70" i="51"/>
  <c r="B70" i="51"/>
  <c r="T69" i="51"/>
  <c r="P69" i="51"/>
  <c r="X69" i="51" s="1"/>
  <c r="H69" i="51"/>
  <c r="N69" i="51" s="1"/>
  <c r="D69" i="51"/>
  <c r="L69" i="51" s="1"/>
  <c r="B69" i="51"/>
  <c r="Z68" i="51"/>
  <c r="X68" i="51"/>
  <c r="N68" i="51"/>
  <c r="L68" i="51"/>
  <c r="B68" i="51"/>
  <c r="T67" i="51"/>
  <c r="P67" i="51"/>
  <c r="N67" i="51"/>
  <c r="L67" i="51"/>
  <c r="H67" i="51"/>
  <c r="D67" i="51"/>
  <c r="B67" i="51"/>
  <c r="Z66" i="51"/>
  <c r="X66" i="51"/>
  <c r="L66" i="51"/>
  <c r="N66" i="51" s="1"/>
  <c r="B66" i="51"/>
  <c r="T65" i="51"/>
  <c r="Z65" i="51" s="1"/>
  <c r="P65" i="51"/>
  <c r="X65" i="51" s="1"/>
  <c r="L65" i="51"/>
  <c r="H65" i="51"/>
  <c r="D65" i="51"/>
  <c r="B65" i="51"/>
  <c r="Z64" i="51"/>
  <c r="X64" i="51"/>
  <c r="N64" i="51"/>
  <c r="L64" i="51"/>
  <c r="B64" i="51"/>
  <c r="T63" i="51"/>
  <c r="P63" i="51"/>
  <c r="X63" i="51" s="1"/>
  <c r="H63" i="51"/>
  <c r="D63" i="51"/>
  <c r="L63" i="51" s="1"/>
  <c r="B63" i="51"/>
  <c r="Z62" i="51"/>
  <c r="X62" i="51"/>
  <c r="N62" i="51"/>
  <c r="L62" i="51"/>
  <c r="B62" i="51"/>
  <c r="Z61" i="51"/>
  <c r="X61" i="51"/>
  <c r="T61" i="51"/>
  <c r="P61" i="51"/>
  <c r="H61" i="51"/>
  <c r="D61" i="51"/>
  <c r="B61" i="51"/>
  <c r="Z60" i="51"/>
  <c r="X60" i="51"/>
  <c r="N60" i="51"/>
  <c r="L60" i="51"/>
  <c r="B60" i="51"/>
  <c r="Z59" i="51"/>
  <c r="X59" i="51"/>
  <c r="N59" i="51"/>
  <c r="L59" i="51"/>
  <c r="B59" i="51"/>
  <c r="Z58" i="51"/>
  <c r="X58" i="51"/>
  <c r="N58" i="51"/>
  <c r="L58" i="51"/>
  <c r="B58" i="51"/>
  <c r="X57" i="51"/>
  <c r="Z57" i="51" s="1"/>
  <c r="L57" i="51"/>
  <c r="N57" i="51" s="1"/>
  <c r="B57" i="51"/>
  <c r="Z56" i="51"/>
  <c r="T56" i="51"/>
  <c r="P56" i="51"/>
  <c r="X56" i="51" s="1"/>
  <c r="H56" i="51"/>
  <c r="D56" i="51"/>
  <c r="L56" i="51" s="1"/>
  <c r="N56" i="51" s="1"/>
  <c r="B56" i="51"/>
  <c r="X55" i="51"/>
  <c r="Z55" i="51" s="1"/>
  <c r="L55" i="51"/>
  <c r="N55" i="51" s="1"/>
  <c r="B55" i="51"/>
  <c r="X54" i="51"/>
  <c r="Z54" i="51" s="1"/>
  <c r="N54" i="51"/>
  <c r="L54" i="51"/>
  <c r="B54" i="51"/>
  <c r="X53" i="51"/>
  <c r="Z53" i="51" s="1"/>
  <c r="L53" i="51"/>
  <c r="N53" i="51" s="1"/>
  <c r="B53" i="51"/>
  <c r="X52" i="51"/>
  <c r="Z52" i="51" s="1"/>
  <c r="N52" i="51"/>
  <c r="L52" i="51"/>
  <c r="B52" i="51"/>
  <c r="X51" i="51"/>
  <c r="Z51" i="51" s="1"/>
  <c r="L51" i="51"/>
  <c r="N51" i="51" s="1"/>
  <c r="B51" i="51"/>
  <c r="X50" i="51"/>
  <c r="Z50" i="51" s="1"/>
  <c r="N50" i="51"/>
  <c r="L50" i="51"/>
  <c r="B50" i="51"/>
  <c r="X49" i="51"/>
  <c r="Z49" i="51" s="1"/>
  <c r="L49" i="51"/>
  <c r="N49" i="51" s="1"/>
  <c r="B49" i="51"/>
  <c r="X48" i="51"/>
  <c r="Z48" i="51" s="1"/>
  <c r="N48" i="51"/>
  <c r="L48" i="51"/>
  <c r="B48" i="51"/>
  <c r="X47" i="51"/>
  <c r="Z47" i="51" s="1"/>
  <c r="L47" i="51"/>
  <c r="N47" i="51" s="1"/>
  <c r="B47" i="51"/>
  <c r="Z46" i="51"/>
  <c r="X46" i="51"/>
  <c r="T46" i="51"/>
  <c r="P46" i="51"/>
  <c r="H46" i="51"/>
  <c r="D46" i="51"/>
  <c r="L46" i="51" s="1"/>
  <c r="B46" i="51"/>
  <c r="X45" i="51"/>
  <c r="Z45" i="51" s="1"/>
  <c r="T45" i="51"/>
  <c r="P45" i="51"/>
  <c r="H45" i="51"/>
  <c r="D45" i="51"/>
  <c r="L45" i="51" s="1"/>
  <c r="Z41" i="51"/>
  <c r="X41" i="51"/>
  <c r="L41" i="51"/>
  <c r="N41" i="51" s="1"/>
  <c r="B41" i="51"/>
  <c r="Z40" i="51"/>
  <c r="X40" i="51"/>
  <c r="N40" i="51"/>
  <c r="L40" i="51"/>
  <c r="B40" i="51"/>
  <c r="X39" i="51"/>
  <c r="Z39" i="51" s="1"/>
  <c r="L39" i="51"/>
  <c r="N39" i="51" s="1"/>
  <c r="B39" i="51"/>
  <c r="Z38" i="51"/>
  <c r="X38" i="51"/>
  <c r="N38" i="51"/>
  <c r="L38" i="51"/>
  <c r="B38" i="51"/>
  <c r="X37" i="51"/>
  <c r="Z37" i="51" s="1"/>
  <c r="L37" i="51"/>
  <c r="N37" i="51" s="1"/>
  <c r="B37" i="51"/>
  <c r="Z36" i="51"/>
  <c r="X36" i="51"/>
  <c r="N36" i="51"/>
  <c r="L36" i="51"/>
  <c r="B36" i="51"/>
  <c r="X35" i="51"/>
  <c r="Z35" i="51" s="1"/>
  <c r="L35" i="51"/>
  <c r="N35" i="51" s="1"/>
  <c r="B35" i="51"/>
  <c r="Z34" i="51"/>
  <c r="X34" i="51"/>
  <c r="N34" i="51"/>
  <c r="L34" i="51"/>
  <c r="B34" i="51"/>
  <c r="X33" i="51"/>
  <c r="Z33" i="51" s="1"/>
  <c r="L33" i="51"/>
  <c r="N33" i="51" s="1"/>
  <c r="B33" i="51"/>
  <c r="Z32" i="51"/>
  <c r="T32" i="51"/>
  <c r="X32" i="51" s="1"/>
  <c r="P32" i="51"/>
  <c r="H32" i="51"/>
  <c r="D32" i="51"/>
  <c r="L32" i="51" s="1"/>
  <c r="N32" i="51" s="1"/>
  <c r="Z30" i="51"/>
  <c r="T30" i="51"/>
  <c r="P30" i="51"/>
  <c r="X30" i="51" s="1"/>
  <c r="H30" i="51"/>
  <c r="D30" i="51"/>
  <c r="L30" i="51" s="1"/>
  <c r="N30" i="51" s="1"/>
  <c r="B30" i="51"/>
  <c r="T29" i="51"/>
  <c r="Z29" i="51" s="1"/>
  <c r="P29" i="51"/>
  <c r="X29" i="51" s="1"/>
  <c r="H29" i="51"/>
  <c r="N29" i="51" s="1"/>
  <c r="D29" i="51"/>
  <c r="L29" i="51" s="1"/>
  <c r="B29" i="51"/>
  <c r="T28" i="51"/>
  <c r="X28" i="51" s="1"/>
  <c r="Z28" i="51" s="1"/>
  <c r="P28" i="51"/>
  <c r="H28" i="51"/>
  <c r="D28" i="51"/>
  <c r="B28" i="51"/>
  <c r="Z27" i="51"/>
  <c r="X27" i="51"/>
  <c r="T27" i="51"/>
  <c r="P27" i="51"/>
  <c r="H27" i="51"/>
  <c r="D27" i="51"/>
  <c r="L27" i="51" s="1"/>
  <c r="N27" i="51" s="1"/>
  <c r="B27" i="51"/>
  <c r="T26" i="51"/>
  <c r="Z26" i="51" s="1"/>
  <c r="P26" i="51"/>
  <c r="X26" i="51" s="1"/>
  <c r="H26" i="51"/>
  <c r="D26" i="51"/>
  <c r="L26" i="51" s="1"/>
  <c r="N26" i="51" s="1"/>
  <c r="B26" i="51"/>
  <c r="T25" i="51"/>
  <c r="Z25" i="51" s="1"/>
  <c r="P25" i="51"/>
  <c r="X25" i="51" s="1"/>
  <c r="H25" i="51"/>
  <c r="D25" i="51"/>
  <c r="L25" i="51" s="1"/>
  <c r="B25" i="51"/>
  <c r="T24" i="51"/>
  <c r="X24" i="51" s="1"/>
  <c r="Z24" i="51" s="1"/>
  <c r="P24" i="51"/>
  <c r="H24" i="51"/>
  <c r="D24" i="51"/>
  <c r="L24" i="51" s="1"/>
  <c r="B24" i="51"/>
  <c r="Z23" i="51"/>
  <c r="X23" i="51"/>
  <c r="T23" i="51"/>
  <c r="P23" i="51"/>
  <c r="H23" i="51"/>
  <c r="D23" i="51"/>
  <c r="L23" i="51" s="1"/>
  <c r="N23" i="51" s="1"/>
  <c r="B23" i="51"/>
  <c r="T22" i="51"/>
  <c r="P22" i="51"/>
  <c r="H22" i="51"/>
  <c r="L22" i="51" s="1"/>
  <c r="N22" i="51" s="1"/>
  <c r="D22" i="51"/>
  <c r="B22" i="51"/>
  <c r="T21" i="51"/>
  <c r="P21" i="51"/>
  <c r="X21" i="51" s="1"/>
  <c r="H21" i="51"/>
  <c r="D21" i="51"/>
  <c r="B21" i="51"/>
  <c r="T20" i="51"/>
  <c r="X20" i="51" s="1"/>
  <c r="Z20" i="51" s="1"/>
  <c r="P20" i="51"/>
  <c r="H20" i="51"/>
  <c r="D20" i="51"/>
  <c r="B20" i="51"/>
  <c r="Z19" i="51"/>
  <c r="X19" i="51"/>
  <c r="T19" i="51"/>
  <c r="P19" i="51"/>
  <c r="H19" i="51"/>
  <c r="D19" i="51"/>
  <c r="L19" i="51" s="1"/>
  <c r="N19" i="51" s="1"/>
  <c r="B19" i="51"/>
  <c r="T18" i="51"/>
  <c r="P18" i="51"/>
  <c r="X18" i="51" s="1"/>
  <c r="Z18" i="51" s="1"/>
  <c r="N18" i="51"/>
  <c r="H18" i="51"/>
  <c r="L18" i="51" s="1"/>
  <c r="D18" i="51"/>
  <c r="B18" i="51"/>
  <c r="T17" i="51"/>
  <c r="P17" i="51"/>
  <c r="X17" i="51" s="1"/>
  <c r="L17" i="51"/>
  <c r="H17" i="51"/>
  <c r="D17" i="51"/>
  <c r="B17" i="51"/>
  <c r="T16" i="51"/>
  <c r="X16" i="51" s="1"/>
  <c r="Z16" i="51" s="1"/>
  <c r="P16" i="51"/>
  <c r="H16" i="51"/>
  <c r="H12" i="51" s="1"/>
  <c r="D16" i="51"/>
  <c r="B16" i="51"/>
  <c r="X15" i="51"/>
  <c r="Z15" i="51" s="1"/>
  <c r="T15" i="51"/>
  <c r="P15" i="51"/>
  <c r="H15" i="51"/>
  <c r="D15" i="51"/>
  <c r="L15" i="51" s="1"/>
  <c r="N15" i="51" s="1"/>
  <c r="B15" i="51"/>
  <c r="T14" i="51"/>
  <c r="P14" i="51"/>
  <c r="X14" i="51" s="1"/>
  <c r="H14" i="51"/>
  <c r="L14" i="51" s="1"/>
  <c r="N14" i="51" s="1"/>
  <c r="D14" i="51"/>
  <c r="B14" i="51"/>
  <c r="T13" i="51"/>
  <c r="P13" i="51"/>
  <c r="H13" i="51"/>
  <c r="D13" i="51"/>
  <c r="B13" i="51"/>
  <c r="D4" i="51"/>
  <c r="X59" i="48"/>
  <c r="Z59" i="48" s="1"/>
  <c r="L59" i="48"/>
  <c r="N59" i="48" s="1"/>
  <c r="F59" i="48"/>
  <c r="V55" i="48"/>
  <c r="T55" i="48"/>
  <c r="P55" i="48"/>
  <c r="H55" i="48"/>
  <c r="H54" i="48" s="1"/>
  <c r="D55" i="48"/>
  <c r="B55" i="48"/>
  <c r="P54" i="48"/>
  <c r="Z52" i="48"/>
  <c r="X52" i="48"/>
  <c r="L52" i="48"/>
  <c r="N52" i="48" s="1"/>
  <c r="B52" i="48"/>
  <c r="T51" i="48"/>
  <c r="P51" i="48"/>
  <c r="L51" i="48"/>
  <c r="N51" i="48" s="1"/>
  <c r="J51" i="48"/>
  <c r="H51" i="48"/>
  <c r="D51" i="48"/>
  <c r="B51" i="48"/>
  <c r="Z50" i="48"/>
  <c r="X50" i="48"/>
  <c r="N50" i="48"/>
  <c r="L50" i="48"/>
  <c r="B50" i="48"/>
  <c r="X49" i="48"/>
  <c r="Z49" i="48" s="1"/>
  <c r="L49" i="48"/>
  <c r="N49" i="48" s="1"/>
  <c r="J49" i="48"/>
  <c r="F49" i="48"/>
  <c r="B49" i="48"/>
  <c r="X48" i="48"/>
  <c r="Z48" i="48" s="1"/>
  <c r="T48" i="48"/>
  <c r="P48" i="48"/>
  <c r="H48" i="48"/>
  <c r="F48" i="48"/>
  <c r="D48" i="48"/>
  <c r="B48" i="48"/>
  <c r="Z47" i="48"/>
  <c r="X47" i="48"/>
  <c r="L47" i="48"/>
  <c r="N47" i="48" s="1"/>
  <c r="B47" i="48"/>
  <c r="T46" i="48"/>
  <c r="P46" i="48"/>
  <c r="J46" i="48"/>
  <c r="H46" i="48"/>
  <c r="D46" i="48"/>
  <c r="L46" i="48" s="1"/>
  <c r="N46" i="48" s="1"/>
  <c r="B46" i="48"/>
  <c r="X45" i="48"/>
  <c r="Z45" i="48" s="1"/>
  <c r="L45" i="48"/>
  <c r="N45" i="48" s="1"/>
  <c r="F45" i="48"/>
  <c r="B45" i="48"/>
  <c r="T44" i="48"/>
  <c r="P44" i="48"/>
  <c r="X44" i="48" s="1"/>
  <c r="Z44" i="48" s="1"/>
  <c r="H44" i="48"/>
  <c r="N44" i="48" s="1"/>
  <c r="F44" i="48"/>
  <c r="D44" i="48"/>
  <c r="L44" i="48" s="1"/>
  <c r="B44" i="48"/>
  <c r="X43" i="48"/>
  <c r="Z43" i="48" s="1"/>
  <c r="N43" i="48"/>
  <c r="L43" i="48"/>
  <c r="B43" i="48"/>
  <c r="V42" i="48"/>
  <c r="T42" i="48"/>
  <c r="P42" i="48"/>
  <c r="X42" i="48" s="1"/>
  <c r="Z42" i="48" s="1"/>
  <c r="L42" i="48"/>
  <c r="N42" i="48" s="1"/>
  <c r="H42" i="48"/>
  <c r="D42" i="48"/>
  <c r="B42" i="48"/>
  <c r="X41" i="48"/>
  <c r="Z41" i="48" s="1"/>
  <c r="V41" i="48"/>
  <c r="L41" i="48"/>
  <c r="N41" i="48" s="1"/>
  <c r="J41" i="48"/>
  <c r="B41" i="48"/>
  <c r="V40" i="48"/>
  <c r="T40" i="48"/>
  <c r="Z40" i="48" s="1"/>
  <c r="P40" i="48"/>
  <c r="X40" i="48" s="1"/>
  <c r="H40" i="48"/>
  <c r="L40" i="48" s="1"/>
  <c r="D40" i="48"/>
  <c r="B40" i="48"/>
  <c r="X39" i="48"/>
  <c r="Z39" i="48" s="1"/>
  <c r="N39" i="48"/>
  <c r="L39" i="48"/>
  <c r="B39" i="48"/>
  <c r="T38" i="48"/>
  <c r="Z38" i="48" s="1"/>
  <c r="P38" i="48"/>
  <c r="X38" i="48" s="1"/>
  <c r="L38" i="48"/>
  <c r="N38" i="48" s="1"/>
  <c r="J38" i="48"/>
  <c r="H38" i="48"/>
  <c r="D38" i="48"/>
  <c r="B38" i="48"/>
  <c r="X37" i="48"/>
  <c r="Z37" i="48" s="1"/>
  <c r="L37" i="48"/>
  <c r="N37" i="48" s="1"/>
  <c r="J37" i="48"/>
  <c r="F37" i="48"/>
  <c r="B37" i="48"/>
  <c r="X36" i="48"/>
  <c r="Z36" i="48" s="1"/>
  <c r="T36" i="48"/>
  <c r="P36" i="48"/>
  <c r="H36" i="48"/>
  <c r="F36" i="48"/>
  <c r="D36" i="48"/>
  <c r="B36" i="48"/>
  <c r="Z35" i="48"/>
  <c r="X35" i="48"/>
  <c r="N35" i="48"/>
  <c r="L35" i="48"/>
  <c r="F35" i="48"/>
  <c r="B35" i="48"/>
  <c r="Z34" i="48"/>
  <c r="X34" i="48"/>
  <c r="N34" i="48"/>
  <c r="L34" i="48"/>
  <c r="B34" i="48"/>
  <c r="X33" i="48"/>
  <c r="Z33" i="48" s="1"/>
  <c r="L33" i="48"/>
  <c r="N33" i="48" s="1"/>
  <c r="J33" i="48"/>
  <c r="B33" i="48"/>
  <c r="Z32" i="48"/>
  <c r="X32" i="48"/>
  <c r="N32" i="48"/>
  <c r="L32" i="48"/>
  <c r="J32" i="48"/>
  <c r="B32" i="48"/>
  <c r="Z31" i="48"/>
  <c r="X31" i="48"/>
  <c r="L31" i="48"/>
  <c r="N31" i="48" s="1"/>
  <c r="F31" i="48"/>
  <c r="B31" i="48"/>
  <c r="Z30" i="48"/>
  <c r="X30" i="48"/>
  <c r="L30" i="48"/>
  <c r="N30" i="48" s="1"/>
  <c r="B30" i="48"/>
  <c r="X29" i="48"/>
  <c r="V29" i="48"/>
  <c r="T29" i="48"/>
  <c r="P29" i="48"/>
  <c r="H29" i="48"/>
  <c r="D29" i="48"/>
  <c r="L29" i="48" s="1"/>
  <c r="N29" i="48" s="1"/>
  <c r="B29" i="48"/>
  <c r="X28" i="48"/>
  <c r="Z28" i="48" s="1"/>
  <c r="V28" i="48"/>
  <c r="L28" i="48"/>
  <c r="N28" i="48" s="1"/>
  <c r="B28" i="48"/>
  <c r="X27" i="48"/>
  <c r="Z27" i="48" s="1"/>
  <c r="N27" i="48"/>
  <c r="L27" i="48"/>
  <c r="B27" i="48"/>
  <c r="X26" i="48"/>
  <c r="Z26" i="48" s="1"/>
  <c r="N26" i="48"/>
  <c r="L26" i="48"/>
  <c r="J26" i="48"/>
  <c r="F26" i="48"/>
  <c r="B26" i="48"/>
  <c r="X25" i="48"/>
  <c r="Z25" i="48" s="1"/>
  <c r="V25" i="48"/>
  <c r="L25" i="48"/>
  <c r="N25" i="48" s="1"/>
  <c r="F25" i="48"/>
  <c r="B25" i="48"/>
  <c r="Z24" i="48"/>
  <c r="X24" i="48"/>
  <c r="V24" i="48"/>
  <c r="L24" i="48"/>
  <c r="N24" i="48" s="1"/>
  <c r="B24" i="48"/>
  <c r="X23" i="48"/>
  <c r="Z23" i="48" s="1"/>
  <c r="N23" i="48"/>
  <c r="L23" i="48"/>
  <c r="B23" i="48"/>
  <c r="X22" i="48"/>
  <c r="Z22" i="48" s="1"/>
  <c r="N22" i="48"/>
  <c r="L22" i="48"/>
  <c r="J22" i="48"/>
  <c r="F22" i="48"/>
  <c r="B22" i="48"/>
  <c r="X21" i="48"/>
  <c r="Z21" i="48" s="1"/>
  <c r="V21" i="48"/>
  <c r="L21" i="48"/>
  <c r="N21" i="48" s="1"/>
  <c r="F21" i="48"/>
  <c r="B21" i="48"/>
  <c r="Z20" i="48"/>
  <c r="X20" i="48"/>
  <c r="T20" i="48"/>
  <c r="P20" i="48"/>
  <c r="H20" i="48"/>
  <c r="D20" i="48"/>
  <c r="L20" i="48" s="1"/>
  <c r="N20" i="48" s="1"/>
  <c r="B20" i="48"/>
  <c r="X19" i="48"/>
  <c r="Z19" i="48" s="1"/>
  <c r="T19" i="48"/>
  <c r="P19" i="48"/>
  <c r="H19" i="48"/>
  <c r="D19" i="48"/>
  <c r="L19" i="48" s="1"/>
  <c r="H17" i="48"/>
  <c r="Z15" i="48"/>
  <c r="X15" i="48"/>
  <c r="T15" i="48"/>
  <c r="P15" i="48"/>
  <c r="H15" i="48"/>
  <c r="N15" i="48" s="1"/>
  <c r="D15" i="48"/>
  <c r="T13" i="48"/>
  <c r="P13" i="48"/>
  <c r="P12" i="48" s="1"/>
  <c r="R51" i="48" s="1"/>
  <c r="N13" i="48"/>
  <c r="L13" i="48"/>
  <c r="H13" i="48"/>
  <c r="D13" i="48"/>
  <c r="B13" i="48"/>
  <c r="T12" i="48"/>
  <c r="T17" i="48" s="1"/>
  <c r="H12" i="48"/>
  <c r="D12" i="48"/>
  <c r="D4" i="48"/>
  <c r="X85" i="45"/>
  <c r="Z85" i="45" s="1"/>
  <c r="L85" i="45"/>
  <c r="N85" i="45" s="1"/>
  <c r="T81" i="45"/>
  <c r="P81" i="45"/>
  <c r="H81" i="45"/>
  <c r="N81" i="45" s="1"/>
  <c r="D81" i="45"/>
  <c r="X79" i="45"/>
  <c r="Z79" i="45" s="1"/>
  <c r="L79" i="45"/>
  <c r="N79" i="45" s="1"/>
  <c r="B79" i="45"/>
  <c r="Z78" i="45"/>
  <c r="X78" i="45"/>
  <c r="N78" i="45"/>
  <c r="L78" i="45"/>
  <c r="B78" i="45"/>
  <c r="T77" i="45"/>
  <c r="P77" i="45"/>
  <c r="H77" i="45"/>
  <c r="D77" i="45"/>
  <c r="B77" i="45"/>
  <c r="X76" i="45"/>
  <c r="Z76" i="45" s="1"/>
  <c r="N76" i="45"/>
  <c r="L76" i="45"/>
  <c r="B76" i="45"/>
  <c r="T75" i="45"/>
  <c r="Z75" i="45" s="1"/>
  <c r="P75" i="45"/>
  <c r="X75" i="45" s="1"/>
  <c r="H75" i="45"/>
  <c r="N75" i="45" s="1"/>
  <c r="D75" i="45"/>
  <c r="L75" i="45" s="1"/>
  <c r="B75" i="45"/>
  <c r="X74" i="45"/>
  <c r="Z74" i="45" s="1"/>
  <c r="N74" i="45"/>
  <c r="L74" i="45"/>
  <c r="B74" i="45"/>
  <c r="X73" i="45"/>
  <c r="Z73" i="45" s="1"/>
  <c r="T73" i="45"/>
  <c r="P73" i="45"/>
  <c r="N73" i="45"/>
  <c r="L73" i="45"/>
  <c r="H73" i="45"/>
  <c r="D73" i="45"/>
  <c r="B73" i="45"/>
  <c r="Z72" i="45"/>
  <c r="X72" i="45"/>
  <c r="L72" i="45"/>
  <c r="N72" i="45" s="1"/>
  <c r="B72" i="45"/>
  <c r="Z71" i="45"/>
  <c r="X71" i="45"/>
  <c r="N71" i="45"/>
  <c r="L71" i="45"/>
  <c r="B71" i="45"/>
  <c r="Z70" i="45"/>
  <c r="X70" i="45"/>
  <c r="N70" i="45"/>
  <c r="L70" i="45"/>
  <c r="B70" i="45"/>
  <c r="Z69" i="45"/>
  <c r="X69" i="45"/>
  <c r="L69" i="45"/>
  <c r="N69" i="45" s="1"/>
  <c r="B69" i="45"/>
  <c r="Z68" i="45"/>
  <c r="X68" i="45"/>
  <c r="L68" i="45"/>
  <c r="N68" i="45" s="1"/>
  <c r="B68" i="45"/>
  <c r="X67" i="45"/>
  <c r="Z67" i="45" s="1"/>
  <c r="L67" i="45"/>
  <c r="N67" i="45" s="1"/>
  <c r="B67" i="45"/>
  <c r="Z66" i="45"/>
  <c r="X66" i="45"/>
  <c r="N66" i="45"/>
  <c r="L66" i="45"/>
  <c r="B66" i="45"/>
  <c r="T65" i="45"/>
  <c r="P65" i="45"/>
  <c r="X65" i="45" s="1"/>
  <c r="H65" i="45"/>
  <c r="D65" i="45"/>
  <c r="B65" i="45"/>
  <c r="X64" i="45"/>
  <c r="Z64" i="45" s="1"/>
  <c r="N64" i="45"/>
  <c r="L64" i="45"/>
  <c r="B64" i="45"/>
  <c r="X63" i="45"/>
  <c r="Z63" i="45" s="1"/>
  <c r="L63" i="45"/>
  <c r="N63" i="45" s="1"/>
  <c r="B63" i="45"/>
  <c r="Z62" i="45"/>
  <c r="X62" i="45"/>
  <c r="L62" i="45"/>
  <c r="N62" i="45" s="1"/>
  <c r="B62" i="45"/>
  <c r="T61" i="45"/>
  <c r="Z61" i="45" s="1"/>
  <c r="P61" i="45"/>
  <c r="X61" i="45" s="1"/>
  <c r="H61" i="45"/>
  <c r="D61" i="45"/>
  <c r="L61" i="45" s="1"/>
  <c r="N61" i="45" s="1"/>
  <c r="B61" i="45"/>
  <c r="Z60" i="45"/>
  <c r="X60" i="45"/>
  <c r="N60" i="45"/>
  <c r="L60" i="45"/>
  <c r="B60" i="45"/>
  <c r="X59" i="45"/>
  <c r="Z59" i="45" s="1"/>
  <c r="L59" i="45"/>
  <c r="N59" i="45" s="1"/>
  <c r="B59" i="45"/>
  <c r="X58" i="45"/>
  <c r="T58" i="45"/>
  <c r="P58" i="45"/>
  <c r="H58" i="45"/>
  <c r="D58" i="45"/>
  <c r="L58" i="45" s="1"/>
  <c r="B58" i="45"/>
  <c r="Z57" i="45"/>
  <c r="X57" i="45"/>
  <c r="L57" i="45"/>
  <c r="N57" i="45" s="1"/>
  <c r="B57" i="45"/>
  <c r="T56" i="45"/>
  <c r="P56" i="45"/>
  <c r="N56" i="45"/>
  <c r="H56" i="45"/>
  <c r="D56" i="45"/>
  <c r="L56" i="45" s="1"/>
  <c r="B56" i="45"/>
  <c r="X55" i="45"/>
  <c r="Z55" i="45" s="1"/>
  <c r="L55" i="45"/>
  <c r="N55" i="45" s="1"/>
  <c r="B55" i="45"/>
  <c r="T54" i="45"/>
  <c r="P54" i="45"/>
  <c r="X54" i="45" s="1"/>
  <c r="Z54" i="45" s="1"/>
  <c r="L54" i="45"/>
  <c r="H54" i="45"/>
  <c r="D54" i="45"/>
  <c r="B54" i="45"/>
  <c r="X53" i="45"/>
  <c r="Z53" i="45" s="1"/>
  <c r="N53" i="45"/>
  <c r="L53" i="45"/>
  <c r="B53" i="45"/>
  <c r="T52" i="45"/>
  <c r="P52" i="45"/>
  <c r="X52" i="45" s="1"/>
  <c r="H52" i="45"/>
  <c r="D52" i="45"/>
  <c r="B52" i="45"/>
  <c r="X51" i="45"/>
  <c r="Z51" i="45" s="1"/>
  <c r="L51" i="45"/>
  <c r="N51" i="45" s="1"/>
  <c r="B51" i="45"/>
  <c r="Z50" i="45"/>
  <c r="T50" i="45"/>
  <c r="P50" i="45"/>
  <c r="X50" i="45" s="1"/>
  <c r="H50" i="45"/>
  <c r="D50" i="45"/>
  <c r="L50" i="45" s="1"/>
  <c r="N50" i="45" s="1"/>
  <c r="B50" i="45"/>
  <c r="X49" i="45"/>
  <c r="Z49" i="45" s="1"/>
  <c r="L49" i="45"/>
  <c r="N49" i="45" s="1"/>
  <c r="B49" i="45"/>
  <c r="X48" i="45"/>
  <c r="T48" i="45"/>
  <c r="Z48" i="45" s="1"/>
  <c r="P48" i="45"/>
  <c r="N48" i="45"/>
  <c r="H48" i="45"/>
  <c r="D48" i="45"/>
  <c r="L48" i="45" s="1"/>
  <c r="B48" i="45"/>
  <c r="X47" i="45"/>
  <c r="Z47" i="45" s="1"/>
  <c r="L47" i="45"/>
  <c r="N47" i="45" s="1"/>
  <c r="B47" i="45"/>
  <c r="X46" i="45"/>
  <c r="T46" i="45"/>
  <c r="P46" i="45"/>
  <c r="H46" i="45"/>
  <c r="N46" i="45" s="1"/>
  <c r="D46" i="45"/>
  <c r="L46" i="45" s="1"/>
  <c r="B46" i="45"/>
  <c r="Z45" i="45"/>
  <c r="X45" i="45"/>
  <c r="L45" i="45"/>
  <c r="N45" i="45" s="1"/>
  <c r="B45" i="45"/>
  <c r="Z44" i="45"/>
  <c r="T44" i="45"/>
  <c r="P44" i="45"/>
  <c r="X44" i="45" s="1"/>
  <c r="H44" i="45"/>
  <c r="D44" i="45"/>
  <c r="L44" i="45" s="1"/>
  <c r="N44" i="45" s="1"/>
  <c r="B44" i="45"/>
  <c r="X43" i="45"/>
  <c r="Z43" i="45" s="1"/>
  <c r="N43" i="45"/>
  <c r="L43" i="45"/>
  <c r="B43" i="45"/>
  <c r="X42" i="45"/>
  <c r="Z42" i="45" s="1"/>
  <c r="T42" i="45"/>
  <c r="P42" i="45"/>
  <c r="L42" i="45"/>
  <c r="H42" i="45"/>
  <c r="N42" i="45" s="1"/>
  <c r="D42" i="45"/>
  <c r="B42" i="45"/>
  <c r="X41" i="45"/>
  <c r="Z41" i="45" s="1"/>
  <c r="N41" i="45"/>
  <c r="L41" i="45"/>
  <c r="B41" i="45"/>
  <c r="Z40" i="45"/>
  <c r="X40" i="45"/>
  <c r="N40" i="45"/>
  <c r="L40" i="45"/>
  <c r="B40" i="45"/>
  <c r="Z39" i="45"/>
  <c r="X39" i="45"/>
  <c r="L39" i="45"/>
  <c r="N39" i="45" s="1"/>
  <c r="B39" i="45"/>
  <c r="X38" i="45"/>
  <c r="Z38" i="45" s="1"/>
  <c r="N38" i="45"/>
  <c r="L38" i="45"/>
  <c r="B38" i="45"/>
  <c r="X37" i="45"/>
  <c r="Z37" i="45" s="1"/>
  <c r="N37" i="45"/>
  <c r="L37" i="45"/>
  <c r="B37" i="45"/>
  <c r="Z36" i="45"/>
  <c r="X36" i="45"/>
  <c r="N36" i="45"/>
  <c r="L36" i="45"/>
  <c r="B36" i="45"/>
  <c r="Z35" i="45"/>
  <c r="X35" i="45"/>
  <c r="L35" i="45"/>
  <c r="N35" i="45" s="1"/>
  <c r="B35" i="45"/>
  <c r="X34" i="45"/>
  <c r="T34" i="45"/>
  <c r="P34" i="45"/>
  <c r="H34" i="45"/>
  <c r="D34" i="45"/>
  <c r="L34" i="45" s="1"/>
  <c r="B34" i="45"/>
  <c r="Z33" i="45"/>
  <c r="X33" i="45"/>
  <c r="N33" i="45"/>
  <c r="L33" i="45"/>
  <c r="B33" i="45"/>
  <c r="Z32" i="45"/>
  <c r="X32" i="45"/>
  <c r="L32" i="45"/>
  <c r="N32" i="45" s="1"/>
  <c r="B32" i="45"/>
  <c r="X31" i="45"/>
  <c r="Z31" i="45" s="1"/>
  <c r="N31" i="45"/>
  <c r="L31" i="45"/>
  <c r="B31" i="45"/>
  <c r="Z30" i="45"/>
  <c r="X30" i="45"/>
  <c r="L30" i="45"/>
  <c r="N30" i="45" s="1"/>
  <c r="B30" i="45"/>
  <c r="Z29" i="45"/>
  <c r="X29" i="45"/>
  <c r="L29" i="45"/>
  <c r="N29" i="45" s="1"/>
  <c r="B29" i="45"/>
  <c r="Z28" i="45"/>
  <c r="X28" i="45"/>
  <c r="L28" i="45"/>
  <c r="N28" i="45" s="1"/>
  <c r="B28" i="45"/>
  <c r="X27" i="45"/>
  <c r="Z27" i="45" s="1"/>
  <c r="N27" i="45"/>
  <c r="L27" i="45"/>
  <c r="B27" i="45"/>
  <c r="X26" i="45"/>
  <c r="Z26" i="45" s="1"/>
  <c r="N26" i="45"/>
  <c r="L26" i="45"/>
  <c r="B26" i="45"/>
  <c r="Z25" i="45"/>
  <c r="X25" i="45"/>
  <c r="N25" i="45"/>
  <c r="L25" i="45"/>
  <c r="B25" i="45"/>
  <c r="Z24" i="45"/>
  <c r="T24" i="45"/>
  <c r="P24" i="45"/>
  <c r="X24" i="45" s="1"/>
  <c r="L24" i="45"/>
  <c r="N24" i="45" s="1"/>
  <c r="H24" i="45"/>
  <c r="D24" i="45"/>
  <c r="B24" i="45"/>
  <c r="T23" i="45"/>
  <c r="P23" i="45"/>
  <c r="X23" i="45" s="1"/>
  <c r="H23" i="45"/>
  <c r="D23" i="45"/>
  <c r="L23" i="45" s="1"/>
  <c r="N23" i="45" s="1"/>
  <c r="X19" i="45"/>
  <c r="Z19" i="45" s="1"/>
  <c r="L19" i="45"/>
  <c r="N19" i="45" s="1"/>
  <c r="B19" i="45"/>
  <c r="Z18" i="45"/>
  <c r="X18" i="45"/>
  <c r="L18" i="45"/>
  <c r="N18" i="45" s="1"/>
  <c r="B18" i="45"/>
  <c r="T17" i="45"/>
  <c r="P17" i="45"/>
  <c r="X17" i="45" s="1"/>
  <c r="Z17" i="45" s="1"/>
  <c r="H17" i="45"/>
  <c r="N17" i="45" s="1"/>
  <c r="D17" i="45"/>
  <c r="L17" i="45" s="1"/>
  <c r="X15" i="45"/>
  <c r="Z15" i="45" s="1"/>
  <c r="T15" i="45"/>
  <c r="P15" i="45"/>
  <c r="L15" i="45"/>
  <c r="N15" i="45" s="1"/>
  <c r="H15" i="45"/>
  <c r="D15" i="45"/>
  <c r="B15" i="45"/>
  <c r="X14" i="45"/>
  <c r="T14" i="45"/>
  <c r="P14" i="45"/>
  <c r="H14" i="45"/>
  <c r="D14" i="45"/>
  <c r="B14" i="45"/>
  <c r="T13" i="45"/>
  <c r="P13" i="45"/>
  <c r="H13" i="45"/>
  <c r="D13" i="45"/>
  <c r="B13" i="45"/>
  <c r="T12" i="45"/>
  <c r="V76" i="45" s="1"/>
  <c r="D4" i="45"/>
  <c r="X111" i="42"/>
  <c r="Z111" i="42" s="1"/>
  <c r="L111" i="42"/>
  <c r="N111" i="42" s="1"/>
  <c r="T107" i="42"/>
  <c r="P107" i="42"/>
  <c r="H107" i="42"/>
  <c r="N107" i="42" s="1"/>
  <c r="D107" i="42"/>
  <c r="L107" i="42" s="1"/>
  <c r="B107" i="42"/>
  <c r="Z106" i="42"/>
  <c r="X106" i="42"/>
  <c r="T106" i="42"/>
  <c r="P106" i="42"/>
  <c r="N106" i="42"/>
  <c r="L106" i="42"/>
  <c r="H106" i="42"/>
  <c r="D106" i="42"/>
  <c r="B106" i="42"/>
  <c r="X105" i="42"/>
  <c r="T105" i="42"/>
  <c r="P105" i="42"/>
  <c r="P104" i="42" s="1"/>
  <c r="H105" i="42"/>
  <c r="D105" i="42"/>
  <c r="B105" i="42"/>
  <c r="Z102" i="42"/>
  <c r="X102" i="42"/>
  <c r="N102" i="42"/>
  <c r="L102" i="42"/>
  <c r="B102" i="42"/>
  <c r="X101" i="42"/>
  <c r="T101" i="42"/>
  <c r="P101" i="42"/>
  <c r="H101" i="42"/>
  <c r="N101" i="42" s="1"/>
  <c r="D101" i="42"/>
  <c r="L101" i="42" s="1"/>
  <c r="B101" i="42"/>
  <c r="Z100" i="42"/>
  <c r="X100" i="42"/>
  <c r="N100" i="42"/>
  <c r="L100" i="42"/>
  <c r="B100" i="42"/>
  <c r="X99" i="42"/>
  <c r="Z99" i="42" s="1"/>
  <c r="L99" i="42"/>
  <c r="N99" i="42" s="1"/>
  <c r="B99" i="42"/>
  <c r="Z98" i="42"/>
  <c r="X98" i="42"/>
  <c r="N98" i="42"/>
  <c r="L98" i="42"/>
  <c r="B98" i="42"/>
  <c r="X97" i="42"/>
  <c r="T97" i="42"/>
  <c r="Z97" i="42" s="1"/>
  <c r="P97" i="42"/>
  <c r="H97" i="42"/>
  <c r="D97" i="42"/>
  <c r="L97" i="42" s="1"/>
  <c r="B97" i="42"/>
  <c r="Z96" i="42"/>
  <c r="X96" i="42"/>
  <c r="N96" i="42"/>
  <c r="L96" i="42"/>
  <c r="B96" i="42"/>
  <c r="X95" i="42"/>
  <c r="T95" i="42"/>
  <c r="Z95" i="42" s="1"/>
  <c r="P95" i="42"/>
  <c r="H95" i="42"/>
  <c r="D95" i="42"/>
  <c r="B95" i="42"/>
  <c r="Z94" i="42"/>
  <c r="X94" i="42"/>
  <c r="N94" i="42"/>
  <c r="L94" i="42"/>
  <c r="B94" i="42"/>
  <c r="T93" i="42"/>
  <c r="P93" i="42"/>
  <c r="H93" i="42"/>
  <c r="D93" i="42"/>
  <c r="L93" i="42" s="1"/>
  <c r="B93" i="42"/>
  <c r="Z92" i="42"/>
  <c r="X92" i="42"/>
  <c r="N92" i="42"/>
  <c r="L92" i="42"/>
  <c r="B92" i="42"/>
  <c r="X91" i="42"/>
  <c r="Z91" i="42" s="1"/>
  <c r="L91" i="42"/>
  <c r="N91" i="42" s="1"/>
  <c r="B91" i="42"/>
  <c r="Z90" i="42"/>
  <c r="X90" i="42"/>
  <c r="N90" i="42"/>
  <c r="L90" i="42"/>
  <c r="B90" i="42"/>
  <c r="X89" i="42"/>
  <c r="Z89" i="42" s="1"/>
  <c r="L89" i="42"/>
  <c r="N89" i="42" s="1"/>
  <c r="B89" i="42"/>
  <c r="Z88" i="42"/>
  <c r="X88" i="42"/>
  <c r="N88" i="42"/>
  <c r="L88" i="42"/>
  <c r="B88" i="42"/>
  <c r="X87" i="42"/>
  <c r="Z87" i="42" s="1"/>
  <c r="L87" i="42"/>
  <c r="N87" i="42" s="1"/>
  <c r="B87" i="42"/>
  <c r="Z86" i="42"/>
  <c r="X86" i="42"/>
  <c r="N86" i="42"/>
  <c r="L86" i="42"/>
  <c r="B86" i="42"/>
  <c r="X85" i="42"/>
  <c r="Z85" i="42" s="1"/>
  <c r="L85" i="42"/>
  <c r="N85" i="42" s="1"/>
  <c r="B85" i="42"/>
  <c r="Z84" i="42"/>
  <c r="X84" i="42"/>
  <c r="T84" i="42"/>
  <c r="P84" i="42"/>
  <c r="H84" i="42"/>
  <c r="D84" i="42"/>
  <c r="L84" i="42" s="1"/>
  <c r="N84" i="42" s="1"/>
  <c r="B84" i="42"/>
  <c r="X83" i="42"/>
  <c r="Z83" i="42" s="1"/>
  <c r="N83" i="42"/>
  <c r="L83" i="42"/>
  <c r="B83" i="42"/>
  <c r="T82" i="42"/>
  <c r="X82" i="42" s="1"/>
  <c r="Z82" i="42" s="1"/>
  <c r="R82" i="42"/>
  <c r="P82" i="42"/>
  <c r="N82" i="42"/>
  <c r="L82" i="42"/>
  <c r="H82" i="42"/>
  <c r="D82" i="42"/>
  <c r="B82" i="42"/>
  <c r="X81" i="42"/>
  <c r="Z81" i="42" s="1"/>
  <c r="L81" i="42"/>
  <c r="N81" i="42" s="1"/>
  <c r="B81" i="42"/>
  <c r="Z80" i="42"/>
  <c r="X80" i="42"/>
  <c r="N80" i="42"/>
  <c r="L80" i="42"/>
  <c r="B80" i="42"/>
  <c r="Z79" i="42"/>
  <c r="X79" i="42"/>
  <c r="L79" i="42"/>
  <c r="N79" i="42" s="1"/>
  <c r="B79" i="42"/>
  <c r="Z78" i="42"/>
  <c r="X78" i="42"/>
  <c r="N78" i="42"/>
  <c r="L78" i="42"/>
  <c r="B78" i="42"/>
  <c r="X77" i="42"/>
  <c r="Z77" i="42" s="1"/>
  <c r="L77" i="42"/>
  <c r="N77" i="42" s="1"/>
  <c r="B77" i="42"/>
  <c r="T76" i="42"/>
  <c r="P76" i="42"/>
  <c r="X76" i="42" s="1"/>
  <c r="H76" i="42"/>
  <c r="D76" i="42"/>
  <c r="L76" i="42" s="1"/>
  <c r="N76" i="42" s="1"/>
  <c r="B76" i="42"/>
  <c r="X75" i="42"/>
  <c r="Z75" i="42" s="1"/>
  <c r="L75" i="42"/>
  <c r="N75" i="42" s="1"/>
  <c r="B75" i="42"/>
  <c r="X74" i="42"/>
  <c r="Z74" i="42" s="1"/>
  <c r="N74" i="42"/>
  <c r="L74" i="42"/>
  <c r="B74" i="42"/>
  <c r="X73" i="42"/>
  <c r="T73" i="42"/>
  <c r="Z73" i="42" s="1"/>
  <c r="P73" i="42"/>
  <c r="H73" i="42"/>
  <c r="D73" i="42"/>
  <c r="L73" i="42" s="1"/>
  <c r="B73" i="42"/>
  <c r="Z72" i="42"/>
  <c r="X72" i="42"/>
  <c r="N72" i="42"/>
  <c r="L72" i="42"/>
  <c r="B72" i="42"/>
  <c r="X71" i="42"/>
  <c r="Z71" i="42" s="1"/>
  <c r="N71" i="42"/>
  <c r="L71" i="42"/>
  <c r="B71" i="42"/>
  <c r="Z70" i="42"/>
  <c r="T70" i="42"/>
  <c r="X70" i="42" s="1"/>
  <c r="P70" i="42"/>
  <c r="N70" i="42"/>
  <c r="L70" i="42"/>
  <c r="H70" i="42"/>
  <c r="D70" i="42"/>
  <c r="B70" i="42"/>
  <c r="X69" i="42"/>
  <c r="Z69" i="42" s="1"/>
  <c r="L69" i="42"/>
  <c r="N69" i="42" s="1"/>
  <c r="B69" i="42"/>
  <c r="T68" i="42"/>
  <c r="P68" i="42"/>
  <c r="X68" i="42" s="1"/>
  <c r="H68" i="42"/>
  <c r="D68" i="42"/>
  <c r="L68" i="42" s="1"/>
  <c r="N68" i="42" s="1"/>
  <c r="B68" i="42"/>
  <c r="X67" i="42"/>
  <c r="Z67" i="42" s="1"/>
  <c r="L67" i="42"/>
  <c r="N67" i="42" s="1"/>
  <c r="B67" i="42"/>
  <c r="T66" i="42"/>
  <c r="P66" i="42"/>
  <c r="X66" i="42" s="1"/>
  <c r="Z66" i="42" s="1"/>
  <c r="N66" i="42"/>
  <c r="L66" i="42"/>
  <c r="H66" i="42"/>
  <c r="D66" i="42"/>
  <c r="B66" i="42"/>
  <c r="X65" i="42"/>
  <c r="Z65" i="42" s="1"/>
  <c r="R65" i="42"/>
  <c r="L65" i="42"/>
  <c r="N65" i="42" s="1"/>
  <c r="B65" i="42"/>
  <c r="Z64" i="42"/>
  <c r="X64" i="42"/>
  <c r="T64" i="42"/>
  <c r="P64" i="42"/>
  <c r="N64" i="42"/>
  <c r="H64" i="42"/>
  <c r="L64" i="42" s="1"/>
  <c r="D64" i="42"/>
  <c r="B64" i="42"/>
  <c r="Z63" i="42"/>
  <c r="X63" i="42"/>
  <c r="L63" i="42"/>
  <c r="N63" i="42" s="1"/>
  <c r="B63" i="42"/>
  <c r="T62" i="42"/>
  <c r="P62" i="42"/>
  <c r="X62" i="42" s="1"/>
  <c r="Z62" i="42" s="1"/>
  <c r="H62" i="42"/>
  <c r="N62" i="42" s="1"/>
  <c r="D62" i="42"/>
  <c r="L62" i="42" s="1"/>
  <c r="B62" i="42"/>
  <c r="X61" i="42"/>
  <c r="Z61" i="42" s="1"/>
  <c r="L61" i="42"/>
  <c r="N61" i="42" s="1"/>
  <c r="B61" i="42"/>
  <c r="Z60" i="42"/>
  <c r="X60" i="42"/>
  <c r="T60" i="42"/>
  <c r="P60" i="42"/>
  <c r="H60" i="42"/>
  <c r="D60" i="42"/>
  <c r="L60" i="42" s="1"/>
  <c r="N60" i="42" s="1"/>
  <c r="B60" i="42"/>
  <c r="Z59" i="42"/>
  <c r="X59" i="42"/>
  <c r="N59" i="42"/>
  <c r="L59" i="42"/>
  <c r="B59" i="42"/>
  <c r="Z58" i="42"/>
  <c r="T58" i="42"/>
  <c r="X58" i="42" s="1"/>
  <c r="R58" i="42"/>
  <c r="P58" i="42"/>
  <c r="N58" i="42"/>
  <c r="L58" i="42"/>
  <c r="H58" i="42"/>
  <c r="D58" i="42"/>
  <c r="B58" i="42"/>
  <c r="X57" i="42"/>
  <c r="Z57" i="42" s="1"/>
  <c r="R57" i="42"/>
  <c r="L57" i="42"/>
  <c r="N57" i="42" s="1"/>
  <c r="B57" i="42"/>
  <c r="Z56" i="42"/>
  <c r="X56" i="42"/>
  <c r="N56" i="42"/>
  <c r="L56" i="42"/>
  <c r="B56" i="42"/>
  <c r="Z55" i="42"/>
  <c r="X55" i="42"/>
  <c r="L55" i="42"/>
  <c r="N55" i="42" s="1"/>
  <c r="B55" i="42"/>
  <c r="Z54" i="42"/>
  <c r="T54" i="42"/>
  <c r="P54" i="42"/>
  <c r="X54" i="42" s="1"/>
  <c r="H54" i="42"/>
  <c r="D54" i="42"/>
  <c r="L54" i="42" s="1"/>
  <c r="B54" i="42"/>
  <c r="X53" i="42"/>
  <c r="Z53" i="42" s="1"/>
  <c r="N53" i="42"/>
  <c r="L53" i="42"/>
  <c r="B53" i="42"/>
  <c r="Z52" i="42"/>
  <c r="X52" i="42"/>
  <c r="T52" i="42"/>
  <c r="P52" i="42"/>
  <c r="H52" i="42"/>
  <c r="D52" i="42"/>
  <c r="L52" i="42" s="1"/>
  <c r="N52" i="42" s="1"/>
  <c r="B52" i="42"/>
  <c r="X51" i="42"/>
  <c r="Z51" i="42" s="1"/>
  <c r="N51" i="42"/>
  <c r="L51" i="42"/>
  <c r="B51" i="42"/>
  <c r="T50" i="42"/>
  <c r="X50" i="42" s="1"/>
  <c r="Z50" i="42" s="1"/>
  <c r="P50" i="42"/>
  <c r="N50" i="42"/>
  <c r="L50" i="42"/>
  <c r="H50" i="42"/>
  <c r="D50" i="42"/>
  <c r="B50" i="42"/>
  <c r="X49" i="42"/>
  <c r="Z49" i="42" s="1"/>
  <c r="R49" i="42"/>
  <c r="L49" i="42"/>
  <c r="N49" i="42" s="1"/>
  <c r="B49" i="42"/>
  <c r="T48" i="42"/>
  <c r="P48" i="42"/>
  <c r="X48" i="42" s="1"/>
  <c r="H48" i="42"/>
  <c r="D48" i="42"/>
  <c r="L48" i="42" s="1"/>
  <c r="N48" i="42" s="1"/>
  <c r="B48" i="42"/>
  <c r="X47" i="42"/>
  <c r="Z47" i="42" s="1"/>
  <c r="R47" i="42"/>
  <c r="L47" i="42"/>
  <c r="N47" i="42" s="1"/>
  <c r="B47" i="42"/>
  <c r="X46" i="42"/>
  <c r="Z46" i="42" s="1"/>
  <c r="N46" i="42"/>
  <c r="L46" i="42"/>
  <c r="B46" i="42"/>
  <c r="X45" i="42"/>
  <c r="Z45" i="42" s="1"/>
  <c r="N45" i="42"/>
  <c r="L45" i="42"/>
  <c r="B45" i="42"/>
  <c r="Z44" i="42"/>
  <c r="X44" i="42"/>
  <c r="N44" i="42"/>
  <c r="L44" i="42"/>
  <c r="B44" i="42"/>
  <c r="X43" i="42"/>
  <c r="Z43" i="42" s="1"/>
  <c r="R43" i="42"/>
  <c r="L43" i="42"/>
  <c r="N43" i="42" s="1"/>
  <c r="B43" i="42"/>
  <c r="X42" i="42"/>
  <c r="Z42" i="42" s="1"/>
  <c r="N42" i="42"/>
  <c r="L42" i="42"/>
  <c r="B42" i="42"/>
  <c r="X41" i="42"/>
  <c r="Z41" i="42" s="1"/>
  <c r="L41" i="42"/>
  <c r="N41" i="42" s="1"/>
  <c r="B41" i="42"/>
  <c r="Z40" i="42"/>
  <c r="X40" i="42"/>
  <c r="T40" i="42"/>
  <c r="P40" i="42"/>
  <c r="H40" i="42"/>
  <c r="D40" i="42"/>
  <c r="L40" i="42" s="1"/>
  <c r="N40" i="42" s="1"/>
  <c r="B40" i="42"/>
  <c r="X39" i="42"/>
  <c r="Z39" i="42" s="1"/>
  <c r="N39" i="42"/>
  <c r="L39" i="42"/>
  <c r="B39" i="42"/>
  <c r="Z38" i="42"/>
  <c r="X38" i="42"/>
  <c r="N38" i="42"/>
  <c r="L38" i="42"/>
  <c r="B38" i="42"/>
  <c r="X37" i="42"/>
  <c r="Z37" i="42" s="1"/>
  <c r="L37" i="42"/>
  <c r="N37" i="42" s="1"/>
  <c r="B37" i="42"/>
  <c r="Z36" i="42"/>
  <c r="X36" i="42"/>
  <c r="N36" i="42"/>
  <c r="L36" i="42"/>
  <c r="B36" i="42"/>
  <c r="X35" i="42"/>
  <c r="Z35" i="42" s="1"/>
  <c r="N35" i="42"/>
  <c r="L35" i="42"/>
  <c r="B35" i="42"/>
  <c r="Z34" i="42"/>
  <c r="X34" i="42"/>
  <c r="N34" i="42"/>
  <c r="L34" i="42"/>
  <c r="B34" i="42"/>
  <c r="X33" i="42"/>
  <c r="Z33" i="42" s="1"/>
  <c r="L33" i="42"/>
  <c r="N33" i="42" s="1"/>
  <c r="B33" i="42"/>
  <c r="Z32" i="42"/>
  <c r="X32" i="42"/>
  <c r="N32" i="42"/>
  <c r="L32" i="42"/>
  <c r="B32" i="42"/>
  <c r="X31" i="42"/>
  <c r="Z31" i="42" s="1"/>
  <c r="N31" i="42"/>
  <c r="L31" i="42"/>
  <c r="B31" i="42"/>
  <c r="T30" i="42"/>
  <c r="X30" i="42" s="1"/>
  <c r="Z30" i="42" s="1"/>
  <c r="R30" i="42"/>
  <c r="P30" i="42"/>
  <c r="N30" i="42"/>
  <c r="L30" i="42"/>
  <c r="H30" i="42"/>
  <c r="D30" i="42"/>
  <c r="B30" i="42"/>
  <c r="T29" i="42"/>
  <c r="P29" i="42"/>
  <c r="H29" i="42"/>
  <c r="D29" i="42"/>
  <c r="L29" i="42" s="1"/>
  <c r="P27" i="42"/>
  <c r="X25" i="42"/>
  <c r="Z25" i="42" s="1"/>
  <c r="L25" i="42"/>
  <c r="N25" i="42" s="1"/>
  <c r="B25" i="42"/>
  <c r="Z24" i="42"/>
  <c r="X24" i="42"/>
  <c r="N24" i="42"/>
  <c r="L24" i="42"/>
  <c r="B24" i="42"/>
  <c r="T23" i="42"/>
  <c r="Z23" i="42" s="1"/>
  <c r="P23" i="42"/>
  <c r="X23" i="42" s="1"/>
  <c r="H23" i="42"/>
  <c r="D23" i="42"/>
  <c r="T21" i="42"/>
  <c r="P21" i="42"/>
  <c r="X21" i="42" s="1"/>
  <c r="Z21" i="42" s="1"/>
  <c r="H21" i="42"/>
  <c r="D21" i="42"/>
  <c r="L21" i="42" s="1"/>
  <c r="B21" i="42"/>
  <c r="T20" i="42"/>
  <c r="P20" i="42"/>
  <c r="H20" i="42"/>
  <c r="D20" i="42"/>
  <c r="B20" i="42"/>
  <c r="X19" i="42"/>
  <c r="T19" i="42"/>
  <c r="P19" i="42"/>
  <c r="L19" i="42"/>
  <c r="H19" i="42"/>
  <c r="N19" i="42" s="1"/>
  <c r="D19" i="42"/>
  <c r="B19" i="42"/>
  <c r="T18" i="42"/>
  <c r="P18" i="42"/>
  <c r="H18" i="42"/>
  <c r="L18" i="42" s="1"/>
  <c r="D18" i="42"/>
  <c r="B18" i="42"/>
  <c r="T17" i="42"/>
  <c r="P17" i="42"/>
  <c r="X17" i="42" s="1"/>
  <c r="Z17" i="42" s="1"/>
  <c r="L17" i="42"/>
  <c r="H17" i="42"/>
  <c r="N17" i="42" s="1"/>
  <c r="D17" i="42"/>
  <c r="B17" i="42"/>
  <c r="T16" i="42"/>
  <c r="P16" i="42"/>
  <c r="H16" i="42"/>
  <c r="D16" i="42"/>
  <c r="B16" i="42"/>
  <c r="T15" i="42"/>
  <c r="P15" i="42"/>
  <c r="X15" i="42" s="1"/>
  <c r="L15" i="42"/>
  <c r="H15" i="42"/>
  <c r="D15" i="42"/>
  <c r="B15" i="42"/>
  <c r="T14" i="42"/>
  <c r="P14" i="42"/>
  <c r="H14" i="42"/>
  <c r="D14" i="42"/>
  <c r="B14" i="42"/>
  <c r="T13" i="42"/>
  <c r="P13" i="42"/>
  <c r="P12" i="42" s="1"/>
  <c r="R99" i="42" s="1"/>
  <c r="H13" i="42"/>
  <c r="D13" i="42"/>
  <c r="B13" i="42"/>
  <c r="D4" i="42"/>
  <c r="X122" i="39"/>
  <c r="Z122" i="39" s="1"/>
  <c r="N122" i="39"/>
  <c r="L122" i="39"/>
  <c r="X118" i="39"/>
  <c r="T118" i="39"/>
  <c r="P118" i="39"/>
  <c r="L118" i="39"/>
  <c r="H118" i="39"/>
  <c r="N118" i="39" s="1"/>
  <c r="D118" i="39"/>
  <c r="B118" i="39"/>
  <c r="Z117" i="39"/>
  <c r="T117" i="39"/>
  <c r="X117" i="39" s="1"/>
  <c r="P117" i="39"/>
  <c r="N117" i="39"/>
  <c r="L117" i="39"/>
  <c r="H117" i="39"/>
  <c r="D117" i="39"/>
  <c r="B117" i="39"/>
  <c r="T116" i="39"/>
  <c r="P116" i="39"/>
  <c r="H116" i="39"/>
  <c r="D116" i="39"/>
  <c r="B116" i="39"/>
  <c r="Z113" i="39"/>
  <c r="X113" i="39"/>
  <c r="N113" i="39"/>
  <c r="L113" i="39"/>
  <c r="B113" i="39"/>
  <c r="T112" i="39"/>
  <c r="P112" i="39"/>
  <c r="L112" i="39"/>
  <c r="H112" i="39"/>
  <c r="D112" i="39"/>
  <c r="B112" i="39"/>
  <c r="Z111" i="39"/>
  <c r="X111" i="39"/>
  <c r="V111" i="39"/>
  <c r="N111" i="39"/>
  <c r="L111" i="39"/>
  <c r="B111" i="39"/>
  <c r="X110" i="39"/>
  <c r="Z110" i="39" s="1"/>
  <c r="L110" i="39"/>
  <c r="N110" i="39" s="1"/>
  <c r="B110" i="39"/>
  <c r="Z109" i="39"/>
  <c r="X109" i="39"/>
  <c r="N109" i="39"/>
  <c r="L109" i="39"/>
  <c r="B109" i="39"/>
  <c r="X108" i="39"/>
  <c r="T108" i="39"/>
  <c r="P108" i="39"/>
  <c r="H108" i="39"/>
  <c r="D108" i="39"/>
  <c r="L108" i="39" s="1"/>
  <c r="B108" i="39"/>
  <c r="Z107" i="39"/>
  <c r="X107" i="39"/>
  <c r="V107" i="39"/>
  <c r="L107" i="39"/>
  <c r="N107" i="39" s="1"/>
  <c r="B107" i="39"/>
  <c r="T106" i="39"/>
  <c r="P106" i="39"/>
  <c r="H106" i="39"/>
  <c r="N106" i="39" s="1"/>
  <c r="D106" i="39"/>
  <c r="L106" i="39" s="1"/>
  <c r="B106" i="39"/>
  <c r="Z105" i="39"/>
  <c r="X105" i="39"/>
  <c r="N105" i="39"/>
  <c r="L105" i="39"/>
  <c r="B105" i="39"/>
  <c r="T104" i="39"/>
  <c r="P104" i="39"/>
  <c r="L104" i="39"/>
  <c r="H104" i="39"/>
  <c r="D104" i="39"/>
  <c r="B104" i="39"/>
  <c r="Z103" i="39"/>
  <c r="X103" i="39"/>
  <c r="V103" i="39"/>
  <c r="N103" i="39"/>
  <c r="L103" i="39"/>
  <c r="B103" i="39"/>
  <c r="X102" i="39"/>
  <c r="Z102" i="39" s="1"/>
  <c r="L102" i="39"/>
  <c r="N102" i="39" s="1"/>
  <c r="B102" i="39"/>
  <c r="Z101" i="39"/>
  <c r="X101" i="39"/>
  <c r="N101" i="39"/>
  <c r="L101" i="39"/>
  <c r="B101" i="39"/>
  <c r="X100" i="39"/>
  <c r="Z100" i="39" s="1"/>
  <c r="N100" i="39"/>
  <c r="L100" i="39"/>
  <c r="B100" i="39"/>
  <c r="Z99" i="39"/>
  <c r="X99" i="39"/>
  <c r="N99" i="39"/>
  <c r="L99" i="39"/>
  <c r="B99" i="39"/>
  <c r="X98" i="39"/>
  <c r="Z98" i="39" s="1"/>
  <c r="L98" i="39"/>
  <c r="N98" i="39" s="1"/>
  <c r="B98" i="39"/>
  <c r="Z97" i="39"/>
  <c r="X97" i="39"/>
  <c r="N97" i="39"/>
  <c r="L97" i="39"/>
  <c r="B97" i="39"/>
  <c r="X96" i="39"/>
  <c r="Z96" i="39" s="1"/>
  <c r="N96" i="39"/>
  <c r="L96" i="39"/>
  <c r="B96" i="39"/>
  <c r="T95" i="39"/>
  <c r="X95" i="39" s="1"/>
  <c r="Z95" i="39" s="1"/>
  <c r="P95" i="39"/>
  <c r="N95" i="39"/>
  <c r="L95" i="39"/>
  <c r="H95" i="39"/>
  <c r="D95" i="39"/>
  <c r="B95" i="39"/>
  <c r="X94" i="39"/>
  <c r="Z94" i="39" s="1"/>
  <c r="L94" i="39"/>
  <c r="N94" i="39" s="1"/>
  <c r="B94" i="39"/>
  <c r="Z93" i="39"/>
  <c r="X93" i="39"/>
  <c r="V93" i="39"/>
  <c r="N93" i="39"/>
  <c r="L93" i="39"/>
  <c r="B93" i="39"/>
  <c r="T92" i="39"/>
  <c r="P92" i="39"/>
  <c r="X92" i="39" s="1"/>
  <c r="H92" i="39"/>
  <c r="D92" i="39"/>
  <c r="L92" i="39" s="1"/>
  <c r="B92" i="39"/>
  <c r="X91" i="39"/>
  <c r="Z91" i="39" s="1"/>
  <c r="N91" i="39"/>
  <c r="L91" i="39"/>
  <c r="B91" i="39"/>
  <c r="X90" i="39"/>
  <c r="Z90" i="39" s="1"/>
  <c r="L90" i="39"/>
  <c r="N90" i="39" s="1"/>
  <c r="B90" i="39"/>
  <c r="Z89" i="39"/>
  <c r="X89" i="39"/>
  <c r="N89" i="39"/>
  <c r="L89" i="39"/>
  <c r="B89" i="39"/>
  <c r="X88" i="39"/>
  <c r="Z88" i="39" s="1"/>
  <c r="N88" i="39"/>
  <c r="L88" i="39"/>
  <c r="B88" i="39"/>
  <c r="X87" i="39"/>
  <c r="Z87" i="39" s="1"/>
  <c r="N87" i="39"/>
  <c r="L87" i="39"/>
  <c r="F87" i="39"/>
  <c r="B87" i="39"/>
  <c r="X86" i="39"/>
  <c r="T86" i="39"/>
  <c r="Z86" i="39" s="1"/>
  <c r="P86" i="39"/>
  <c r="L86" i="39"/>
  <c r="H86" i="39"/>
  <c r="D86" i="39"/>
  <c r="B86" i="39"/>
  <c r="Z85" i="39"/>
  <c r="X85" i="39"/>
  <c r="N85" i="39"/>
  <c r="L85" i="39"/>
  <c r="B85" i="39"/>
  <c r="X84" i="39"/>
  <c r="Z84" i="39" s="1"/>
  <c r="N84" i="39"/>
  <c r="L84" i="39"/>
  <c r="B84" i="39"/>
  <c r="Z83" i="39"/>
  <c r="V83" i="39"/>
  <c r="T83" i="39"/>
  <c r="X83" i="39" s="1"/>
  <c r="P83" i="39"/>
  <c r="N83" i="39"/>
  <c r="L83" i="39"/>
  <c r="H83" i="39"/>
  <c r="D83" i="39"/>
  <c r="B83" i="39"/>
  <c r="X82" i="39"/>
  <c r="Z82" i="39" s="1"/>
  <c r="V82" i="39"/>
  <c r="L82" i="39"/>
  <c r="N82" i="39" s="1"/>
  <c r="B82" i="39"/>
  <c r="Z81" i="39"/>
  <c r="X81" i="39"/>
  <c r="L81" i="39"/>
  <c r="N81" i="39" s="1"/>
  <c r="B81" i="39"/>
  <c r="T80" i="39"/>
  <c r="P80" i="39"/>
  <c r="X80" i="39" s="1"/>
  <c r="L80" i="39"/>
  <c r="H80" i="39"/>
  <c r="D80" i="39"/>
  <c r="B80" i="39"/>
  <c r="X79" i="39"/>
  <c r="Z79" i="39" s="1"/>
  <c r="N79" i="39"/>
  <c r="L79" i="39"/>
  <c r="B79" i="39"/>
  <c r="X78" i="39"/>
  <c r="T78" i="39"/>
  <c r="P78" i="39"/>
  <c r="L78" i="39"/>
  <c r="H78" i="39"/>
  <c r="D78" i="39"/>
  <c r="B78" i="39"/>
  <c r="Z77" i="39"/>
  <c r="X77" i="39"/>
  <c r="N77" i="39"/>
  <c r="L77" i="39"/>
  <c r="B77" i="39"/>
  <c r="X76" i="39"/>
  <c r="Z76" i="39" s="1"/>
  <c r="T76" i="39"/>
  <c r="P76" i="39"/>
  <c r="H76" i="39"/>
  <c r="D76" i="39"/>
  <c r="L76" i="39" s="1"/>
  <c r="B76" i="39"/>
  <c r="Z75" i="39"/>
  <c r="X75" i="39"/>
  <c r="V75" i="39"/>
  <c r="L75" i="39"/>
  <c r="N75" i="39" s="1"/>
  <c r="B75" i="39"/>
  <c r="T74" i="39"/>
  <c r="P74" i="39"/>
  <c r="X74" i="39" s="1"/>
  <c r="H74" i="39"/>
  <c r="D74" i="39"/>
  <c r="L74" i="39" s="1"/>
  <c r="B74" i="39"/>
  <c r="X73" i="39"/>
  <c r="Z73" i="39" s="1"/>
  <c r="N73" i="39"/>
  <c r="L73" i="39"/>
  <c r="B73" i="39"/>
  <c r="X72" i="39"/>
  <c r="T72" i="39"/>
  <c r="P72" i="39"/>
  <c r="H72" i="39"/>
  <c r="N72" i="39" s="1"/>
  <c r="F72" i="39"/>
  <c r="D72" i="39"/>
  <c r="L72" i="39" s="1"/>
  <c r="B72" i="39"/>
  <c r="Z71" i="39"/>
  <c r="X71" i="39"/>
  <c r="N71" i="39"/>
  <c r="L71" i="39"/>
  <c r="B71" i="39"/>
  <c r="X70" i="39"/>
  <c r="Z70" i="39" s="1"/>
  <c r="T70" i="39"/>
  <c r="P70" i="39"/>
  <c r="L70" i="39"/>
  <c r="N70" i="39" s="1"/>
  <c r="H70" i="39"/>
  <c r="D70" i="39"/>
  <c r="B70" i="39"/>
  <c r="Z69" i="39"/>
  <c r="X69" i="39"/>
  <c r="V69" i="39"/>
  <c r="N69" i="39"/>
  <c r="L69" i="39"/>
  <c r="B69" i="39"/>
  <c r="X68" i="39"/>
  <c r="T68" i="39"/>
  <c r="P68" i="39"/>
  <c r="H68" i="39"/>
  <c r="D68" i="39"/>
  <c r="L68" i="39" s="1"/>
  <c r="B68" i="39"/>
  <c r="Z67" i="39"/>
  <c r="X67" i="39"/>
  <c r="L67" i="39"/>
  <c r="N67" i="39" s="1"/>
  <c r="B67" i="39"/>
  <c r="X66" i="39"/>
  <c r="V66" i="39"/>
  <c r="T66" i="39"/>
  <c r="P66" i="39"/>
  <c r="H66" i="39"/>
  <c r="D66" i="39"/>
  <c r="L66" i="39" s="1"/>
  <c r="B66" i="39"/>
  <c r="X65" i="39"/>
  <c r="Z65" i="39" s="1"/>
  <c r="V65" i="39"/>
  <c r="N65" i="39"/>
  <c r="L65" i="39"/>
  <c r="B65" i="39"/>
  <c r="T64" i="39"/>
  <c r="P64" i="39"/>
  <c r="X64" i="39" s="1"/>
  <c r="N64" i="39"/>
  <c r="L64" i="39"/>
  <c r="H64" i="39"/>
  <c r="D64" i="39"/>
  <c r="B64" i="39"/>
  <c r="Z63" i="39"/>
  <c r="X63" i="39"/>
  <c r="L63" i="39"/>
  <c r="N63" i="39" s="1"/>
  <c r="B63" i="39"/>
  <c r="X62" i="39"/>
  <c r="Z62" i="39" s="1"/>
  <c r="L62" i="39"/>
  <c r="N62" i="39" s="1"/>
  <c r="B62" i="39"/>
  <c r="Z61" i="39"/>
  <c r="X61" i="39"/>
  <c r="V61" i="39"/>
  <c r="L61" i="39"/>
  <c r="N61" i="39" s="1"/>
  <c r="B61" i="39"/>
  <c r="T60" i="39"/>
  <c r="Z60" i="39" s="1"/>
  <c r="P60" i="39"/>
  <c r="X60" i="39" s="1"/>
  <c r="N60" i="39"/>
  <c r="L60" i="39"/>
  <c r="H60" i="39"/>
  <c r="D60" i="39"/>
  <c r="B60" i="39"/>
  <c r="X59" i="39"/>
  <c r="Z59" i="39" s="1"/>
  <c r="L59" i="39"/>
  <c r="N59" i="39" s="1"/>
  <c r="B59" i="39"/>
  <c r="T58" i="39"/>
  <c r="P58" i="39"/>
  <c r="X58" i="39" s="1"/>
  <c r="Z58" i="39" s="1"/>
  <c r="H58" i="39"/>
  <c r="D58" i="39"/>
  <c r="L58" i="39" s="1"/>
  <c r="B58" i="39"/>
  <c r="X57" i="39"/>
  <c r="Z57" i="39" s="1"/>
  <c r="L57" i="39"/>
  <c r="N57" i="39" s="1"/>
  <c r="F57" i="39"/>
  <c r="B57" i="39"/>
  <c r="Z56" i="39"/>
  <c r="X56" i="39"/>
  <c r="T56" i="39"/>
  <c r="P56" i="39"/>
  <c r="H56" i="39"/>
  <c r="D56" i="39"/>
  <c r="L56" i="39" s="1"/>
  <c r="B56" i="39"/>
  <c r="X55" i="39"/>
  <c r="Z55" i="39" s="1"/>
  <c r="L55" i="39"/>
  <c r="N55" i="39" s="1"/>
  <c r="B55" i="39"/>
  <c r="X54" i="39"/>
  <c r="Z54" i="39" s="1"/>
  <c r="T54" i="39"/>
  <c r="P54" i="39"/>
  <c r="H54" i="39"/>
  <c r="D54" i="39"/>
  <c r="L54" i="39" s="1"/>
  <c r="N54" i="39" s="1"/>
  <c r="B54" i="39"/>
  <c r="Z53" i="39"/>
  <c r="X53" i="39"/>
  <c r="L53" i="39"/>
  <c r="N53" i="39" s="1"/>
  <c r="B53" i="39"/>
  <c r="Z52" i="39"/>
  <c r="X52" i="39"/>
  <c r="V52" i="39"/>
  <c r="R52" i="39"/>
  <c r="N52" i="39"/>
  <c r="L52" i="39"/>
  <c r="B52" i="39"/>
  <c r="X51" i="39"/>
  <c r="Z51" i="39" s="1"/>
  <c r="L51" i="39"/>
  <c r="N51" i="39" s="1"/>
  <c r="B51" i="39"/>
  <c r="Z50" i="39"/>
  <c r="X50" i="39"/>
  <c r="L50" i="39"/>
  <c r="N50" i="39" s="1"/>
  <c r="B50" i="39"/>
  <c r="Z49" i="39"/>
  <c r="X49" i="39"/>
  <c r="L49" i="39"/>
  <c r="N49" i="39" s="1"/>
  <c r="B49" i="39"/>
  <c r="Z48" i="39"/>
  <c r="X48" i="39"/>
  <c r="V48" i="39"/>
  <c r="N48" i="39"/>
  <c r="L48" i="39"/>
  <c r="B48" i="39"/>
  <c r="X47" i="39"/>
  <c r="Z47" i="39" s="1"/>
  <c r="L47" i="39"/>
  <c r="N47" i="39" s="1"/>
  <c r="B47" i="39"/>
  <c r="T46" i="39"/>
  <c r="P46" i="39"/>
  <c r="X46" i="39" s="1"/>
  <c r="Z46" i="39" s="1"/>
  <c r="H46" i="39"/>
  <c r="D46" i="39"/>
  <c r="L46" i="39" s="1"/>
  <c r="B46" i="39"/>
  <c r="X45" i="39"/>
  <c r="Z45" i="39" s="1"/>
  <c r="L45" i="39"/>
  <c r="N45" i="39" s="1"/>
  <c r="F45" i="39"/>
  <c r="B45" i="39"/>
  <c r="Z44" i="39"/>
  <c r="X44" i="39"/>
  <c r="N44" i="39"/>
  <c r="L44" i="39"/>
  <c r="B44" i="39"/>
  <c r="X43" i="39"/>
  <c r="Z43" i="39" s="1"/>
  <c r="V43" i="39"/>
  <c r="L43" i="39"/>
  <c r="N43" i="39" s="1"/>
  <c r="B43" i="39"/>
  <c r="X42" i="39"/>
  <c r="Z42" i="39" s="1"/>
  <c r="L42" i="39"/>
  <c r="N42" i="39" s="1"/>
  <c r="B42" i="39"/>
  <c r="X41" i="39"/>
  <c r="Z41" i="39" s="1"/>
  <c r="L41" i="39"/>
  <c r="N41" i="39" s="1"/>
  <c r="F41" i="39"/>
  <c r="B41" i="39"/>
  <c r="Z40" i="39"/>
  <c r="X40" i="39"/>
  <c r="N40" i="39"/>
  <c r="L40" i="39"/>
  <c r="B40" i="39"/>
  <c r="X39" i="39"/>
  <c r="Z39" i="39" s="1"/>
  <c r="V39" i="39"/>
  <c r="L39" i="39"/>
  <c r="N39" i="39" s="1"/>
  <c r="B39" i="39"/>
  <c r="X38" i="39"/>
  <c r="Z38" i="39" s="1"/>
  <c r="L38" i="39"/>
  <c r="N38" i="39" s="1"/>
  <c r="B38" i="39"/>
  <c r="X37" i="39"/>
  <c r="Z37" i="39" s="1"/>
  <c r="L37" i="39"/>
  <c r="N37" i="39" s="1"/>
  <c r="F37" i="39"/>
  <c r="B37" i="39"/>
  <c r="Z36" i="39"/>
  <c r="X36" i="39"/>
  <c r="T36" i="39"/>
  <c r="P36" i="39"/>
  <c r="H36" i="39"/>
  <c r="D36" i="39"/>
  <c r="L36" i="39" s="1"/>
  <c r="B36" i="39"/>
  <c r="T35" i="39"/>
  <c r="P35" i="39"/>
  <c r="H35" i="39"/>
  <c r="F35" i="39"/>
  <c r="D35" i="39"/>
  <c r="X31" i="39"/>
  <c r="Z31" i="39" s="1"/>
  <c r="L31" i="39"/>
  <c r="N31" i="39" s="1"/>
  <c r="B31" i="39"/>
  <c r="Z30" i="39"/>
  <c r="X30" i="39"/>
  <c r="N30" i="39"/>
  <c r="L30" i="39"/>
  <c r="B30" i="39"/>
  <c r="T29" i="39"/>
  <c r="R29" i="39"/>
  <c r="P29" i="39"/>
  <c r="H29" i="39"/>
  <c r="D29" i="39"/>
  <c r="T27" i="39"/>
  <c r="P27" i="39"/>
  <c r="X27" i="39" s="1"/>
  <c r="Z27" i="39" s="1"/>
  <c r="N27" i="39"/>
  <c r="L27" i="39"/>
  <c r="H27" i="39"/>
  <c r="D27" i="39"/>
  <c r="B27" i="39"/>
  <c r="T26" i="39"/>
  <c r="P26" i="39"/>
  <c r="X26" i="39" s="1"/>
  <c r="Z26" i="39" s="1"/>
  <c r="H26" i="39"/>
  <c r="D26" i="39"/>
  <c r="B26" i="39"/>
  <c r="T25" i="39"/>
  <c r="P25" i="39"/>
  <c r="X25" i="39" s="1"/>
  <c r="Z25" i="39" s="1"/>
  <c r="H25" i="39"/>
  <c r="N25" i="39" s="1"/>
  <c r="D25" i="39"/>
  <c r="L25" i="39" s="1"/>
  <c r="B25" i="39"/>
  <c r="X24" i="39"/>
  <c r="Z24" i="39" s="1"/>
  <c r="T24" i="39"/>
  <c r="P24" i="39"/>
  <c r="H24" i="39"/>
  <c r="N24" i="39" s="1"/>
  <c r="D24" i="39"/>
  <c r="L24" i="39" s="1"/>
  <c r="B24" i="39"/>
  <c r="T23" i="39"/>
  <c r="P23" i="39"/>
  <c r="X23" i="39" s="1"/>
  <c r="Z23" i="39" s="1"/>
  <c r="N23" i="39"/>
  <c r="L23" i="39"/>
  <c r="H23" i="39"/>
  <c r="D23" i="39"/>
  <c r="B23" i="39"/>
  <c r="T22" i="39"/>
  <c r="P22" i="39"/>
  <c r="X22" i="39" s="1"/>
  <c r="Z22" i="39" s="1"/>
  <c r="H22" i="39"/>
  <c r="D22" i="39"/>
  <c r="B22" i="39"/>
  <c r="T21" i="39"/>
  <c r="P21" i="39"/>
  <c r="X21" i="39" s="1"/>
  <c r="Z21" i="39" s="1"/>
  <c r="H21" i="39"/>
  <c r="N21" i="39" s="1"/>
  <c r="D21" i="39"/>
  <c r="L21" i="39" s="1"/>
  <c r="B21" i="39"/>
  <c r="X20" i="39"/>
  <c r="Z20" i="39" s="1"/>
  <c r="T20" i="39"/>
  <c r="P20" i="39"/>
  <c r="H20" i="39"/>
  <c r="D20" i="39"/>
  <c r="B20" i="39"/>
  <c r="T19" i="39"/>
  <c r="P19" i="39"/>
  <c r="X19" i="39" s="1"/>
  <c r="Z19" i="39" s="1"/>
  <c r="N19" i="39"/>
  <c r="L19" i="39"/>
  <c r="H19" i="39"/>
  <c r="D19" i="39"/>
  <c r="B19" i="39"/>
  <c r="T18" i="39"/>
  <c r="P18" i="39"/>
  <c r="X18" i="39" s="1"/>
  <c r="Z18" i="39" s="1"/>
  <c r="H18" i="39"/>
  <c r="D18" i="39"/>
  <c r="B18" i="39"/>
  <c r="T17" i="39"/>
  <c r="P17" i="39"/>
  <c r="X17" i="39" s="1"/>
  <c r="Z17" i="39" s="1"/>
  <c r="H17" i="39"/>
  <c r="N17" i="39" s="1"/>
  <c r="D17" i="39"/>
  <c r="L17" i="39" s="1"/>
  <c r="B17" i="39"/>
  <c r="X16" i="39"/>
  <c r="Z16" i="39" s="1"/>
  <c r="T16" i="39"/>
  <c r="P16" i="39"/>
  <c r="H16" i="39"/>
  <c r="D16" i="39"/>
  <c r="B16" i="39"/>
  <c r="T15" i="39"/>
  <c r="P15" i="39"/>
  <c r="X15" i="39" s="1"/>
  <c r="Z15" i="39" s="1"/>
  <c r="N15" i="39"/>
  <c r="L15" i="39"/>
  <c r="H15" i="39"/>
  <c r="D15" i="39"/>
  <c r="B15" i="39"/>
  <c r="T14" i="39"/>
  <c r="P14" i="39"/>
  <c r="X14" i="39" s="1"/>
  <c r="Z14" i="39" s="1"/>
  <c r="H14" i="39"/>
  <c r="D14" i="39"/>
  <c r="B14" i="39"/>
  <c r="T13" i="39"/>
  <c r="P13" i="39"/>
  <c r="P12" i="39" s="1"/>
  <c r="R48" i="39" s="1"/>
  <c r="H13" i="39"/>
  <c r="D13" i="39"/>
  <c r="D12" i="39" s="1"/>
  <c r="B13" i="39"/>
  <c r="T12" i="39"/>
  <c r="V53" i="39" s="1"/>
  <c r="D4" i="39"/>
  <c r="X114" i="36"/>
  <c r="Z114" i="36" s="1"/>
  <c r="L114" i="36"/>
  <c r="N114" i="36" s="1"/>
  <c r="T110" i="36"/>
  <c r="P110" i="36"/>
  <c r="X110" i="36" s="1"/>
  <c r="H110" i="36"/>
  <c r="D110" i="36"/>
  <c r="L110" i="36" s="1"/>
  <c r="N110" i="36" s="1"/>
  <c r="B110" i="36"/>
  <c r="T109" i="36"/>
  <c r="P109" i="36"/>
  <c r="X109" i="36" s="1"/>
  <c r="Z109" i="36" s="1"/>
  <c r="N109" i="36"/>
  <c r="L109" i="36"/>
  <c r="H109" i="36"/>
  <c r="D109" i="36"/>
  <c r="B109" i="36"/>
  <c r="T108" i="36"/>
  <c r="P108" i="36"/>
  <c r="P107" i="36" s="1"/>
  <c r="X107" i="36" s="1"/>
  <c r="H108" i="36"/>
  <c r="D108" i="36"/>
  <c r="B108" i="36"/>
  <c r="T107" i="36"/>
  <c r="Z105" i="36"/>
  <c r="X105" i="36"/>
  <c r="N105" i="36"/>
  <c r="L105" i="36"/>
  <c r="B105" i="36"/>
  <c r="T104" i="36"/>
  <c r="P104" i="36"/>
  <c r="X104" i="36" s="1"/>
  <c r="H104" i="36"/>
  <c r="D104" i="36"/>
  <c r="L104" i="36" s="1"/>
  <c r="N104" i="36" s="1"/>
  <c r="B104" i="36"/>
  <c r="Z103" i="36"/>
  <c r="X103" i="36"/>
  <c r="L103" i="36"/>
  <c r="N103" i="36" s="1"/>
  <c r="B103" i="36"/>
  <c r="X102" i="36"/>
  <c r="Z102" i="36" s="1"/>
  <c r="L102" i="36"/>
  <c r="N102" i="36" s="1"/>
  <c r="B102" i="36"/>
  <c r="Z101" i="36"/>
  <c r="X101" i="36"/>
  <c r="N101" i="36"/>
  <c r="L101" i="36"/>
  <c r="B101" i="36"/>
  <c r="X100" i="36"/>
  <c r="T100" i="36"/>
  <c r="Z100" i="36" s="1"/>
  <c r="P100" i="36"/>
  <c r="L100" i="36"/>
  <c r="H100" i="36"/>
  <c r="N100" i="36" s="1"/>
  <c r="D100" i="36"/>
  <c r="B100" i="36"/>
  <c r="Z99" i="36"/>
  <c r="X99" i="36"/>
  <c r="N99" i="36"/>
  <c r="L99" i="36"/>
  <c r="B99" i="36"/>
  <c r="T98" i="36"/>
  <c r="P98" i="36"/>
  <c r="H98" i="36"/>
  <c r="D98" i="36"/>
  <c r="B98" i="36"/>
  <c r="Z97" i="36"/>
  <c r="X97" i="36"/>
  <c r="N97" i="36"/>
  <c r="L97" i="36"/>
  <c r="B97" i="36"/>
  <c r="T96" i="36"/>
  <c r="Z96" i="36" s="1"/>
  <c r="P96" i="36"/>
  <c r="X96" i="36" s="1"/>
  <c r="N96" i="36"/>
  <c r="H96" i="36"/>
  <c r="D96" i="36"/>
  <c r="L96" i="36" s="1"/>
  <c r="B96" i="36"/>
  <c r="Z95" i="36"/>
  <c r="X95" i="36"/>
  <c r="L95" i="36"/>
  <c r="N95" i="36" s="1"/>
  <c r="B95" i="36"/>
  <c r="X94" i="36"/>
  <c r="Z94" i="36" s="1"/>
  <c r="L94" i="36"/>
  <c r="N94" i="36" s="1"/>
  <c r="B94" i="36"/>
  <c r="Z93" i="36"/>
  <c r="X93" i="36"/>
  <c r="N93" i="36"/>
  <c r="L93" i="36"/>
  <c r="B93" i="36"/>
  <c r="X92" i="36"/>
  <c r="Z92" i="36" s="1"/>
  <c r="L92" i="36"/>
  <c r="N92" i="36" s="1"/>
  <c r="B92" i="36"/>
  <c r="Z91" i="36"/>
  <c r="X91" i="36"/>
  <c r="L91" i="36"/>
  <c r="N91" i="36" s="1"/>
  <c r="B91" i="36"/>
  <c r="X90" i="36"/>
  <c r="Z90" i="36" s="1"/>
  <c r="L90" i="36"/>
  <c r="N90" i="36" s="1"/>
  <c r="B90" i="36"/>
  <c r="Z89" i="36"/>
  <c r="X89" i="36"/>
  <c r="N89" i="36"/>
  <c r="L89" i="36"/>
  <c r="B89" i="36"/>
  <c r="X88" i="36"/>
  <c r="Z88" i="36" s="1"/>
  <c r="L88" i="36"/>
  <c r="N88" i="36" s="1"/>
  <c r="B88" i="36"/>
  <c r="T87" i="36"/>
  <c r="P87" i="36"/>
  <c r="X87" i="36" s="1"/>
  <c r="Z87" i="36" s="1"/>
  <c r="N87" i="36"/>
  <c r="L87" i="36"/>
  <c r="H87" i="36"/>
  <c r="D87" i="36"/>
  <c r="B87" i="36"/>
  <c r="X86" i="36"/>
  <c r="Z86" i="36" s="1"/>
  <c r="N86" i="36"/>
  <c r="L86" i="36"/>
  <c r="B86" i="36"/>
  <c r="T85" i="36"/>
  <c r="P85" i="36"/>
  <c r="X85" i="36" s="1"/>
  <c r="Z85" i="36" s="1"/>
  <c r="L85" i="36"/>
  <c r="N85" i="36" s="1"/>
  <c r="H85" i="36"/>
  <c r="D85" i="36"/>
  <c r="B85" i="36"/>
  <c r="X84" i="36"/>
  <c r="Z84" i="36" s="1"/>
  <c r="L84" i="36"/>
  <c r="N84" i="36" s="1"/>
  <c r="B84" i="36"/>
  <c r="Z83" i="36"/>
  <c r="X83" i="36"/>
  <c r="N83" i="36"/>
  <c r="L83" i="36"/>
  <c r="B83" i="36"/>
  <c r="Z82" i="36"/>
  <c r="X82" i="36"/>
  <c r="L82" i="36"/>
  <c r="N82" i="36" s="1"/>
  <c r="B82" i="36"/>
  <c r="Z81" i="36"/>
  <c r="X81" i="36"/>
  <c r="R81" i="36"/>
  <c r="N81" i="36"/>
  <c r="L81" i="36"/>
  <c r="B81" i="36"/>
  <c r="X80" i="36"/>
  <c r="Z80" i="36" s="1"/>
  <c r="L80" i="36"/>
  <c r="N80" i="36" s="1"/>
  <c r="B80" i="36"/>
  <c r="T79" i="36"/>
  <c r="P79" i="36"/>
  <c r="X79" i="36" s="1"/>
  <c r="Z79" i="36" s="1"/>
  <c r="H79" i="36"/>
  <c r="D79" i="36"/>
  <c r="B79" i="36"/>
  <c r="X78" i="36"/>
  <c r="Z78" i="36" s="1"/>
  <c r="L78" i="36"/>
  <c r="N78" i="36" s="1"/>
  <c r="B78" i="36"/>
  <c r="Z77" i="36"/>
  <c r="X77" i="36"/>
  <c r="N77" i="36"/>
  <c r="L77" i="36"/>
  <c r="B77" i="36"/>
  <c r="X76" i="36"/>
  <c r="T76" i="36"/>
  <c r="P76" i="36"/>
  <c r="H76" i="36"/>
  <c r="D76" i="36"/>
  <c r="L76" i="36" s="1"/>
  <c r="B76" i="36"/>
  <c r="Z75" i="36"/>
  <c r="X75" i="36"/>
  <c r="N75" i="36"/>
  <c r="L75" i="36"/>
  <c r="B75" i="36"/>
  <c r="X74" i="36"/>
  <c r="Z74" i="36" s="1"/>
  <c r="N74" i="36"/>
  <c r="L74" i="36"/>
  <c r="B74" i="36"/>
  <c r="T73" i="36"/>
  <c r="P73" i="36"/>
  <c r="X73" i="36" s="1"/>
  <c r="Z73" i="36" s="1"/>
  <c r="L73" i="36"/>
  <c r="N73" i="36" s="1"/>
  <c r="H73" i="36"/>
  <c r="D73" i="36"/>
  <c r="B73" i="36"/>
  <c r="X72" i="36"/>
  <c r="Z72" i="36" s="1"/>
  <c r="L72" i="36"/>
  <c r="N72" i="36" s="1"/>
  <c r="B72" i="36"/>
  <c r="T71" i="36"/>
  <c r="P71" i="36"/>
  <c r="X71" i="36" s="1"/>
  <c r="Z71" i="36" s="1"/>
  <c r="N71" i="36"/>
  <c r="H71" i="36"/>
  <c r="L71" i="36" s="1"/>
  <c r="D71" i="36"/>
  <c r="B71" i="36"/>
  <c r="X70" i="36"/>
  <c r="Z70" i="36" s="1"/>
  <c r="L70" i="36"/>
  <c r="N70" i="36" s="1"/>
  <c r="B70" i="36"/>
  <c r="Z69" i="36"/>
  <c r="X69" i="36"/>
  <c r="T69" i="36"/>
  <c r="R69" i="36"/>
  <c r="P69" i="36"/>
  <c r="H69" i="36"/>
  <c r="D69" i="36"/>
  <c r="L69" i="36" s="1"/>
  <c r="N69" i="36" s="1"/>
  <c r="B69" i="36"/>
  <c r="X68" i="36"/>
  <c r="Z68" i="36" s="1"/>
  <c r="L68" i="36"/>
  <c r="N68" i="36" s="1"/>
  <c r="B68" i="36"/>
  <c r="X67" i="36"/>
  <c r="Z67" i="36" s="1"/>
  <c r="T67" i="36"/>
  <c r="P67" i="36"/>
  <c r="N67" i="36"/>
  <c r="H67" i="36"/>
  <c r="D67" i="36"/>
  <c r="L67" i="36" s="1"/>
  <c r="B67" i="36"/>
  <c r="Z66" i="36"/>
  <c r="X66" i="36"/>
  <c r="L66" i="36"/>
  <c r="N66" i="36" s="1"/>
  <c r="B66" i="36"/>
  <c r="T65" i="36"/>
  <c r="P65" i="36"/>
  <c r="H65" i="36"/>
  <c r="D65" i="36"/>
  <c r="L65" i="36" s="1"/>
  <c r="N65" i="36" s="1"/>
  <c r="B65" i="36"/>
  <c r="X64" i="36"/>
  <c r="Z64" i="36" s="1"/>
  <c r="L64" i="36"/>
  <c r="N64" i="36" s="1"/>
  <c r="B64" i="36"/>
  <c r="T63" i="36"/>
  <c r="P63" i="36"/>
  <c r="X63" i="36" s="1"/>
  <c r="Z63" i="36" s="1"/>
  <c r="N63" i="36"/>
  <c r="L63" i="36"/>
  <c r="H63" i="36"/>
  <c r="D63" i="36"/>
  <c r="B63" i="36"/>
  <c r="X62" i="36"/>
  <c r="Z62" i="36" s="1"/>
  <c r="R62" i="36"/>
  <c r="N62" i="36"/>
  <c r="L62" i="36"/>
  <c r="B62" i="36"/>
  <c r="Z61" i="36"/>
  <c r="T61" i="36"/>
  <c r="P61" i="36"/>
  <c r="X61" i="36" s="1"/>
  <c r="L61" i="36"/>
  <c r="N61" i="36" s="1"/>
  <c r="H61" i="36"/>
  <c r="D61" i="36"/>
  <c r="B61" i="36"/>
  <c r="X60" i="36"/>
  <c r="Z60" i="36" s="1"/>
  <c r="R60" i="36"/>
  <c r="L60" i="36"/>
  <c r="N60" i="36" s="1"/>
  <c r="B60" i="36"/>
  <c r="T59" i="36"/>
  <c r="P59" i="36"/>
  <c r="X59" i="36" s="1"/>
  <c r="Z59" i="36" s="1"/>
  <c r="H59" i="36"/>
  <c r="D59" i="36"/>
  <c r="B59" i="36"/>
  <c r="X58" i="36"/>
  <c r="Z58" i="36" s="1"/>
  <c r="L58" i="36"/>
  <c r="N58" i="36" s="1"/>
  <c r="B58" i="36"/>
  <c r="Z57" i="36"/>
  <c r="X57" i="36"/>
  <c r="N57" i="36"/>
  <c r="L57" i="36"/>
  <c r="B57" i="36"/>
  <c r="X56" i="36"/>
  <c r="Z56" i="36" s="1"/>
  <c r="L56" i="36"/>
  <c r="N56" i="36" s="1"/>
  <c r="B56" i="36"/>
  <c r="T55" i="36"/>
  <c r="P55" i="36"/>
  <c r="X55" i="36" s="1"/>
  <c r="Z55" i="36" s="1"/>
  <c r="N55" i="36"/>
  <c r="L55" i="36"/>
  <c r="H55" i="36"/>
  <c r="D55" i="36"/>
  <c r="B55" i="36"/>
  <c r="X54" i="36"/>
  <c r="Z54" i="36" s="1"/>
  <c r="N54" i="36"/>
  <c r="L54" i="36"/>
  <c r="B54" i="36"/>
  <c r="T53" i="36"/>
  <c r="P53" i="36"/>
  <c r="X53" i="36" s="1"/>
  <c r="Z53" i="36" s="1"/>
  <c r="L53" i="36"/>
  <c r="N53" i="36" s="1"/>
  <c r="H53" i="36"/>
  <c r="D53" i="36"/>
  <c r="B53" i="36"/>
  <c r="X52" i="36"/>
  <c r="Z52" i="36" s="1"/>
  <c r="L52" i="36"/>
  <c r="N52" i="36" s="1"/>
  <c r="B52" i="36"/>
  <c r="T51" i="36"/>
  <c r="P51" i="36"/>
  <c r="X51" i="36" s="1"/>
  <c r="Z51" i="36" s="1"/>
  <c r="N51" i="36"/>
  <c r="H51" i="36"/>
  <c r="L51" i="36" s="1"/>
  <c r="D51" i="36"/>
  <c r="B51" i="36"/>
  <c r="X50" i="36"/>
  <c r="Z50" i="36" s="1"/>
  <c r="L50" i="36"/>
  <c r="N50" i="36" s="1"/>
  <c r="B50" i="36"/>
  <c r="Z49" i="36"/>
  <c r="X49" i="36"/>
  <c r="T49" i="36"/>
  <c r="P49" i="36"/>
  <c r="H49" i="36"/>
  <c r="D49" i="36"/>
  <c r="L49" i="36" s="1"/>
  <c r="N49" i="36" s="1"/>
  <c r="B49" i="36"/>
  <c r="X48" i="36"/>
  <c r="Z48" i="36" s="1"/>
  <c r="L48" i="36"/>
  <c r="N48" i="36" s="1"/>
  <c r="B48" i="36"/>
  <c r="X47" i="36"/>
  <c r="Z47" i="36" s="1"/>
  <c r="N47" i="36"/>
  <c r="L47" i="36"/>
  <c r="B47" i="36"/>
  <c r="X46" i="36"/>
  <c r="Z46" i="36" s="1"/>
  <c r="R46" i="36"/>
  <c r="N46" i="36"/>
  <c r="L46" i="36"/>
  <c r="B46" i="36"/>
  <c r="Z45" i="36"/>
  <c r="X45" i="36"/>
  <c r="N45" i="36"/>
  <c r="L45" i="36"/>
  <c r="B45" i="36"/>
  <c r="X44" i="36"/>
  <c r="Z44" i="36" s="1"/>
  <c r="R44" i="36"/>
  <c r="L44" i="36"/>
  <c r="N44" i="36" s="1"/>
  <c r="B44" i="36"/>
  <c r="X43" i="36"/>
  <c r="Z43" i="36" s="1"/>
  <c r="N43" i="36"/>
  <c r="L43" i="36"/>
  <c r="B43" i="36"/>
  <c r="X42" i="36"/>
  <c r="Z42" i="36" s="1"/>
  <c r="R42" i="36"/>
  <c r="N42" i="36"/>
  <c r="L42" i="36"/>
  <c r="B42" i="36"/>
  <c r="Z41" i="36"/>
  <c r="T41" i="36"/>
  <c r="P41" i="36"/>
  <c r="X41" i="36" s="1"/>
  <c r="N41" i="36"/>
  <c r="L41" i="36"/>
  <c r="H41" i="36"/>
  <c r="D41" i="36"/>
  <c r="B41" i="36"/>
  <c r="X40" i="36"/>
  <c r="Z40" i="36" s="1"/>
  <c r="R40" i="36"/>
  <c r="L40" i="36"/>
  <c r="N40" i="36" s="1"/>
  <c r="B40" i="36"/>
  <c r="Z39" i="36"/>
  <c r="X39" i="36"/>
  <c r="N39" i="36"/>
  <c r="L39" i="36"/>
  <c r="B39" i="36"/>
  <c r="Z38" i="36"/>
  <c r="X38" i="36"/>
  <c r="L38" i="36"/>
  <c r="N38" i="36" s="1"/>
  <c r="B38" i="36"/>
  <c r="Z37" i="36"/>
  <c r="X37" i="36"/>
  <c r="N37" i="36"/>
  <c r="L37" i="36"/>
  <c r="B37" i="36"/>
  <c r="X36" i="36"/>
  <c r="Z36" i="36" s="1"/>
  <c r="L36" i="36"/>
  <c r="N36" i="36" s="1"/>
  <c r="B36" i="36"/>
  <c r="Z35" i="36"/>
  <c r="X35" i="36"/>
  <c r="N35" i="36"/>
  <c r="L35" i="36"/>
  <c r="B35" i="36"/>
  <c r="Z34" i="36"/>
  <c r="X34" i="36"/>
  <c r="L34" i="36"/>
  <c r="N34" i="36" s="1"/>
  <c r="B34" i="36"/>
  <c r="Z33" i="36"/>
  <c r="X33" i="36"/>
  <c r="N33" i="36"/>
  <c r="L33" i="36"/>
  <c r="B33" i="36"/>
  <c r="X32" i="36"/>
  <c r="Z32" i="36" s="1"/>
  <c r="L32" i="36"/>
  <c r="N32" i="36" s="1"/>
  <c r="B32" i="36"/>
  <c r="T31" i="36"/>
  <c r="P31" i="36"/>
  <c r="X31" i="36" s="1"/>
  <c r="Z31" i="36" s="1"/>
  <c r="N31" i="36"/>
  <c r="H31" i="36"/>
  <c r="L31" i="36" s="1"/>
  <c r="D31" i="36"/>
  <c r="B31" i="36"/>
  <c r="T30" i="36"/>
  <c r="P30" i="36"/>
  <c r="X30" i="36" s="1"/>
  <c r="H30" i="36"/>
  <c r="D30" i="36"/>
  <c r="L30" i="36" s="1"/>
  <c r="P28" i="36"/>
  <c r="P112" i="36" s="1"/>
  <c r="X26" i="36"/>
  <c r="Z26" i="36" s="1"/>
  <c r="L26" i="36"/>
  <c r="N26" i="36" s="1"/>
  <c r="B26" i="36"/>
  <c r="Z25" i="36"/>
  <c r="X25" i="36"/>
  <c r="N25" i="36"/>
  <c r="L25" i="36"/>
  <c r="B25" i="36"/>
  <c r="T24" i="36"/>
  <c r="P24" i="36"/>
  <c r="X24" i="36" s="1"/>
  <c r="L24" i="36"/>
  <c r="H24" i="36"/>
  <c r="D24" i="36"/>
  <c r="X22" i="36"/>
  <c r="T22" i="36"/>
  <c r="P22" i="36"/>
  <c r="H22" i="36"/>
  <c r="D22" i="36"/>
  <c r="L22" i="36" s="1"/>
  <c r="N22" i="36" s="1"/>
  <c r="B22" i="36"/>
  <c r="T21" i="36"/>
  <c r="X21" i="36" s="1"/>
  <c r="P21" i="36"/>
  <c r="H21" i="36"/>
  <c r="L21" i="36" s="1"/>
  <c r="D21" i="36"/>
  <c r="B21" i="36"/>
  <c r="T20" i="36"/>
  <c r="P20" i="36"/>
  <c r="X20" i="36" s="1"/>
  <c r="Z20" i="36" s="1"/>
  <c r="H20" i="36"/>
  <c r="D20" i="36"/>
  <c r="L20" i="36" s="1"/>
  <c r="N20" i="36" s="1"/>
  <c r="B20" i="36"/>
  <c r="Z19" i="36"/>
  <c r="T19" i="36"/>
  <c r="X19" i="36" s="1"/>
  <c r="P19" i="36"/>
  <c r="H19" i="36"/>
  <c r="D19" i="36"/>
  <c r="B19" i="36"/>
  <c r="X18" i="36"/>
  <c r="T18" i="36"/>
  <c r="P18" i="36"/>
  <c r="H18" i="36"/>
  <c r="D18" i="36"/>
  <c r="L18" i="36" s="1"/>
  <c r="N18" i="36" s="1"/>
  <c r="B18" i="36"/>
  <c r="Z17" i="36"/>
  <c r="T17" i="36"/>
  <c r="X17" i="36" s="1"/>
  <c r="P17" i="36"/>
  <c r="H17" i="36"/>
  <c r="D17" i="36"/>
  <c r="B17" i="36"/>
  <c r="T16" i="36"/>
  <c r="Z16" i="36" s="1"/>
  <c r="P16" i="36"/>
  <c r="X16" i="36" s="1"/>
  <c r="H16" i="36"/>
  <c r="D16" i="36"/>
  <c r="L16" i="36" s="1"/>
  <c r="N16" i="36" s="1"/>
  <c r="B16" i="36"/>
  <c r="Z15" i="36"/>
  <c r="T15" i="36"/>
  <c r="X15" i="36" s="1"/>
  <c r="P15" i="36"/>
  <c r="H15" i="36"/>
  <c r="N15" i="36" s="1"/>
  <c r="D15" i="36"/>
  <c r="L15" i="36" s="1"/>
  <c r="B15" i="36"/>
  <c r="T14" i="36"/>
  <c r="P14" i="36"/>
  <c r="P12" i="36" s="1"/>
  <c r="R98" i="36" s="1"/>
  <c r="H14" i="36"/>
  <c r="D14" i="36"/>
  <c r="L14" i="36" s="1"/>
  <c r="N14" i="36" s="1"/>
  <c r="B14" i="36"/>
  <c r="T13" i="36"/>
  <c r="P13" i="36"/>
  <c r="L13" i="36"/>
  <c r="H13" i="36"/>
  <c r="D13" i="36"/>
  <c r="B13" i="36"/>
  <c r="D4" i="36"/>
  <c r="Z82" i="33"/>
  <c r="X82" i="33"/>
  <c r="N82" i="33"/>
  <c r="L82" i="33"/>
  <c r="T78" i="33"/>
  <c r="P78" i="33"/>
  <c r="X78" i="33" s="1"/>
  <c r="L78" i="33"/>
  <c r="N78" i="33" s="1"/>
  <c r="H78" i="33"/>
  <c r="D78" i="33"/>
  <c r="B78" i="33"/>
  <c r="X77" i="33"/>
  <c r="Z77" i="33" s="1"/>
  <c r="T77" i="33"/>
  <c r="P77" i="33"/>
  <c r="H77" i="33"/>
  <c r="N77" i="33" s="1"/>
  <c r="D77" i="33"/>
  <c r="L77" i="33" s="1"/>
  <c r="B77" i="33"/>
  <c r="X76" i="33"/>
  <c r="T76" i="33"/>
  <c r="P76" i="33"/>
  <c r="N76" i="33"/>
  <c r="H76" i="33"/>
  <c r="D76" i="33"/>
  <c r="L76" i="33" s="1"/>
  <c r="B76" i="33"/>
  <c r="D75" i="33"/>
  <c r="Z73" i="33"/>
  <c r="X73" i="33"/>
  <c r="N73" i="33"/>
  <c r="L73" i="33"/>
  <c r="B73" i="33"/>
  <c r="T72" i="33"/>
  <c r="P72" i="33"/>
  <c r="X72" i="33" s="1"/>
  <c r="L72" i="33"/>
  <c r="N72" i="33" s="1"/>
  <c r="H72" i="33"/>
  <c r="D72" i="33"/>
  <c r="B72" i="33"/>
  <c r="X71" i="33"/>
  <c r="Z71" i="33" s="1"/>
  <c r="N71" i="33"/>
  <c r="L71" i="33"/>
  <c r="B71" i="33"/>
  <c r="Z70" i="33"/>
  <c r="X70" i="33"/>
  <c r="N70" i="33"/>
  <c r="L70" i="33"/>
  <c r="B70" i="33"/>
  <c r="Z69" i="33"/>
  <c r="X69" i="33"/>
  <c r="L69" i="33"/>
  <c r="N69" i="33" s="1"/>
  <c r="B69" i="33"/>
  <c r="X68" i="33"/>
  <c r="Z68" i="33" s="1"/>
  <c r="N68" i="33"/>
  <c r="L68" i="33"/>
  <c r="B68" i="33"/>
  <c r="Z67" i="33"/>
  <c r="X67" i="33"/>
  <c r="N67" i="33"/>
  <c r="L67" i="33"/>
  <c r="B67" i="33"/>
  <c r="T66" i="33"/>
  <c r="P66" i="33"/>
  <c r="X66" i="33" s="1"/>
  <c r="L66" i="33"/>
  <c r="H66" i="33"/>
  <c r="N66" i="33" s="1"/>
  <c r="D66" i="33"/>
  <c r="B66" i="33"/>
  <c r="X65" i="33"/>
  <c r="Z65" i="33" s="1"/>
  <c r="N65" i="33"/>
  <c r="L65" i="33"/>
  <c r="B65" i="33"/>
  <c r="T64" i="33"/>
  <c r="P64" i="33"/>
  <c r="X64" i="33" s="1"/>
  <c r="Z64" i="33" s="1"/>
  <c r="H64" i="33"/>
  <c r="D64" i="33"/>
  <c r="B64" i="33"/>
  <c r="X63" i="33"/>
  <c r="Z63" i="33" s="1"/>
  <c r="L63" i="33"/>
  <c r="N63" i="33" s="1"/>
  <c r="B63" i="33"/>
  <c r="X62" i="33"/>
  <c r="Z62" i="33" s="1"/>
  <c r="T62" i="33"/>
  <c r="P62" i="33"/>
  <c r="H62" i="33"/>
  <c r="D62" i="33"/>
  <c r="L62" i="33" s="1"/>
  <c r="B62" i="33"/>
  <c r="Z61" i="33"/>
  <c r="X61" i="33"/>
  <c r="L61" i="33"/>
  <c r="N61" i="33" s="1"/>
  <c r="B61" i="33"/>
  <c r="X60" i="33"/>
  <c r="T60" i="33"/>
  <c r="P60" i="33"/>
  <c r="H60" i="33"/>
  <c r="D60" i="33"/>
  <c r="L60" i="33" s="1"/>
  <c r="B60" i="33"/>
  <c r="Z59" i="33"/>
  <c r="X59" i="33"/>
  <c r="L59" i="33"/>
  <c r="N59" i="33" s="1"/>
  <c r="B59" i="33"/>
  <c r="X58" i="33"/>
  <c r="Z58" i="33" s="1"/>
  <c r="L58" i="33"/>
  <c r="N58" i="33" s="1"/>
  <c r="B58" i="33"/>
  <c r="T57" i="33"/>
  <c r="P57" i="33"/>
  <c r="N57" i="33"/>
  <c r="H57" i="33"/>
  <c r="D57" i="33"/>
  <c r="L57" i="33" s="1"/>
  <c r="B57" i="33"/>
  <c r="X56" i="33"/>
  <c r="Z56" i="33" s="1"/>
  <c r="L56" i="33"/>
  <c r="N56" i="33" s="1"/>
  <c r="B56" i="33"/>
  <c r="T55" i="33"/>
  <c r="P55" i="33"/>
  <c r="X55" i="33" s="1"/>
  <c r="H55" i="33"/>
  <c r="D55" i="33"/>
  <c r="L55" i="33" s="1"/>
  <c r="N55" i="33" s="1"/>
  <c r="B55" i="33"/>
  <c r="Z54" i="33"/>
  <c r="X54" i="33"/>
  <c r="L54" i="33"/>
  <c r="N54" i="33" s="1"/>
  <c r="B54" i="33"/>
  <c r="T53" i="33"/>
  <c r="Z53" i="33" s="1"/>
  <c r="P53" i="33"/>
  <c r="X53" i="33" s="1"/>
  <c r="L53" i="33"/>
  <c r="N53" i="33" s="1"/>
  <c r="H53" i="33"/>
  <c r="D53" i="33"/>
  <c r="B53" i="33"/>
  <c r="Z52" i="33"/>
  <c r="X52" i="33"/>
  <c r="L52" i="33"/>
  <c r="N52" i="33" s="1"/>
  <c r="B52" i="33"/>
  <c r="Z51" i="33"/>
  <c r="T51" i="33"/>
  <c r="P51" i="33"/>
  <c r="X51" i="33" s="1"/>
  <c r="H51" i="33"/>
  <c r="D51" i="33"/>
  <c r="B51" i="33"/>
  <c r="X50" i="33"/>
  <c r="Z50" i="33" s="1"/>
  <c r="N50" i="33"/>
  <c r="L50" i="33"/>
  <c r="B50" i="33"/>
  <c r="Z49" i="33"/>
  <c r="X49" i="33"/>
  <c r="N49" i="33"/>
  <c r="L49" i="33"/>
  <c r="B49" i="33"/>
  <c r="X48" i="33"/>
  <c r="Z48" i="33" s="1"/>
  <c r="L48" i="33"/>
  <c r="N48" i="33" s="1"/>
  <c r="B48" i="33"/>
  <c r="X47" i="33"/>
  <c r="Z47" i="33" s="1"/>
  <c r="L47" i="33"/>
  <c r="N47" i="33" s="1"/>
  <c r="B47" i="33"/>
  <c r="X46" i="33"/>
  <c r="Z46" i="33" s="1"/>
  <c r="T46" i="33"/>
  <c r="P46" i="33"/>
  <c r="H46" i="33"/>
  <c r="D46" i="33"/>
  <c r="L46" i="33" s="1"/>
  <c r="B46" i="33"/>
  <c r="Z45" i="33"/>
  <c r="X45" i="33"/>
  <c r="L45" i="33"/>
  <c r="N45" i="33" s="1"/>
  <c r="B45" i="33"/>
  <c r="X44" i="33"/>
  <c r="Z44" i="33" s="1"/>
  <c r="N44" i="33"/>
  <c r="L44" i="33"/>
  <c r="B44" i="33"/>
  <c r="X43" i="33"/>
  <c r="Z43" i="33" s="1"/>
  <c r="N43" i="33"/>
  <c r="L43" i="33"/>
  <c r="B43" i="33"/>
  <c r="Z42" i="33"/>
  <c r="X42" i="33"/>
  <c r="L42" i="33"/>
  <c r="N42" i="33" s="1"/>
  <c r="B42" i="33"/>
  <c r="X41" i="33"/>
  <c r="Z41" i="33" s="1"/>
  <c r="L41" i="33"/>
  <c r="N41" i="33" s="1"/>
  <c r="B41" i="33"/>
  <c r="X40" i="33"/>
  <c r="Z40" i="33" s="1"/>
  <c r="N40" i="33"/>
  <c r="L40" i="33"/>
  <c r="B40" i="33"/>
  <c r="X39" i="33"/>
  <c r="Z39" i="33" s="1"/>
  <c r="N39" i="33"/>
  <c r="L39" i="33"/>
  <c r="B39" i="33"/>
  <c r="Z38" i="33"/>
  <c r="X38" i="33"/>
  <c r="L38" i="33"/>
  <c r="N38" i="33" s="1"/>
  <c r="B38" i="33"/>
  <c r="T37" i="33"/>
  <c r="Z37" i="33" s="1"/>
  <c r="P37" i="33"/>
  <c r="X37" i="33" s="1"/>
  <c r="L37" i="33"/>
  <c r="N37" i="33" s="1"/>
  <c r="H37" i="33"/>
  <c r="D37" i="33"/>
  <c r="B37" i="33"/>
  <c r="T36" i="33"/>
  <c r="P36" i="33"/>
  <c r="X36" i="33" s="1"/>
  <c r="Z36" i="33" s="1"/>
  <c r="H36" i="33"/>
  <c r="L36" i="33" s="1"/>
  <c r="N36" i="33" s="1"/>
  <c r="D36" i="33"/>
  <c r="Z32" i="33"/>
  <c r="X32" i="33"/>
  <c r="L32" i="33"/>
  <c r="N32" i="33" s="1"/>
  <c r="B32" i="33"/>
  <c r="Z31" i="33"/>
  <c r="X31" i="33"/>
  <c r="L31" i="33"/>
  <c r="N31" i="33" s="1"/>
  <c r="B31" i="33"/>
  <c r="X30" i="33"/>
  <c r="Z30" i="33" s="1"/>
  <c r="L30" i="33"/>
  <c r="N30" i="33" s="1"/>
  <c r="B30" i="33"/>
  <c r="Z29" i="33"/>
  <c r="X29" i="33"/>
  <c r="N29" i="33"/>
  <c r="L29" i="33"/>
  <c r="B29" i="33"/>
  <c r="Z28" i="33"/>
  <c r="X28" i="33"/>
  <c r="L28" i="33"/>
  <c r="N28" i="33" s="1"/>
  <c r="B28" i="33"/>
  <c r="Z27" i="33"/>
  <c r="T27" i="33"/>
  <c r="P27" i="33"/>
  <c r="X27" i="33" s="1"/>
  <c r="H27" i="33"/>
  <c r="D27" i="33"/>
  <c r="Z25" i="33"/>
  <c r="T25" i="33"/>
  <c r="P25" i="33"/>
  <c r="X25" i="33" s="1"/>
  <c r="L25" i="33"/>
  <c r="H25" i="33"/>
  <c r="N25" i="33" s="1"/>
  <c r="D25" i="33"/>
  <c r="B25" i="33"/>
  <c r="Z24" i="33"/>
  <c r="X24" i="33"/>
  <c r="T24" i="33"/>
  <c r="P24" i="33"/>
  <c r="L24" i="33"/>
  <c r="H24" i="33"/>
  <c r="N24" i="33" s="1"/>
  <c r="D24" i="33"/>
  <c r="B24" i="33"/>
  <c r="T23" i="33"/>
  <c r="Z23" i="33" s="1"/>
  <c r="P23" i="33"/>
  <c r="H23" i="33"/>
  <c r="N23" i="33" s="1"/>
  <c r="D23" i="33"/>
  <c r="B23" i="33"/>
  <c r="T22" i="33"/>
  <c r="P22" i="33"/>
  <c r="X22" i="33" s="1"/>
  <c r="H22" i="33"/>
  <c r="D22" i="33"/>
  <c r="B22" i="33"/>
  <c r="Z21" i="33"/>
  <c r="T21" i="33"/>
  <c r="P21" i="33"/>
  <c r="X21" i="33" s="1"/>
  <c r="L21" i="33"/>
  <c r="H21" i="33"/>
  <c r="N21" i="33" s="1"/>
  <c r="D21" i="33"/>
  <c r="B21" i="33"/>
  <c r="T20" i="33"/>
  <c r="P20" i="33"/>
  <c r="L20" i="33"/>
  <c r="H20" i="33"/>
  <c r="N20" i="33" s="1"/>
  <c r="D20" i="33"/>
  <c r="B20" i="33"/>
  <c r="T19" i="33"/>
  <c r="P19" i="33"/>
  <c r="N19" i="33"/>
  <c r="H19" i="33"/>
  <c r="D19" i="33"/>
  <c r="L19" i="33" s="1"/>
  <c r="B19" i="33"/>
  <c r="T18" i="33"/>
  <c r="Z18" i="33" s="1"/>
  <c r="P18" i="33"/>
  <c r="X18" i="33" s="1"/>
  <c r="H18" i="33"/>
  <c r="D18" i="33"/>
  <c r="B18" i="33"/>
  <c r="Z17" i="33"/>
  <c r="T17" i="33"/>
  <c r="P17" i="33"/>
  <c r="X17" i="33" s="1"/>
  <c r="L17" i="33"/>
  <c r="H17" i="33"/>
  <c r="N17" i="33" s="1"/>
  <c r="D17" i="33"/>
  <c r="B17" i="33"/>
  <c r="T16" i="33"/>
  <c r="P16" i="33"/>
  <c r="X16" i="33" s="1"/>
  <c r="Z16" i="33" s="1"/>
  <c r="L16" i="33"/>
  <c r="H16" i="33"/>
  <c r="N16" i="33" s="1"/>
  <c r="D16" i="33"/>
  <c r="B16" i="33"/>
  <c r="T15" i="33"/>
  <c r="P15" i="33"/>
  <c r="X15" i="33" s="1"/>
  <c r="H15" i="33"/>
  <c r="D15" i="33"/>
  <c r="B15" i="33"/>
  <c r="T14" i="33"/>
  <c r="P14" i="33"/>
  <c r="H14" i="33"/>
  <c r="D14" i="33"/>
  <c r="B14" i="33"/>
  <c r="T13" i="33"/>
  <c r="P13" i="33"/>
  <c r="L13" i="33"/>
  <c r="H13" i="33"/>
  <c r="D13" i="33"/>
  <c r="B13" i="33"/>
  <c r="D4" i="33"/>
  <c r="X125" i="30"/>
  <c r="Z125" i="30" s="1"/>
  <c r="N125" i="30"/>
  <c r="L125" i="30"/>
  <c r="T121" i="30"/>
  <c r="P121" i="30"/>
  <c r="X121" i="30" s="1"/>
  <c r="H121" i="30"/>
  <c r="D121" i="30"/>
  <c r="B121" i="30"/>
  <c r="H120" i="30"/>
  <c r="Z118" i="30"/>
  <c r="X118" i="30"/>
  <c r="N118" i="30"/>
  <c r="L118" i="30"/>
  <c r="B118" i="30"/>
  <c r="X117" i="30"/>
  <c r="T117" i="30"/>
  <c r="Z117" i="30" s="1"/>
  <c r="P117" i="30"/>
  <c r="L117" i="30"/>
  <c r="N117" i="30" s="1"/>
  <c r="H117" i="30"/>
  <c r="F117" i="30"/>
  <c r="D117" i="30"/>
  <c r="B117" i="30"/>
  <c r="Z116" i="30"/>
  <c r="X116" i="30"/>
  <c r="L116" i="30"/>
  <c r="N116" i="30" s="1"/>
  <c r="B116" i="30"/>
  <c r="T115" i="30"/>
  <c r="Z115" i="30" s="1"/>
  <c r="P115" i="30"/>
  <c r="X115" i="30" s="1"/>
  <c r="H115" i="30"/>
  <c r="D115" i="30"/>
  <c r="B115" i="30"/>
  <c r="X114" i="30"/>
  <c r="Z114" i="30" s="1"/>
  <c r="N114" i="30"/>
  <c r="L114" i="30"/>
  <c r="B114" i="30"/>
  <c r="T113" i="30"/>
  <c r="P113" i="30"/>
  <c r="X113" i="30" s="1"/>
  <c r="Z113" i="30" s="1"/>
  <c r="H113" i="30"/>
  <c r="D113" i="30"/>
  <c r="B113" i="30"/>
  <c r="X112" i="30"/>
  <c r="Z112" i="30" s="1"/>
  <c r="N112" i="30"/>
  <c r="L112" i="30"/>
  <c r="B112" i="30"/>
  <c r="X111" i="30"/>
  <c r="Z111" i="30" s="1"/>
  <c r="T111" i="30"/>
  <c r="P111" i="30"/>
  <c r="L111" i="30"/>
  <c r="N111" i="30" s="1"/>
  <c r="H111" i="30"/>
  <c r="D111" i="30"/>
  <c r="B111" i="30"/>
  <c r="Z110" i="30"/>
  <c r="X110" i="30"/>
  <c r="L110" i="30"/>
  <c r="N110" i="30" s="1"/>
  <c r="B110" i="30"/>
  <c r="X109" i="30"/>
  <c r="Z109" i="30" s="1"/>
  <c r="N109" i="30"/>
  <c r="L109" i="30"/>
  <c r="B109" i="30"/>
  <c r="Z108" i="30"/>
  <c r="X108" i="30"/>
  <c r="L108" i="30"/>
  <c r="N108" i="30" s="1"/>
  <c r="B108" i="30"/>
  <c r="Z107" i="30"/>
  <c r="X107" i="30"/>
  <c r="L107" i="30"/>
  <c r="N107" i="30" s="1"/>
  <c r="B107" i="30"/>
  <c r="Z106" i="30"/>
  <c r="X106" i="30"/>
  <c r="N106" i="30"/>
  <c r="L106" i="30"/>
  <c r="B106" i="30"/>
  <c r="T105" i="30"/>
  <c r="P105" i="30"/>
  <c r="H105" i="30"/>
  <c r="N105" i="30" s="1"/>
  <c r="D105" i="30"/>
  <c r="L105" i="30" s="1"/>
  <c r="B105" i="30"/>
  <c r="X104" i="30"/>
  <c r="Z104" i="30" s="1"/>
  <c r="L104" i="30"/>
  <c r="N104" i="30" s="1"/>
  <c r="B104" i="30"/>
  <c r="T103" i="30"/>
  <c r="P103" i="30"/>
  <c r="X103" i="30" s="1"/>
  <c r="N103" i="30"/>
  <c r="H103" i="30"/>
  <c r="D103" i="30"/>
  <c r="L103" i="30" s="1"/>
  <c r="B103" i="30"/>
  <c r="Z102" i="30"/>
  <c r="X102" i="30"/>
  <c r="L102" i="30"/>
  <c r="N102" i="30" s="1"/>
  <c r="B102" i="30"/>
  <c r="Z101" i="30"/>
  <c r="X101" i="30"/>
  <c r="L101" i="30"/>
  <c r="N101" i="30" s="1"/>
  <c r="B101" i="30"/>
  <c r="X100" i="30"/>
  <c r="Z100" i="30" s="1"/>
  <c r="N100" i="30"/>
  <c r="L100" i="30"/>
  <c r="B100" i="30"/>
  <c r="X99" i="30"/>
  <c r="Z99" i="30" s="1"/>
  <c r="T99" i="30"/>
  <c r="P99" i="30"/>
  <c r="N99" i="30"/>
  <c r="H99" i="30"/>
  <c r="D99" i="30"/>
  <c r="L99" i="30" s="1"/>
  <c r="B99" i="30"/>
  <c r="Z98" i="30"/>
  <c r="X98" i="30"/>
  <c r="N98" i="30"/>
  <c r="L98" i="30"/>
  <c r="B98" i="30"/>
  <c r="X97" i="30"/>
  <c r="Z97" i="30" s="1"/>
  <c r="N97" i="30"/>
  <c r="L97" i="30"/>
  <c r="B97" i="30"/>
  <c r="Z96" i="30"/>
  <c r="T96" i="30"/>
  <c r="P96" i="30"/>
  <c r="X96" i="30" s="1"/>
  <c r="H96" i="30"/>
  <c r="D96" i="30"/>
  <c r="L96" i="30" s="1"/>
  <c r="N96" i="30" s="1"/>
  <c r="B96" i="30"/>
  <c r="X95" i="30"/>
  <c r="Z95" i="30" s="1"/>
  <c r="N95" i="30"/>
  <c r="L95" i="30"/>
  <c r="B95" i="30"/>
  <c r="X94" i="30"/>
  <c r="Z94" i="30" s="1"/>
  <c r="T94" i="30"/>
  <c r="P94" i="30"/>
  <c r="L94" i="30"/>
  <c r="H94" i="30"/>
  <c r="N94" i="30" s="1"/>
  <c r="D94" i="30"/>
  <c r="B94" i="30"/>
  <c r="Z93" i="30"/>
  <c r="X93" i="30"/>
  <c r="L93" i="30"/>
  <c r="N93" i="30" s="1"/>
  <c r="B93" i="30"/>
  <c r="X92" i="30"/>
  <c r="T92" i="30"/>
  <c r="P92" i="30"/>
  <c r="N92" i="30"/>
  <c r="H92" i="30"/>
  <c r="F92" i="30"/>
  <c r="D92" i="30"/>
  <c r="L92" i="30" s="1"/>
  <c r="B92" i="30"/>
  <c r="Z91" i="30"/>
  <c r="X91" i="30"/>
  <c r="L91" i="30"/>
  <c r="N91" i="30" s="1"/>
  <c r="B91" i="30"/>
  <c r="T90" i="30"/>
  <c r="P90" i="30"/>
  <c r="N90" i="30"/>
  <c r="H90" i="30"/>
  <c r="D90" i="30"/>
  <c r="L90" i="30" s="1"/>
  <c r="B90" i="30"/>
  <c r="Z89" i="30"/>
  <c r="X89" i="30"/>
  <c r="N89" i="30"/>
  <c r="L89" i="30"/>
  <c r="B89" i="30"/>
  <c r="X88" i="30"/>
  <c r="T88" i="30"/>
  <c r="Z88" i="30" s="1"/>
  <c r="P88" i="30"/>
  <c r="L88" i="30"/>
  <c r="N88" i="30" s="1"/>
  <c r="H88" i="30"/>
  <c r="D88" i="30"/>
  <c r="B88" i="30"/>
  <c r="X87" i="30"/>
  <c r="Z87" i="30" s="1"/>
  <c r="N87" i="30"/>
  <c r="L87" i="30"/>
  <c r="B87" i="30"/>
  <c r="T86" i="30"/>
  <c r="P86" i="30"/>
  <c r="X86" i="30" s="1"/>
  <c r="Z86" i="30" s="1"/>
  <c r="H86" i="30"/>
  <c r="D86" i="30"/>
  <c r="B86" i="30"/>
  <c r="Z85" i="30"/>
  <c r="X85" i="30"/>
  <c r="N85" i="30"/>
  <c r="L85" i="30"/>
  <c r="B85" i="30"/>
  <c r="Z84" i="30"/>
  <c r="T84" i="30"/>
  <c r="P84" i="30"/>
  <c r="X84" i="30" s="1"/>
  <c r="L84" i="30"/>
  <c r="N84" i="30" s="1"/>
  <c r="H84" i="30"/>
  <c r="D84" i="30"/>
  <c r="B84" i="30"/>
  <c r="X83" i="30"/>
  <c r="Z83" i="30" s="1"/>
  <c r="L83" i="30"/>
  <c r="N83" i="30" s="1"/>
  <c r="B83" i="30"/>
  <c r="T82" i="30"/>
  <c r="P82" i="30"/>
  <c r="X82" i="30" s="1"/>
  <c r="Z82" i="30" s="1"/>
  <c r="L82" i="30"/>
  <c r="N82" i="30" s="1"/>
  <c r="H82" i="30"/>
  <c r="D82" i="30"/>
  <c r="B82" i="30"/>
  <c r="Z81" i="30"/>
  <c r="X81" i="30"/>
  <c r="L81" i="30"/>
  <c r="N81" i="30" s="1"/>
  <c r="F81" i="30"/>
  <c r="B81" i="30"/>
  <c r="T80" i="30"/>
  <c r="X80" i="30" s="1"/>
  <c r="P80" i="30"/>
  <c r="H80" i="30"/>
  <c r="N80" i="30" s="1"/>
  <c r="D80" i="30"/>
  <c r="L80" i="30" s="1"/>
  <c r="B80" i="30"/>
  <c r="X79" i="30"/>
  <c r="Z79" i="30" s="1"/>
  <c r="L79" i="30"/>
  <c r="N79" i="30" s="1"/>
  <c r="B79" i="30"/>
  <c r="T78" i="30"/>
  <c r="P78" i="30"/>
  <c r="H78" i="30"/>
  <c r="D78" i="30"/>
  <c r="B78" i="30"/>
  <c r="Z77" i="30"/>
  <c r="X77" i="30"/>
  <c r="N77" i="30"/>
  <c r="L77" i="30"/>
  <c r="B77" i="30"/>
  <c r="T76" i="30"/>
  <c r="P76" i="30"/>
  <c r="H76" i="30"/>
  <c r="D76" i="30"/>
  <c r="L76" i="30" s="1"/>
  <c r="N76" i="30" s="1"/>
  <c r="B76" i="30"/>
  <c r="X75" i="30"/>
  <c r="Z75" i="30" s="1"/>
  <c r="N75" i="30"/>
  <c r="L75" i="30"/>
  <c r="B75" i="30"/>
  <c r="T74" i="30"/>
  <c r="P74" i="30"/>
  <c r="X74" i="30" s="1"/>
  <c r="Z74" i="30" s="1"/>
  <c r="H74" i="30"/>
  <c r="D74" i="30"/>
  <c r="B74" i="30"/>
  <c r="Z73" i="30"/>
  <c r="X73" i="30"/>
  <c r="N73" i="30"/>
  <c r="L73" i="30"/>
  <c r="B73" i="30"/>
  <c r="Z72" i="30"/>
  <c r="X72" i="30"/>
  <c r="L72" i="30"/>
  <c r="N72" i="30" s="1"/>
  <c r="B72" i="30"/>
  <c r="X71" i="30"/>
  <c r="Z71" i="30" s="1"/>
  <c r="L71" i="30"/>
  <c r="N71" i="30" s="1"/>
  <c r="B71" i="30"/>
  <c r="Z70" i="30"/>
  <c r="X70" i="30"/>
  <c r="N70" i="30"/>
  <c r="L70" i="30"/>
  <c r="B70" i="30"/>
  <c r="T69" i="30"/>
  <c r="P69" i="30"/>
  <c r="H69" i="30"/>
  <c r="D69" i="30"/>
  <c r="L69" i="30" s="1"/>
  <c r="N69" i="30" s="1"/>
  <c r="B69" i="30"/>
  <c r="Z68" i="30"/>
  <c r="X68" i="30"/>
  <c r="L68" i="30"/>
  <c r="N68" i="30" s="1"/>
  <c r="B68" i="30"/>
  <c r="X67" i="30"/>
  <c r="Z67" i="30" s="1"/>
  <c r="L67" i="30"/>
  <c r="N67" i="30" s="1"/>
  <c r="B67" i="30"/>
  <c r="Z66" i="30"/>
  <c r="X66" i="30"/>
  <c r="L66" i="30"/>
  <c r="N66" i="30" s="1"/>
  <c r="B66" i="30"/>
  <c r="Z65" i="30"/>
  <c r="X65" i="30"/>
  <c r="N65" i="30"/>
  <c r="L65" i="30"/>
  <c r="B65" i="30"/>
  <c r="X64" i="30"/>
  <c r="Z64" i="30" s="1"/>
  <c r="L64" i="30"/>
  <c r="N64" i="30" s="1"/>
  <c r="B64" i="30"/>
  <c r="X63" i="30"/>
  <c r="Z63" i="30" s="1"/>
  <c r="L63" i="30"/>
  <c r="N63" i="30" s="1"/>
  <c r="B63" i="30"/>
  <c r="Z62" i="30"/>
  <c r="X62" i="30"/>
  <c r="L62" i="30"/>
  <c r="N62" i="30" s="1"/>
  <c r="B62" i="30"/>
  <c r="Z61" i="30"/>
  <c r="X61" i="30"/>
  <c r="N61" i="30"/>
  <c r="L61" i="30"/>
  <c r="B61" i="30"/>
  <c r="X60" i="30"/>
  <c r="T60" i="30"/>
  <c r="P60" i="30"/>
  <c r="H60" i="30"/>
  <c r="D60" i="30"/>
  <c r="L60" i="30" s="1"/>
  <c r="N60" i="30" s="1"/>
  <c r="B60" i="30"/>
  <c r="X59" i="30"/>
  <c r="Z59" i="30" s="1"/>
  <c r="T59" i="30"/>
  <c r="P59" i="30"/>
  <c r="H59" i="30"/>
  <c r="N59" i="30" s="1"/>
  <c r="D59" i="30"/>
  <c r="L59" i="30" s="1"/>
  <c r="X55" i="30"/>
  <c r="Z55" i="30" s="1"/>
  <c r="L55" i="30"/>
  <c r="N55" i="30" s="1"/>
  <c r="B55" i="30"/>
  <c r="Z54" i="30"/>
  <c r="X54" i="30"/>
  <c r="L54" i="30"/>
  <c r="N54" i="30" s="1"/>
  <c r="B54" i="30"/>
  <c r="Z53" i="30"/>
  <c r="X53" i="30"/>
  <c r="N53" i="30"/>
  <c r="L53" i="30"/>
  <c r="B53" i="30"/>
  <c r="X52" i="30"/>
  <c r="Z52" i="30" s="1"/>
  <c r="N52" i="30"/>
  <c r="L52" i="30"/>
  <c r="B52" i="30"/>
  <c r="Z51" i="30"/>
  <c r="X51" i="30"/>
  <c r="N51" i="30"/>
  <c r="L51" i="30"/>
  <c r="B51" i="30"/>
  <c r="Z50" i="30"/>
  <c r="X50" i="30"/>
  <c r="N50" i="30"/>
  <c r="L50" i="30"/>
  <c r="B50" i="30"/>
  <c r="X49" i="30"/>
  <c r="Z49" i="30" s="1"/>
  <c r="L49" i="30"/>
  <c r="N49" i="30" s="1"/>
  <c r="B49" i="30"/>
  <c r="Z48" i="30"/>
  <c r="X48" i="30"/>
  <c r="N48" i="30"/>
  <c r="L48" i="30"/>
  <c r="B48" i="30"/>
  <c r="X47" i="30"/>
  <c r="Z47" i="30" s="1"/>
  <c r="N47" i="30"/>
  <c r="L47" i="30"/>
  <c r="B47" i="30"/>
  <c r="Z46" i="30"/>
  <c r="X46" i="30"/>
  <c r="L46" i="30"/>
  <c r="N46" i="30" s="1"/>
  <c r="B46" i="30"/>
  <c r="Z45" i="30"/>
  <c r="X45" i="30"/>
  <c r="L45" i="30"/>
  <c r="N45" i="30" s="1"/>
  <c r="F45" i="30"/>
  <c r="B45" i="30"/>
  <c r="X44" i="30"/>
  <c r="Z44" i="30" s="1"/>
  <c r="N44" i="30"/>
  <c r="L44" i="30"/>
  <c r="B44" i="30"/>
  <c r="Z43" i="30"/>
  <c r="X43" i="30"/>
  <c r="N43" i="30"/>
  <c r="L43" i="30"/>
  <c r="B43" i="30"/>
  <c r="Z42" i="30"/>
  <c r="X42" i="30"/>
  <c r="N42" i="30"/>
  <c r="L42" i="30"/>
  <c r="B42" i="30"/>
  <c r="Z41" i="30"/>
  <c r="X41" i="30"/>
  <c r="N41" i="30"/>
  <c r="L41" i="30"/>
  <c r="B41" i="30"/>
  <c r="Z40" i="30"/>
  <c r="X40" i="30"/>
  <c r="N40" i="30"/>
  <c r="L40" i="30"/>
  <c r="B40" i="30"/>
  <c r="X39" i="30"/>
  <c r="Z39" i="30" s="1"/>
  <c r="L39" i="30"/>
  <c r="N39" i="30" s="1"/>
  <c r="B39" i="30"/>
  <c r="X38" i="30"/>
  <c r="Z38" i="30" s="1"/>
  <c r="N38" i="30"/>
  <c r="L38" i="30"/>
  <c r="B38" i="30"/>
  <c r="Z37" i="30"/>
  <c r="X37" i="30"/>
  <c r="N37" i="30"/>
  <c r="L37" i="30"/>
  <c r="B37" i="30"/>
  <c r="T36" i="30"/>
  <c r="P36" i="30"/>
  <c r="X36" i="30" s="1"/>
  <c r="L36" i="30"/>
  <c r="N36" i="30" s="1"/>
  <c r="H36" i="30"/>
  <c r="D36" i="30"/>
  <c r="T34" i="30"/>
  <c r="Z34" i="30" s="1"/>
  <c r="P34" i="30"/>
  <c r="X34" i="30" s="1"/>
  <c r="L34" i="30"/>
  <c r="H34" i="30"/>
  <c r="N34" i="30" s="1"/>
  <c r="D34" i="30"/>
  <c r="B34" i="30"/>
  <c r="X33" i="30"/>
  <c r="T33" i="30"/>
  <c r="Z33" i="30" s="1"/>
  <c r="P33" i="30"/>
  <c r="H33" i="30"/>
  <c r="D33" i="30"/>
  <c r="B33" i="30"/>
  <c r="X32" i="30"/>
  <c r="T32" i="30"/>
  <c r="Z32" i="30" s="1"/>
  <c r="P32" i="30"/>
  <c r="H32" i="30"/>
  <c r="D32" i="30"/>
  <c r="L32" i="30" s="1"/>
  <c r="N32" i="30" s="1"/>
  <c r="B32" i="30"/>
  <c r="T31" i="30"/>
  <c r="P31" i="30"/>
  <c r="H31" i="30"/>
  <c r="D31" i="30"/>
  <c r="L31" i="30" s="1"/>
  <c r="N31" i="30" s="1"/>
  <c r="B31" i="30"/>
  <c r="T30" i="30"/>
  <c r="P30" i="30"/>
  <c r="L30" i="30"/>
  <c r="H30" i="30"/>
  <c r="D30" i="30"/>
  <c r="B30" i="30"/>
  <c r="X29" i="30"/>
  <c r="T29" i="30"/>
  <c r="Z29" i="30" s="1"/>
  <c r="P29" i="30"/>
  <c r="L29" i="30"/>
  <c r="H29" i="30"/>
  <c r="D29" i="30"/>
  <c r="B29" i="30"/>
  <c r="X28" i="30"/>
  <c r="T28" i="30"/>
  <c r="Z28" i="30" s="1"/>
  <c r="P28" i="30"/>
  <c r="H28" i="30"/>
  <c r="D28" i="30"/>
  <c r="L28" i="30" s="1"/>
  <c r="N28" i="30" s="1"/>
  <c r="B28" i="30"/>
  <c r="T27" i="30"/>
  <c r="P27" i="30"/>
  <c r="X27" i="30" s="1"/>
  <c r="Z27" i="30" s="1"/>
  <c r="H27" i="30"/>
  <c r="D27" i="30"/>
  <c r="L27" i="30" s="1"/>
  <c r="N27" i="30" s="1"/>
  <c r="B27" i="30"/>
  <c r="T26" i="30"/>
  <c r="P26" i="30"/>
  <c r="X26" i="30" s="1"/>
  <c r="L26" i="30"/>
  <c r="H26" i="30"/>
  <c r="N26" i="30" s="1"/>
  <c r="D26" i="30"/>
  <c r="B26" i="30"/>
  <c r="X25" i="30"/>
  <c r="T25" i="30"/>
  <c r="Z25" i="30" s="1"/>
  <c r="P25" i="30"/>
  <c r="H25" i="30"/>
  <c r="D25" i="30"/>
  <c r="B25" i="30"/>
  <c r="T24" i="30"/>
  <c r="P24" i="30"/>
  <c r="H24" i="30"/>
  <c r="L24" i="30" s="1"/>
  <c r="N24" i="30" s="1"/>
  <c r="D24" i="30"/>
  <c r="B24" i="30"/>
  <c r="T23" i="30"/>
  <c r="P23" i="30"/>
  <c r="X23" i="30" s="1"/>
  <c r="Z23" i="30" s="1"/>
  <c r="H23" i="30"/>
  <c r="D23" i="30"/>
  <c r="L23" i="30" s="1"/>
  <c r="N23" i="30" s="1"/>
  <c r="B23" i="30"/>
  <c r="T22" i="30"/>
  <c r="P22" i="30"/>
  <c r="X22" i="30" s="1"/>
  <c r="L22" i="30"/>
  <c r="H22" i="30"/>
  <c r="N22" i="30" s="1"/>
  <c r="D22" i="30"/>
  <c r="B22" i="30"/>
  <c r="X21" i="30"/>
  <c r="T21" i="30"/>
  <c r="Z21" i="30" s="1"/>
  <c r="P21" i="30"/>
  <c r="H21" i="30"/>
  <c r="D21" i="30"/>
  <c r="B21" i="30"/>
  <c r="T20" i="30"/>
  <c r="P20" i="30"/>
  <c r="H20" i="30"/>
  <c r="L20" i="30" s="1"/>
  <c r="N20" i="30" s="1"/>
  <c r="D20" i="30"/>
  <c r="B20" i="30"/>
  <c r="T19" i="30"/>
  <c r="P19" i="30"/>
  <c r="X19" i="30" s="1"/>
  <c r="Z19" i="30" s="1"/>
  <c r="H19" i="30"/>
  <c r="D19" i="30"/>
  <c r="L19" i="30" s="1"/>
  <c r="N19" i="30" s="1"/>
  <c r="B19" i="30"/>
  <c r="T18" i="30"/>
  <c r="P18" i="30"/>
  <c r="X18" i="30" s="1"/>
  <c r="L18" i="30"/>
  <c r="H18" i="30"/>
  <c r="N18" i="30" s="1"/>
  <c r="D18" i="30"/>
  <c r="B18" i="30"/>
  <c r="X17" i="30"/>
  <c r="T17" i="30"/>
  <c r="Z17" i="30" s="1"/>
  <c r="P17" i="30"/>
  <c r="H17" i="30"/>
  <c r="D17" i="30"/>
  <c r="B17" i="30"/>
  <c r="T16" i="30"/>
  <c r="P16" i="30"/>
  <c r="H16" i="30"/>
  <c r="L16" i="30" s="1"/>
  <c r="N16" i="30" s="1"/>
  <c r="D16" i="30"/>
  <c r="B16" i="30"/>
  <c r="T15" i="30"/>
  <c r="P15" i="30"/>
  <c r="X15" i="30" s="1"/>
  <c r="Z15" i="30" s="1"/>
  <c r="H15" i="30"/>
  <c r="D15" i="30"/>
  <c r="L15" i="30" s="1"/>
  <c r="N15" i="30" s="1"/>
  <c r="B15" i="30"/>
  <c r="T14" i="30"/>
  <c r="P14" i="30"/>
  <c r="X14" i="30" s="1"/>
  <c r="L14" i="30"/>
  <c r="H14" i="30"/>
  <c r="N14" i="30" s="1"/>
  <c r="D14" i="30"/>
  <c r="D12" i="30" s="1"/>
  <c r="F77" i="30" s="1"/>
  <c r="B14" i="30"/>
  <c r="X13" i="30"/>
  <c r="T13" i="30"/>
  <c r="Z13" i="30" s="1"/>
  <c r="P13" i="30"/>
  <c r="P12" i="30" s="1"/>
  <c r="H13" i="30"/>
  <c r="D13" i="30"/>
  <c r="B13" i="30"/>
  <c r="D4" i="30"/>
  <c r="Z104" i="27"/>
  <c r="X104" i="27"/>
  <c r="L104" i="27"/>
  <c r="N104" i="27" s="1"/>
  <c r="X100" i="27"/>
  <c r="Z100" i="27" s="1"/>
  <c r="T100" i="27"/>
  <c r="R100" i="27"/>
  <c r="P100" i="27"/>
  <c r="H100" i="27"/>
  <c r="N100" i="27" s="1"/>
  <c r="D100" i="27"/>
  <c r="L100" i="27" s="1"/>
  <c r="B100" i="27"/>
  <c r="T99" i="27"/>
  <c r="T98" i="27" s="1"/>
  <c r="P99" i="27"/>
  <c r="H99" i="27"/>
  <c r="D99" i="27"/>
  <c r="L99" i="27" s="1"/>
  <c r="N99" i="27" s="1"/>
  <c r="B99" i="27"/>
  <c r="P98" i="27"/>
  <c r="X98" i="27" s="1"/>
  <c r="Z98" i="27" s="1"/>
  <c r="H98" i="27"/>
  <c r="D98" i="27"/>
  <c r="L98" i="27" s="1"/>
  <c r="Z96" i="27"/>
  <c r="X96" i="27"/>
  <c r="L96" i="27"/>
  <c r="N96" i="27" s="1"/>
  <c r="B96" i="27"/>
  <c r="T95" i="27"/>
  <c r="P95" i="27"/>
  <c r="X95" i="27" s="1"/>
  <c r="L95" i="27"/>
  <c r="N95" i="27" s="1"/>
  <c r="H95" i="27"/>
  <c r="D95" i="27"/>
  <c r="B95" i="27"/>
  <c r="X94" i="27"/>
  <c r="Z94" i="27" s="1"/>
  <c r="N94" i="27"/>
  <c r="L94" i="27"/>
  <c r="B94" i="27"/>
  <c r="Z93" i="27"/>
  <c r="X93" i="27"/>
  <c r="N93" i="27"/>
  <c r="L93" i="27"/>
  <c r="B93" i="27"/>
  <c r="T92" i="27"/>
  <c r="P92" i="27"/>
  <c r="X92" i="27" s="1"/>
  <c r="L92" i="27"/>
  <c r="N92" i="27" s="1"/>
  <c r="J92" i="27"/>
  <c r="H92" i="27"/>
  <c r="D92" i="27"/>
  <c r="B92" i="27"/>
  <c r="Z91" i="27"/>
  <c r="X91" i="27"/>
  <c r="N91" i="27"/>
  <c r="L91" i="27"/>
  <c r="J91" i="27"/>
  <c r="B91" i="27"/>
  <c r="Z90" i="27"/>
  <c r="X90" i="27"/>
  <c r="L90" i="27"/>
  <c r="N90" i="27" s="1"/>
  <c r="B90" i="27"/>
  <c r="X89" i="27"/>
  <c r="Z89" i="27" s="1"/>
  <c r="L89" i="27"/>
  <c r="N89" i="27" s="1"/>
  <c r="B89" i="27"/>
  <c r="T88" i="27"/>
  <c r="P88" i="27"/>
  <c r="N88" i="27"/>
  <c r="H88" i="27"/>
  <c r="D88" i="27"/>
  <c r="L88" i="27" s="1"/>
  <c r="B88" i="27"/>
  <c r="Z87" i="27"/>
  <c r="X87" i="27"/>
  <c r="R87" i="27"/>
  <c r="L87" i="27"/>
  <c r="N87" i="27" s="1"/>
  <c r="B87" i="27"/>
  <c r="T86" i="27"/>
  <c r="Z86" i="27" s="1"/>
  <c r="P86" i="27"/>
  <c r="X86" i="27" s="1"/>
  <c r="H86" i="27"/>
  <c r="D86" i="27"/>
  <c r="L86" i="27" s="1"/>
  <c r="N86" i="27" s="1"/>
  <c r="B86" i="27"/>
  <c r="Z85" i="27"/>
  <c r="X85" i="27"/>
  <c r="N85" i="27"/>
  <c r="L85" i="27"/>
  <c r="B85" i="27"/>
  <c r="X84" i="27"/>
  <c r="Z84" i="27" s="1"/>
  <c r="L84" i="27"/>
  <c r="N84" i="27" s="1"/>
  <c r="B84" i="27"/>
  <c r="X83" i="27"/>
  <c r="T83" i="27"/>
  <c r="P83" i="27"/>
  <c r="H83" i="27"/>
  <c r="D83" i="27"/>
  <c r="L83" i="27" s="1"/>
  <c r="N83" i="27" s="1"/>
  <c r="B83" i="27"/>
  <c r="Z82" i="27"/>
  <c r="X82" i="27"/>
  <c r="L82" i="27"/>
  <c r="N82" i="27" s="1"/>
  <c r="B82" i="27"/>
  <c r="X81" i="27"/>
  <c r="Z81" i="27" s="1"/>
  <c r="T81" i="27"/>
  <c r="P81" i="27"/>
  <c r="H81" i="27"/>
  <c r="D81" i="27"/>
  <c r="L81" i="27" s="1"/>
  <c r="N81" i="27" s="1"/>
  <c r="B81" i="27"/>
  <c r="Z80" i="27"/>
  <c r="X80" i="27"/>
  <c r="L80" i="27"/>
  <c r="N80" i="27" s="1"/>
  <c r="B80" i="27"/>
  <c r="T79" i="27"/>
  <c r="P79" i="27"/>
  <c r="L79" i="27"/>
  <c r="N79" i="27" s="1"/>
  <c r="H79" i="27"/>
  <c r="D79" i="27"/>
  <c r="B79" i="27"/>
  <c r="X78" i="27"/>
  <c r="Z78" i="27" s="1"/>
  <c r="N78" i="27"/>
  <c r="L78" i="27"/>
  <c r="B78" i="27"/>
  <c r="T77" i="27"/>
  <c r="R77" i="27"/>
  <c r="P77" i="27"/>
  <c r="X77" i="27" s="1"/>
  <c r="Z77" i="27" s="1"/>
  <c r="L77" i="27"/>
  <c r="H77" i="27"/>
  <c r="D77" i="27"/>
  <c r="B77" i="27"/>
  <c r="X76" i="27"/>
  <c r="Z76" i="27" s="1"/>
  <c r="N76" i="27"/>
  <c r="L76" i="27"/>
  <c r="B76" i="27"/>
  <c r="T75" i="27"/>
  <c r="P75" i="27"/>
  <c r="X75" i="27" s="1"/>
  <c r="Z75" i="27" s="1"/>
  <c r="H75" i="27"/>
  <c r="D75" i="27"/>
  <c r="B75" i="27"/>
  <c r="X74" i="27"/>
  <c r="Z74" i="27" s="1"/>
  <c r="L74" i="27"/>
  <c r="N74" i="27" s="1"/>
  <c r="J74" i="27"/>
  <c r="B74" i="27"/>
  <c r="X73" i="27"/>
  <c r="Z73" i="27" s="1"/>
  <c r="N73" i="27"/>
  <c r="L73" i="27"/>
  <c r="B73" i="27"/>
  <c r="T72" i="27"/>
  <c r="P72" i="27"/>
  <c r="X72" i="27" s="1"/>
  <c r="Z72" i="27" s="1"/>
  <c r="H72" i="27"/>
  <c r="N72" i="27" s="1"/>
  <c r="D72" i="27"/>
  <c r="L72" i="27" s="1"/>
  <c r="B72" i="27"/>
  <c r="X71" i="27"/>
  <c r="Z71" i="27" s="1"/>
  <c r="N71" i="27"/>
  <c r="L71" i="27"/>
  <c r="B71" i="27"/>
  <c r="X70" i="27"/>
  <c r="Z70" i="27" s="1"/>
  <c r="T70" i="27"/>
  <c r="P70" i="27"/>
  <c r="H70" i="27"/>
  <c r="N70" i="27" s="1"/>
  <c r="D70" i="27"/>
  <c r="L70" i="27" s="1"/>
  <c r="B70" i="27"/>
  <c r="X69" i="27"/>
  <c r="Z69" i="27" s="1"/>
  <c r="R69" i="27"/>
  <c r="L69" i="27"/>
  <c r="N69" i="27" s="1"/>
  <c r="B69" i="27"/>
  <c r="X68" i="27"/>
  <c r="Z68" i="27" s="1"/>
  <c r="R68" i="27"/>
  <c r="N68" i="27"/>
  <c r="L68" i="27"/>
  <c r="J68" i="27"/>
  <c r="B68" i="27"/>
  <c r="Z67" i="27"/>
  <c r="X67" i="27"/>
  <c r="N67" i="27"/>
  <c r="L67" i="27"/>
  <c r="J67" i="27"/>
  <c r="B67" i="27"/>
  <c r="Z66" i="27"/>
  <c r="X66" i="27"/>
  <c r="L66" i="27"/>
  <c r="N66" i="27" s="1"/>
  <c r="B66" i="27"/>
  <c r="X65" i="27"/>
  <c r="Z65" i="27" s="1"/>
  <c r="L65" i="27"/>
  <c r="N65" i="27" s="1"/>
  <c r="B65" i="27"/>
  <c r="T64" i="27"/>
  <c r="R64" i="27"/>
  <c r="P64" i="27"/>
  <c r="N64" i="27"/>
  <c r="H64" i="27"/>
  <c r="D64" i="27"/>
  <c r="L64" i="27" s="1"/>
  <c r="B64" i="27"/>
  <c r="Z63" i="27"/>
  <c r="X63" i="27"/>
  <c r="L63" i="27"/>
  <c r="N63" i="27" s="1"/>
  <c r="B63" i="27"/>
  <c r="X62" i="27"/>
  <c r="Z62" i="27" s="1"/>
  <c r="L62" i="27"/>
  <c r="N62" i="27" s="1"/>
  <c r="J62" i="27"/>
  <c r="B62" i="27"/>
  <c r="X61" i="27"/>
  <c r="Z61" i="27" s="1"/>
  <c r="N61" i="27"/>
  <c r="L61" i="27"/>
  <c r="B61" i="27"/>
  <c r="Z60" i="27"/>
  <c r="X60" i="27"/>
  <c r="L60" i="27"/>
  <c r="N60" i="27" s="1"/>
  <c r="B60" i="27"/>
  <c r="Z59" i="27"/>
  <c r="X59" i="27"/>
  <c r="L59" i="27"/>
  <c r="N59" i="27" s="1"/>
  <c r="B59" i="27"/>
  <c r="X58" i="27"/>
  <c r="Z58" i="27" s="1"/>
  <c r="L58" i="27"/>
  <c r="N58" i="27" s="1"/>
  <c r="J58" i="27"/>
  <c r="B58" i="27"/>
  <c r="X57" i="27"/>
  <c r="Z57" i="27" s="1"/>
  <c r="N57" i="27"/>
  <c r="L57" i="27"/>
  <c r="B57" i="27"/>
  <c r="Z56" i="27"/>
  <c r="X56" i="27"/>
  <c r="L56" i="27"/>
  <c r="N56" i="27" s="1"/>
  <c r="B56" i="27"/>
  <c r="Z55" i="27"/>
  <c r="X55" i="27"/>
  <c r="L55" i="27"/>
  <c r="N55" i="27" s="1"/>
  <c r="B55" i="27"/>
  <c r="T54" i="27"/>
  <c r="Z54" i="27" s="1"/>
  <c r="P54" i="27"/>
  <c r="X54" i="27" s="1"/>
  <c r="J54" i="27"/>
  <c r="H54" i="27"/>
  <c r="D54" i="27"/>
  <c r="L54" i="27" s="1"/>
  <c r="N54" i="27" s="1"/>
  <c r="B54" i="27"/>
  <c r="T53" i="27"/>
  <c r="P53" i="27"/>
  <c r="X53" i="27" s="1"/>
  <c r="Z53" i="27" s="1"/>
  <c r="L53" i="27"/>
  <c r="H53" i="27"/>
  <c r="N53" i="27" s="1"/>
  <c r="D53" i="27"/>
  <c r="Z49" i="27"/>
  <c r="X49" i="27"/>
  <c r="L49" i="27"/>
  <c r="N49" i="27" s="1"/>
  <c r="B49" i="27"/>
  <c r="X48" i="27"/>
  <c r="Z48" i="27" s="1"/>
  <c r="L48" i="27"/>
  <c r="N48" i="27" s="1"/>
  <c r="B48" i="27"/>
  <c r="X47" i="27"/>
  <c r="Z47" i="27" s="1"/>
  <c r="N47" i="27"/>
  <c r="L47" i="27"/>
  <c r="B47" i="27"/>
  <c r="X46" i="27"/>
  <c r="Z46" i="27" s="1"/>
  <c r="N46" i="27"/>
  <c r="L46" i="27"/>
  <c r="B46" i="27"/>
  <c r="Z45" i="27"/>
  <c r="X45" i="27"/>
  <c r="N45" i="27"/>
  <c r="L45" i="27"/>
  <c r="B45" i="27"/>
  <c r="X44" i="27"/>
  <c r="Z44" i="27" s="1"/>
  <c r="L44" i="27"/>
  <c r="N44" i="27" s="1"/>
  <c r="B44" i="27"/>
  <c r="X43" i="27"/>
  <c r="Z43" i="27" s="1"/>
  <c r="N43" i="27"/>
  <c r="L43" i="27"/>
  <c r="B43" i="27"/>
  <c r="X42" i="27"/>
  <c r="Z42" i="27" s="1"/>
  <c r="N42" i="27"/>
  <c r="L42" i="27"/>
  <c r="B42" i="27"/>
  <c r="Z41" i="27"/>
  <c r="X41" i="27"/>
  <c r="L41" i="27"/>
  <c r="N41" i="27" s="1"/>
  <c r="B41" i="27"/>
  <c r="X40" i="27"/>
  <c r="Z40" i="27" s="1"/>
  <c r="L40" i="27"/>
  <c r="N40" i="27" s="1"/>
  <c r="B40" i="27"/>
  <c r="X39" i="27"/>
  <c r="Z39" i="27" s="1"/>
  <c r="N39" i="27"/>
  <c r="L39" i="27"/>
  <c r="B39" i="27"/>
  <c r="X38" i="27"/>
  <c r="Z38" i="27" s="1"/>
  <c r="N38" i="27"/>
  <c r="L38" i="27"/>
  <c r="B38" i="27"/>
  <c r="Z37" i="27"/>
  <c r="X37" i="27"/>
  <c r="L37" i="27"/>
  <c r="N37" i="27" s="1"/>
  <c r="B37" i="27"/>
  <c r="T36" i="27"/>
  <c r="P36" i="27"/>
  <c r="X36" i="27" s="1"/>
  <c r="L36" i="27"/>
  <c r="N36" i="27" s="1"/>
  <c r="H36" i="27"/>
  <c r="D36" i="27"/>
  <c r="X34" i="27"/>
  <c r="Z34" i="27" s="1"/>
  <c r="T34" i="27"/>
  <c r="P34" i="27"/>
  <c r="H34" i="27"/>
  <c r="N34" i="27" s="1"/>
  <c r="D34" i="27"/>
  <c r="L34" i="27" s="1"/>
  <c r="B34" i="27"/>
  <c r="X33" i="27"/>
  <c r="T33" i="27"/>
  <c r="P33" i="27"/>
  <c r="H33" i="27"/>
  <c r="D33" i="27"/>
  <c r="L33" i="27" s="1"/>
  <c r="N33" i="27" s="1"/>
  <c r="B33" i="27"/>
  <c r="T32" i="27"/>
  <c r="P32" i="27"/>
  <c r="N32" i="27"/>
  <c r="H32" i="27"/>
  <c r="D32" i="27"/>
  <c r="L32" i="27" s="1"/>
  <c r="B32" i="27"/>
  <c r="T31" i="27"/>
  <c r="P31" i="27"/>
  <c r="X31" i="27" s="1"/>
  <c r="L31" i="27"/>
  <c r="N31" i="27" s="1"/>
  <c r="H31" i="27"/>
  <c r="D31" i="27"/>
  <c r="B31" i="27"/>
  <c r="X30" i="27"/>
  <c r="Z30" i="27" s="1"/>
  <c r="T30" i="27"/>
  <c r="P30" i="27"/>
  <c r="L30" i="27"/>
  <c r="H30" i="27"/>
  <c r="N30" i="27" s="1"/>
  <c r="D30" i="27"/>
  <c r="B30" i="27"/>
  <c r="X29" i="27"/>
  <c r="T29" i="27"/>
  <c r="Z29" i="27" s="1"/>
  <c r="P29" i="27"/>
  <c r="H29" i="27"/>
  <c r="D29" i="27"/>
  <c r="L29" i="27" s="1"/>
  <c r="N29" i="27" s="1"/>
  <c r="B29" i="27"/>
  <c r="X28" i="27"/>
  <c r="T28" i="27"/>
  <c r="P28" i="27"/>
  <c r="H28" i="27"/>
  <c r="D28" i="27"/>
  <c r="L28" i="27" s="1"/>
  <c r="N28" i="27" s="1"/>
  <c r="B28" i="27"/>
  <c r="T27" i="27"/>
  <c r="P27" i="27"/>
  <c r="X27" i="27" s="1"/>
  <c r="H27" i="27"/>
  <c r="D27" i="27"/>
  <c r="L27" i="27" s="1"/>
  <c r="N27" i="27" s="1"/>
  <c r="B27" i="27"/>
  <c r="X26" i="27"/>
  <c r="Z26" i="27" s="1"/>
  <c r="T26" i="27"/>
  <c r="P26" i="27"/>
  <c r="L26" i="27"/>
  <c r="H26" i="27"/>
  <c r="D26" i="27"/>
  <c r="B26" i="27"/>
  <c r="X25" i="27"/>
  <c r="T25" i="27"/>
  <c r="Z25" i="27" s="1"/>
  <c r="P25" i="27"/>
  <c r="H25" i="27"/>
  <c r="D25" i="27"/>
  <c r="L25" i="27" s="1"/>
  <c r="N25" i="27" s="1"/>
  <c r="B25" i="27"/>
  <c r="X24" i="27"/>
  <c r="T24" i="27"/>
  <c r="P24" i="27"/>
  <c r="H24" i="27"/>
  <c r="D24" i="27"/>
  <c r="L24" i="27" s="1"/>
  <c r="N24" i="27" s="1"/>
  <c r="B24" i="27"/>
  <c r="T23" i="27"/>
  <c r="P23" i="27"/>
  <c r="H23" i="27"/>
  <c r="D23" i="27"/>
  <c r="L23" i="27" s="1"/>
  <c r="N23" i="27" s="1"/>
  <c r="B23" i="27"/>
  <c r="X22" i="27"/>
  <c r="Z22" i="27" s="1"/>
  <c r="T22" i="27"/>
  <c r="P22" i="27"/>
  <c r="H22" i="27"/>
  <c r="D22" i="27"/>
  <c r="L22" i="27" s="1"/>
  <c r="B22" i="27"/>
  <c r="X21" i="27"/>
  <c r="T21" i="27"/>
  <c r="P21" i="27"/>
  <c r="H21" i="27"/>
  <c r="D21" i="27"/>
  <c r="L21" i="27" s="1"/>
  <c r="N21" i="27" s="1"/>
  <c r="B21" i="27"/>
  <c r="T20" i="27"/>
  <c r="P20" i="27"/>
  <c r="N20" i="27"/>
  <c r="H20" i="27"/>
  <c r="D20" i="27"/>
  <c r="L20" i="27" s="1"/>
  <c r="B20" i="27"/>
  <c r="T19" i="27"/>
  <c r="P19" i="27"/>
  <c r="X19" i="27" s="1"/>
  <c r="H19" i="27"/>
  <c r="D19" i="27"/>
  <c r="L19" i="27" s="1"/>
  <c r="N19" i="27" s="1"/>
  <c r="B19" i="27"/>
  <c r="X18" i="27"/>
  <c r="Z18" i="27" s="1"/>
  <c r="T18" i="27"/>
  <c r="P18" i="27"/>
  <c r="H18" i="27"/>
  <c r="N18" i="27" s="1"/>
  <c r="D18" i="27"/>
  <c r="L18" i="27" s="1"/>
  <c r="B18" i="27"/>
  <c r="X17" i="27"/>
  <c r="T17" i="27"/>
  <c r="P17" i="27"/>
  <c r="H17" i="27"/>
  <c r="D17" i="27"/>
  <c r="L17" i="27" s="1"/>
  <c r="N17" i="27" s="1"/>
  <c r="B17" i="27"/>
  <c r="X16" i="27"/>
  <c r="T16" i="27"/>
  <c r="P16" i="27"/>
  <c r="H16" i="27"/>
  <c r="D16" i="27"/>
  <c r="L16" i="27" s="1"/>
  <c r="N16" i="27" s="1"/>
  <c r="B16" i="27"/>
  <c r="T15" i="27"/>
  <c r="P15" i="27"/>
  <c r="H15" i="27"/>
  <c r="D15" i="27"/>
  <c r="B15" i="27"/>
  <c r="X14" i="27"/>
  <c r="Z14" i="27" s="1"/>
  <c r="T14" i="27"/>
  <c r="P14" i="27"/>
  <c r="H14" i="27"/>
  <c r="D14" i="27"/>
  <c r="L14" i="27" s="1"/>
  <c r="B14" i="27"/>
  <c r="X13" i="27"/>
  <c r="T13" i="27"/>
  <c r="Z13" i="27" s="1"/>
  <c r="P13" i="27"/>
  <c r="P12" i="27" s="1"/>
  <c r="R89" i="27" s="1"/>
  <c r="H13" i="27"/>
  <c r="H12" i="27" s="1"/>
  <c r="D13" i="27"/>
  <c r="L13" i="27" s="1"/>
  <c r="N13" i="27" s="1"/>
  <c r="B13" i="27"/>
  <c r="D4" i="27"/>
  <c r="X102" i="24"/>
  <c r="Z102" i="24" s="1"/>
  <c r="L102" i="24"/>
  <c r="N102" i="24" s="1"/>
  <c r="T98" i="24"/>
  <c r="Z98" i="24" s="1"/>
  <c r="P98" i="24"/>
  <c r="X98" i="24" s="1"/>
  <c r="L98" i="24"/>
  <c r="H98" i="24"/>
  <c r="N98" i="24" s="1"/>
  <c r="D98" i="24"/>
  <c r="Z96" i="24"/>
  <c r="X96" i="24"/>
  <c r="N96" i="24"/>
  <c r="L96" i="24"/>
  <c r="B96" i="24"/>
  <c r="T95" i="24"/>
  <c r="P95" i="24"/>
  <c r="X95" i="24" s="1"/>
  <c r="Z95" i="24" s="1"/>
  <c r="L95" i="24"/>
  <c r="H95" i="24"/>
  <c r="N95" i="24" s="1"/>
  <c r="D95" i="24"/>
  <c r="B95" i="24"/>
  <c r="X94" i="24"/>
  <c r="Z94" i="24" s="1"/>
  <c r="L94" i="24"/>
  <c r="N94" i="24" s="1"/>
  <c r="B94" i="24"/>
  <c r="Z93" i="24"/>
  <c r="T93" i="24"/>
  <c r="P93" i="24"/>
  <c r="X93" i="24" s="1"/>
  <c r="L93" i="24"/>
  <c r="H93" i="24"/>
  <c r="D93" i="24"/>
  <c r="B93" i="24"/>
  <c r="X92" i="24"/>
  <c r="Z92" i="24" s="1"/>
  <c r="N92" i="24"/>
  <c r="L92" i="24"/>
  <c r="B92" i="24"/>
  <c r="X91" i="24"/>
  <c r="Z91" i="24" s="1"/>
  <c r="L91" i="24"/>
  <c r="N91" i="24" s="1"/>
  <c r="B91" i="24"/>
  <c r="T90" i="24"/>
  <c r="P90" i="24"/>
  <c r="X90" i="24" s="1"/>
  <c r="Z90" i="24" s="1"/>
  <c r="H90" i="24"/>
  <c r="D90" i="24"/>
  <c r="B90" i="24"/>
  <c r="Z89" i="24"/>
  <c r="X89" i="24"/>
  <c r="N89" i="24"/>
  <c r="L89" i="24"/>
  <c r="B89" i="24"/>
  <c r="Z88" i="24"/>
  <c r="T88" i="24"/>
  <c r="P88" i="24"/>
  <c r="X88" i="24" s="1"/>
  <c r="L88" i="24"/>
  <c r="N88" i="24" s="1"/>
  <c r="H88" i="24"/>
  <c r="D88" i="24"/>
  <c r="B88" i="24"/>
  <c r="X87" i="24"/>
  <c r="Z87" i="24" s="1"/>
  <c r="L87" i="24"/>
  <c r="N87" i="24" s="1"/>
  <c r="B87" i="24"/>
  <c r="T86" i="24"/>
  <c r="P86" i="24"/>
  <c r="X86" i="24" s="1"/>
  <c r="Z86" i="24" s="1"/>
  <c r="H86" i="24"/>
  <c r="D86" i="24"/>
  <c r="B86" i="24"/>
  <c r="Z85" i="24"/>
  <c r="X85" i="24"/>
  <c r="L85" i="24"/>
  <c r="N85" i="24" s="1"/>
  <c r="B85" i="24"/>
  <c r="T84" i="24"/>
  <c r="X84" i="24" s="1"/>
  <c r="P84" i="24"/>
  <c r="L84" i="24"/>
  <c r="H84" i="24"/>
  <c r="N84" i="24" s="1"/>
  <c r="D84" i="24"/>
  <c r="B84" i="24"/>
  <c r="X83" i="24"/>
  <c r="Z83" i="24" s="1"/>
  <c r="L83" i="24"/>
  <c r="N83" i="24" s="1"/>
  <c r="B83" i="24"/>
  <c r="X82" i="24"/>
  <c r="Z82" i="24" s="1"/>
  <c r="T82" i="24"/>
  <c r="P82" i="24"/>
  <c r="H82" i="24"/>
  <c r="D82" i="24"/>
  <c r="B82" i="24"/>
  <c r="Z81" i="24"/>
  <c r="X81" i="24"/>
  <c r="N81" i="24"/>
  <c r="L81" i="24"/>
  <c r="F81" i="24"/>
  <c r="B81" i="24"/>
  <c r="T80" i="24"/>
  <c r="P80" i="24"/>
  <c r="H80" i="24"/>
  <c r="D80" i="24"/>
  <c r="L80" i="24" s="1"/>
  <c r="N80" i="24" s="1"/>
  <c r="B80" i="24"/>
  <c r="X79" i="24"/>
  <c r="Z79" i="24" s="1"/>
  <c r="N79" i="24"/>
  <c r="L79" i="24"/>
  <c r="B79" i="24"/>
  <c r="Z78" i="24"/>
  <c r="X78" i="24"/>
  <c r="L78" i="24"/>
  <c r="N78" i="24" s="1"/>
  <c r="B78" i="24"/>
  <c r="X77" i="24"/>
  <c r="Z77" i="24" s="1"/>
  <c r="L77" i="24"/>
  <c r="N77" i="24" s="1"/>
  <c r="F77" i="24"/>
  <c r="B77" i="24"/>
  <c r="X76" i="24"/>
  <c r="T76" i="24"/>
  <c r="P76" i="24"/>
  <c r="H76" i="24"/>
  <c r="D76" i="24"/>
  <c r="L76" i="24" s="1"/>
  <c r="B76" i="24"/>
  <c r="X75" i="24"/>
  <c r="Z75" i="24" s="1"/>
  <c r="L75" i="24"/>
  <c r="N75" i="24" s="1"/>
  <c r="B75" i="24"/>
  <c r="Z74" i="24"/>
  <c r="X74" i="24"/>
  <c r="N74" i="24"/>
  <c r="L74" i="24"/>
  <c r="B74" i="24"/>
  <c r="X73" i="24"/>
  <c r="Z73" i="24" s="1"/>
  <c r="N73" i="24"/>
  <c r="L73" i="24"/>
  <c r="J73" i="24"/>
  <c r="B73" i="24"/>
  <c r="Z72" i="24"/>
  <c r="X72" i="24"/>
  <c r="L72" i="24"/>
  <c r="N72" i="24" s="1"/>
  <c r="B72" i="24"/>
  <c r="Z71" i="24"/>
  <c r="X71" i="24"/>
  <c r="L71" i="24"/>
  <c r="N71" i="24" s="1"/>
  <c r="B71" i="24"/>
  <c r="X70" i="24"/>
  <c r="Z70" i="24" s="1"/>
  <c r="N70" i="24"/>
  <c r="L70" i="24"/>
  <c r="B70" i="24"/>
  <c r="X69" i="24"/>
  <c r="Z69" i="24" s="1"/>
  <c r="N69" i="24"/>
  <c r="L69" i="24"/>
  <c r="B69" i="24"/>
  <c r="Z68" i="24"/>
  <c r="X68" i="24"/>
  <c r="L68" i="24"/>
  <c r="N68" i="24" s="1"/>
  <c r="B68" i="24"/>
  <c r="Z67" i="24"/>
  <c r="T67" i="24"/>
  <c r="P67" i="24"/>
  <c r="X67" i="24" s="1"/>
  <c r="L67" i="24"/>
  <c r="H67" i="24"/>
  <c r="N67" i="24" s="1"/>
  <c r="D67" i="24"/>
  <c r="B67" i="24"/>
  <c r="Z66" i="24"/>
  <c r="X66" i="24"/>
  <c r="T66" i="24"/>
  <c r="P66" i="24"/>
  <c r="H66" i="24"/>
  <c r="D66" i="24"/>
  <c r="L66" i="24" s="1"/>
  <c r="D64" i="24"/>
  <c r="X62" i="24"/>
  <c r="Z62" i="24" s="1"/>
  <c r="N62" i="24"/>
  <c r="L62" i="24"/>
  <c r="B62" i="24"/>
  <c r="Z61" i="24"/>
  <c r="X61" i="24"/>
  <c r="L61" i="24"/>
  <c r="N61" i="24" s="1"/>
  <c r="B61" i="24"/>
  <c r="X60" i="24"/>
  <c r="Z60" i="24" s="1"/>
  <c r="L60" i="24"/>
  <c r="N60" i="24" s="1"/>
  <c r="B60" i="24"/>
  <c r="Z59" i="24"/>
  <c r="X59" i="24"/>
  <c r="N59" i="24"/>
  <c r="L59" i="24"/>
  <c r="B59" i="24"/>
  <c r="Z58" i="24"/>
  <c r="X58" i="24"/>
  <c r="N58" i="24"/>
  <c r="L58" i="24"/>
  <c r="B58" i="24"/>
  <c r="Z57" i="24"/>
  <c r="X57" i="24"/>
  <c r="L57" i="24"/>
  <c r="N57" i="24" s="1"/>
  <c r="B57" i="24"/>
  <c r="Z56" i="24"/>
  <c r="X56" i="24"/>
  <c r="N56" i="24"/>
  <c r="L56" i="24"/>
  <c r="B56" i="24"/>
  <c r="X55" i="24"/>
  <c r="Z55" i="24" s="1"/>
  <c r="N55" i="24"/>
  <c r="L55" i="24"/>
  <c r="B55" i="24"/>
  <c r="X54" i="24"/>
  <c r="Z54" i="24" s="1"/>
  <c r="N54" i="24"/>
  <c r="L54" i="24"/>
  <c r="B54" i="24"/>
  <c r="Z53" i="24"/>
  <c r="X53" i="24"/>
  <c r="N53" i="24"/>
  <c r="L53" i="24"/>
  <c r="B53" i="24"/>
  <c r="X52" i="24"/>
  <c r="Z52" i="24" s="1"/>
  <c r="L52" i="24"/>
  <c r="N52" i="24" s="1"/>
  <c r="B52" i="24"/>
  <c r="X51" i="24"/>
  <c r="Z51" i="24" s="1"/>
  <c r="N51" i="24"/>
  <c r="L51" i="24"/>
  <c r="B51" i="24"/>
  <c r="X50" i="24"/>
  <c r="Z50" i="24" s="1"/>
  <c r="N50" i="24"/>
  <c r="L50" i="24"/>
  <c r="B50" i="24"/>
  <c r="Z49" i="24"/>
  <c r="X49" i="24"/>
  <c r="L49" i="24"/>
  <c r="N49" i="24" s="1"/>
  <c r="B49" i="24"/>
  <c r="X48" i="24"/>
  <c r="Z48" i="24" s="1"/>
  <c r="L48" i="24"/>
  <c r="N48" i="24" s="1"/>
  <c r="B48" i="24"/>
  <c r="X47" i="24"/>
  <c r="T47" i="24"/>
  <c r="Z47" i="24" s="1"/>
  <c r="P47" i="24"/>
  <c r="H47" i="24"/>
  <c r="D47" i="24"/>
  <c r="L47" i="24" s="1"/>
  <c r="N47" i="24" s="1"/>
  <c r="X45" i="24"/>
  <c r="T45" i="24"/>
  <c r="Z45" i="24" s="1"/>
  <c r="P45" i="24"/>
  <c r="H45" i="24"/>
  <c r="L45" i="24" s="1"/>
  <c r="N45" i="24" s="1"/>
  <c r="D45" i="24"/>
  <c r="B45" i="24"/>
  <c r="T44" i="24"/>
  <c r="P44" i="24"/>
  <c r="H44" i="24"/>
  <c r="D44" i="24"/>
  <c r="L44" i="24" s="1"/>
  <c r="N44" i="24" s="1"/>
  <c r="B44" i="24"/>
  <c r="T43" i="24"/>
  <c r="P43" i="24"/>
  <c r="L43" i="24"/>
  <c r="N43" i="24" s="1"/>
  <c r="H43" i="24"/>
  <c r="D43" i="24"/>
  <c r="B43" i="24"/>
  <c r="X42" i="24"/>
  <c r="T42" i="24"/>
  <c r="Z42" i="24" s="1"/>
  <c r="P42" i="24"/>
  <c r="L42" i="24"/>
  <c r="H42" i="24"/>
  <c r="N42" i="24" s="1"/>
  <c r="D42" i="24"/>
  <c r="B42" i="24"/>
  <c r="X41" i="24"/>
  <c r="T41" i="24"/>
  <c r="Z41" i="24" s="1"/>
  <c r="P41" i="24"/>
  <c r="H41" i="24"/>
  <c r="L41" i="24" s="1"/>
  <c r="N41" i="24" s="1"/>
  <c r="D41" i="24"/>
  <c r="B41" i="24"/>
  <c r="T40" i="24"/>
  <c r="P40" i="24"/>
  <c r="H40" i="24"/>
  <c r="D40" i="24"/>
  <c r="L40" i="24" s="1"/>
  <c r="N40" i="24" s="1"/>
  <c r="B40" i="24"/>
  <c r="T39" i="24"/>
  <c r="P39" i="24"/>
  <c r="L39" i="24"/>
  <c r="N39" i="24" s="1"/>
  <c r="H39" i="24"/>
  <c r="D39" i="24"/>
  <c r="B39" i="24"/>
  <c r="X38" i="24"/>
  <c r="T38" i="24"/>
  <c r="Z38" i="24" s="1"/>
  <c r="P38" i="24"/>
  <c r="L38" i="24"/>
  <c r="H38" i="24"/>
  <c r="N38" i="24" s="1"/>
  <c r="D38" i="24"/>
  <c r="B38" i="24"/>
  <c r="X37" i="24"/>
  <c r="T37" i="24"/>
  <c r="Z37" i="24" s="1"/>
  <c r="P37" i="24"/>
  <c r="H37" i="24"/>
  <c r="L37" i="24" s="1"/>
  <c r="N37" i="24" s="1"/>
  <c r="D37" i="24"/>
  <c r="B37" i="24"/>
  <c r="T36" i="24"/>
  <c r="P36" i="24"/>
  <c r="H36" i="24"/>
  <c r="D36" i="24"/>
  <c r="L36" i="24" s="1"/>
  <c r="N36" i="24" s="1"/>
  <c r="B36" i="24"/>
  <c r="T35" i="24"/>
  <c r="P35" i="24"/>
  <c r="L35" i="24"/>
  <c r="N35" i="24" s="1"/>
  <c r="H35" i="24"/>
  <c r="D35" i="24"/>
  <c r="B35" i="24"/>
  <c r="X34" i="24"/>
  <c r="T34" i="24"/>
  <c r="Z34" i="24" s="1"/>
  <c r="P34" i="24"/>
  <c r="L34" i="24"/>
  <c r="H34" i="24"/>
  <c r="N34" i="24" s="1"/>
  <c r="D34" i="24"/>
  <c r="B34" i="24"/>
  <c r="X33" i="24"/>
  <c r="T33" i="24"/>
  <c r="Z33" i="24" s="1"/>
  <c r="P33" i="24"/>
  <c r="H33" i="24"/>
  <c r="L33" i="24" s="1"/>
  <c r="N33" i="24" s="1"/>
  <c r="D33" i="24"/>
  <c r="B33" i="24"/>
  <c r="T32" i="24"/>
  <c r="P32" i="24"/>
  <c r="H32" i="24"/>
  <c r="D32" i="24"/>
  <c r="L32" i="24" s="1"/>
  <c r="N32" i="24" s="1"/>
  <c r="B32" i="24"/>
  <c r="T31" i="24"/>
  <c r="P31" i="24"/>
  <c r="L31" i="24"/>
  <c r="N31" i="24" s="1"/>
  <c r="H31" i="24"/>
  <c r="D31" i="24"/>
  <c r="B31" i="24"/>
  <c r="X30" i="24"/>
  <c r="T30" i="24"/>
  <c r="Z30" i="24" s="1"/>
  <c r="P30" i="24"/>
  <c r="L30" i="24"/>
  <c r="H30" i="24"/>
  <c r="N30" i="24" s="1"/>
  <c r="D30" i="24"/>
  <c r="B30" i="24"/>
  <c r="X29" i="24"/>
  <c r="T29" i="24"/>
  <c r="Z29" i="24" s="1"/>
  <c r="P29" i="24"/>
  <c r="H29" i="24"/>
  <c r="L29" i="24" s="1"/>
  <c r="N29" i="24" s="1"/>
  <c r="D29" i="24"/>
  <c r="B29" i="24"/>
  <c r="T28" i="24"/>
  <c r="P28" i="24"/>
  <c r="H28" i="24"/>
  <c r="D28" i="24"/>
  <c r="L28" i="24" s="1"/>
  <c r="N28" i="24" s="1"/>
  <c r="B28" i="24"/>
  <c r="T27" i="24"/>
  <c r="Z27" i="24" s="1"/>
  <c r="P27" i="24"/>
  <c r="N27" i="24"/>
  <c r="L27" i="24"/>
  <c r="H27" i="24"/>
  <c r="D27" i="24"/>
  <c r="B27" i="24"/>
  <c r="X26" i="24"/>
  <c r="T26" i="24"/>
  <c r="Z26" i="24" s="1"/>
  <c r="P26" i="24"/>
  <c r="L26" i="24"/>
  <c r="H26" i="24"/>
  <c r="D26" i="24"/>
  <c r="B26" i="24"/>
  <c r="T25" i="24"/>
  <c r="P25" i="24"/>
  <c r="H25" i="24"/>
  <c r="L25" i="24" s="1"/>
  <c r="N25" i="24" s="1"/>
  <c r="D25" i="24"/>
  <c r="B25" i="24"/>
  <c r="T24" i="24"/>
  <c r="P24" i="24"/>
  <c r="H24" i="24"/>
  <c r="D24" i="24"/>
  <c r="L24" i="24" s="1"/>
  <c r="N24" i="24" s="1"/>
  <c r="B24" i="24"/>
  <c r="T23" i="24"/>
  <c r="P23" i="24"/>
  <c r="L23" i="24"/>
  <c r="N23" i="24" s="1"/>
  <c r="H23" i="24"/>
  <c r="D23" i="24"/>
  <c r="B23" i="24"/>
  <c r="X22" i="24"/>
  <c r="T22" i="24"/>
  <c r="Z22" i="24" s="1"/>
  <c r="P22" i="24"/>
  <c r="L22" i="24"/>
  <c r="H22" i="24"/>
  <c r="N22" i="24" s="1"/>
  <c r="D22" i="24"/>
  <c r="B22" i="24"/>
  <c r="T21" i="24"/>
  <c r="P21" i="24"/>
  <c r="H21" i="24"/>
  <c r="L21" i="24" s="1"/>
  <c r="N21" i="24" s="1"/>
  <c r="D21" i="24"/>
  <c r="B21" i="24"/>
  <c r="T20" i="24"/>
  <c r="P20" i="24"/>
  <c r="H20" i="24"/>
  <c r="D20" i="24"/>
  <c r="L20" i="24" s="1"/>
  <c r="N20" i="24" s="1"/>
  <c r="B20" i="24"/>
  <c r="T19" i="24"/>
  <c r="P19" i="24"/>
  <c r="X19" i="24" s="1"/>
  <c r="L19" i="24"/>
  <c r="N19" i="24" s="1"/>
  <c r="H19" i="24"/>
  <c r="D19" i="24"/>
  <c r="B19" i="24"/>
  <c r="X18" i="24"/>
  <c r="T18" i="24"/>
  <c r="Z18" i="24" s="1"/>
  <c r="P18" i="24"/>
  <c r="L18" i="24"/>
  <c r="N18" i="24" s="1"/>
  <c r="H18" i="24"/>
  <c r="D18" i="24"/>
  <c r="B18" i="24"/>
  <c r="T17" i="24"/>
  <c r="P17" i="24"/>
  <c r="H17" i="24"/>
  <c r="L17" i="24" s="1"/>
  <c r="N17" i="24" s="1"/>
  <c r="D17" i="24"/>
  <c r="B17" i="24"/>
  <c r="T16" i="24"/>
  <c r="P16" i="24"/>
  <c r="H16" i="24"/>
  <c r="D16" i="24"/>
  <c r="L16" i="24" s="1"/>
  <c r="N16" i="24" s="1"/>
  <c r="B16" i="24"/>
  <c r="T15" i="24"/>
  <c r="P15" i="24"/>
  <c r="L15" i="24"/>
  <c r="N15" i="24" s="1"/>
  <c r="H15" i="24"/>
  <c r="D15" i="24"/>
  <c r="B15" i="24"/>
  <c r="X14" i="24"/>
  <c r="T14" i="24"/>
  <c r="Z14" i="24" s="1"/>
  <c r="P14" i="24"/>
  <c r="L14" i="24"/>
  <c r="N14" i="24" s="1"/>
  <c r="H14" i="24"/>
  <c r="D14" i="24"/>
  <c r="B14" i="24"/>
  <c r="T13" i="24"/>
  <c r="P13" i="24"/>
  <c r="P12" i="24" s="1"/>
  <c r="H13" i="24"/>
  <c r="H12" i="24" s="1"/>
  <c r="D13" i="24"/>
  <c r="B13" i="24"/>
  <c r="D12" i="24"/>
  <c r="F90" i="24" s="1"/>
  <c r="D4" i="24"/>
  <c r="Z98" i="21"/>
  <c r="X98" i="21"/>
  <c r="L98" i="21"/>
  <c r="N98" i="21" s="1"/>
  <c r="Z94" i="21"/>
  <c r="T94" i="21"/>
  <c r="P94" i="21"/>
  <c r="X94" i="21" s="1"/>
  <c r="H94" i="21"/>
  <c r="N94" i="21" s="1"/>
  <c r="D94" i="21"/>
  <c r="L94" i="21" s="1"/>
  <c r="Z92" i="21"/>
  <c r="X92" i="21"/>
  <c r="N92" i="21"/>
  <c r="L92" i="21"/>
  <c r="B92" i="21"/>
  <c r="T91" i="21"/>
  <c r="P91" i="21"/>
  <c r="X91" i="21" s="1"/>
  <c r="L91" i="21"/>
  <c r="N91" i="21" s="1"/>
  <c r="H91" i="21"/>
  <c r="D91" i="21"/>
  <c r="B91" i="21"/>
  <c r="X90" i="21"/>
  <c r="Z90" i="21" s="1"/>
  <c r="N90" i="21"/>
  <c r="L90" i="21"/>
  <c r="B90" i="21"/>
  <c r="T89" i="21"/>
  <c r="Z89" i="21" s="1"/>
  <c r="P89" i="21"/>
  <c r="X89" i="21" s="1"/>
  <c r="H89" i="21"/>
  <c r="D89" i="21"/>
  <c r="B89" i="21"/>
  <c r="Z88" i="21"/>
  <c r="X88" i="21"/>
  <c r="N88" i="21"/>
  <c r="L88" i="21"/>
  <c r="B88" i="21"/>
  <c r="T87" i="21"/>
  <c r="P87" i="21"/>
  <c r="H87" i="21"/>
  <c r="N87" i="21" s="1"/>
  <c r="D87" i="21"/>
  <c r="L87" i="21" s="1"/>
  <c r="B87" i="21"/>
  <c r="Z86" i="21"/>
  <c r="X86" i="21"/>
  <c r="N86" i="21"/>
  <c r="L86" i="21"/>
  <c r="B86" i="21"/>
  <c r="X85" i="21"/>
  <c r="Z85" i="21" s="1"/>
  <c r="L85" i="21"/>
  <c r="N85" i="21" s="1"/>
  <c r="B85" i="21"/>
  <c r="Z84" i="21"/>
  <c r="X84" i="21"/>
  <c r="N84" i="21"/>
  <c r="L84" i="21"/>
  <c r="B84" i="21"/>
  <c r="X83" i="21"/>
  <c r="Z83" i="21" s="1"/>
  <c r="L83" i="21"/>
  <c r="N83" i="21" s="1"/>
  <c r="F83" i="21"/>
  <c r="B83" i="21"/>
  <c r="X82" i="21"/>
  <c r="Z82" i="21" s="1"/>
  <c r="L82" i="21"/>
  <c r="N82" i="21" s="1"/>
  <c r="B82" i="21"/>
  <c r="X81" i="21"/>
  <c r="T81" i="21"/>
  <c r="Z81" i="21" s="1"/>
  <c r="P81" i="21"/>
  <c r="H81" i="21"/>
  <c r="N81" i="21" s="1"/>
  <c r="D81" i="21"/>
  <c r="L81" i="21" s="1"/>
  <c r="B81" i="21"/>
  <c r="Z80" i="21"/>
  <c r="X80" i="21"/>
  <c r="N80" i="21"/>
  <c r="L80" i="21"/>
  <c r="B80" i="21"/>
  <c r="X79" i="21"/>
  <c r="Z79" i="21" s="1"/>
  <c r="L79" i="21"/>
  <c r="N79" i="21" s="1"/>
  <c r="B79" i="21"/>
  <c r="T78" i="21"/>
  <c r="Z78" i="21" s="1"/>
  <c r="P78" i="21"/>
  <c r="X78" i="21" s="1"/>
  <c r="H78" i="21"/>
  <c r="D78" i="21"/>
  <c r="L78" i="21" s="1"/>
  <c r="N78" i="21" s="1"/>
  <c r="B78" i="21"/>
  <c r="X77" i="21"/>
  <c r="Z77" i="21" s="1"/>
  <c r="L77" i="21"/>
  <c r="N77" i="21" s="1"/>
  <c r="B77" i="21"/>
  <c r="X76" i="21"/>
  <c r="Z76" i="21" s="1"/>
  <c r="N76" i="21"/>
  <c r="L76" i="21"/>
  <c r="B76" i="21"/>
  <c r="X75" i="21"/>
  <c r="Z75" i="21" s="1"/>
  <c r="L75" i="21"/>
  <c r="N75" i="21" s="1"/>
  <c r="B75" i="21"/>
  <c r="Z74" i="21"/>
  <c r="X74" i="21"/>
  <c r="L74" i="21"/>
  <c r="N74" i="21" s="1"/>
  <c r="B74" i="21"/>
  <c r="T73" i="21"/>
  <c r="P73" i="21"/>
  <c r="X73" i="21" s="1"/>
  <c r="H73" i="21"/>
  <c r="D73" i="21"/>
  <c r="L73" i="21" s="1"/>
  <c r="B73" i="21"/>
  <c r="Z72" i="21"/>
  <c r="X72" i="21"/>
  <c r="N72" i="21"/>
  <c r="L72" i="21"/>
  <c r="B72" i="21"/>
  <c r="T71" i="21"/>
  <c r="Z71" i="21" s="1"/>
  <c r="P71" i="21"/>
  <c r="X71" i="21" s="1"/>
  <c r="L71" i="21"/>
  <c r="H71" i="21"/>
  <c r="N71" i="21" s="1"/>
  <c r="D71" i="21"/>
  <c r="B71" i="21"/>
  <c r="X70" i="21"/>
  <c r="Z70" i="21" s="1"/>
  <c r="N70" i="21"/>
  <c r="L70" i="21"/>
  <c r="B70" i="21"/>
  <c r="T69" i="21"/>
  <c r="P69" i="21"/>
  <c r="X69" i="21" s="1"/>
  <c r="H69" i="21"/>
  <c r="D69" i="21"/>
  <c r="B69" i="21"/>
  <c r="Z68" i="21"/>
  <c r="X68" i="21"/>
  <c r="N68" i="21"/>
  <c r="L68" i="21"/>
  <c r="B68" i="21"/>
  <c r="T67" i="21"/>
  <c r="Z67" i="21" s="1"/>
  <c r="P67" i="21"/>
  <c r="X67" i="21" s="1"/>
  <c r="H67" i="21"/>
  <c r="D67" i="21"/>
  <c r="L67" i="21" s="1"/>
  <c r="B67" i="21"/>
  <c r="Z66" i="21"/>
  <c r="X66" i="21"/>
  <c r="N66" i="21"/>
  <c r="L66" i="21"/>
  <c r="B66" i="21"/>
  <c r="X65" i="21"/>
  <c r="T65" i="21"/>
  <c r="P65" i="21"/>
  <c r="H65" i="21"/>
  <c r="N65" i="21" s="1"/>
  <c r="D65" i="21"/>
  <c r="L65" i="21" s="1"/>
  <c r="B65" i="21"/>
  <c r="Z64" i="21"/>
  <c r="X64" i="21"/>
  <c r="N64" i="21"/>
  <c r="L64" i="21"/>
  <c r="B64" i="21"/>
  <c r="T63" i="21"/>
  <c r="P63" i="21"/>
  <c r="H63" i="21"/>
  <c r="D63" i="21"/>
  <c r="L63" i="21" s="1"/>
  <c r="B63" i="21"/>
  <c r="Z62" i="21"/>
  <c r="X62" i="21"/>
  <c r="N62" i="21"/>
  <c r="L62" i="21"/>
  <c r="B62" i="21"/>
  <c r="T61" i="21"/>
  <c r="Z61" i="21" s="1"/>
  <c r="P61" i="21"/>
  <c r="X61" i="21" s="1"/>
  <c r="H61" i="21"/>
  <c r="N61" i="21" s="1"/>
  <c r="D61" i="21"/>
  <c r="L61" i="21" s="1"/>
  <c r="B61" i="21"/>
  <c r="Z60" i="21"/>
  <c r="X60" i="21"/>
  <c r="N60" i="21"/>
  <c r="L60" i="21"/>
  <c r="B60" i="21"/>
  <c r="T59" i="21"/>
  <c r="Z59" i="21" s="1"/>
  <c r="P59" i="21"/>
  <c r="X59" i="21" s="1"/>
  <c r="L59" i="21"/>
  <c r="H59" i="21"/>
  <c r="D59" i="21"/>
  <c r="B59" i="21"/>
  <c r="Z58" i="21"/>
  <c r="X58" i="21"/>
  <c r="N58" i="21"/>
  <c r="L58" i="21"/>
  <c r="B58" i="21"/>
  <c r="T57" i="21"/>
  <c r="Z57" i="21" s="1"/>
  <c r="P57" i="21"/>
  <c r="X57" i="21" s="1"/>
  <c r="H57" i="21"/>
  <c r="D57" i="21"/>
  <c r="B57" i="21"/>
  <c r="Z56" i="21"/>
  <c r="X56" i="21"/>
  <c r="N56" i="21"/>
  <c r="L56" i="21"/>
  <c r="B56" i="21"/>
  <c r="T55" i="21"/>
  <c r="P55" i="21"/>
  <c r="H55" i="21"/>
  <c r="N55" i="21" s="1"/>
  <c r="D55" i="21"/>
  <c r="L55" i="21" s="1"/>
  <c r="B55" i="21"/>
  <c r="Z54" i="21"/>
  <c r="X54" i="21"/>
  <c r="N54" i="21"/>
  <c r="L54" i="21"/>
  <c r="B54" i="21"/>
  <c r="X53" i="21"/>
  <c r="T53" i="21"/>
  <c r="Z53" i="21" s="1"/>
  <c r="P53" i="21"/>
  <c r="H53" i="21"/>
  <c r="D53" i="21"/>
  <c r="L53" i="21" s="1"/>
  <c r="B53" i="21"/>
  <c r="Z52" i="21"/>
  <c r="X52" i="21"/>
  <c r="N52" i="21"/>
  <c r="L52" i="21"/>
  <c r="B52" i="21"/>
  <c r="X51" i="21"/>
  <c r="Z51" i="21" s="1"/>
  <c r="L51" i="21"/>
  <c r="N51" i="21" s="1"/>
  <c r="B51" i="21"/>
  <c r="T50" i="21"/>
  <c r="P50" i="21"/>
  <c r="X50" i="21" s="1"/>
  <c r="N50" i="21"/>
  <c r="H50" i="21"/>
  <c r="D50" i="21"/>
  <c r="L50" i="21" s="1"/>
  <c r="B50" i="21"/>
  <c r="X49" i="21"/>
  <c r="Z49" i="21" s="1"/>
  <c r="L49" i="21"/>
  <c r="N49" i="21" s="1"/>
  <c r="B49" i="21"/>
  <c r="X48" i="21"/>
  <c r="Z48" i="21" s="1"/>
  <c r="T48" i="21"/>
  <c r="P48" i="21"/>
  <c r="H48" i="21"/>
  <c r="D48" i="21"/>
  <c r="L48" i="21" s="1"/>
  <c r="N48" i="21" s="1"/>
  <c r="B48" i="21"/>
  <c r="Z47" i="21"/>
  <c r="X47" i="21"/>
  <c r="L47" i="21"/>
  <c r="N47" i="21" s="1"/>
  <c r="F47" i="21"/>
  <c r="B47" i="21"/>
  <c r="T46" i="21"/>
  <c r="P46" i="21"/>
  <c r="X46" i="21" s="1"/>
  <c r="H46" i="21"/>
  <c r="D46" i="21"/>
  <c r="L46" i="21" s="1"/>
  <c r="N46" i="21" s="1"/>
  <c r="B46" i="21"/>
  <c r="X45" i="21"/>
  <c r="Z45" i="21" s="1"/>
  <c r="L45" i="21"/>
  <c r="N45" i="21" s="1"/>
  <c r="B45" i="21"/>
  <c r="T44" i="21"/>
  <c r="P44" i="21"/>
  <c r="X44" i="21" s="1"/>
  <c r="Z44" i="21" s="1"/>
  <c r="H44" i="21"/>
  <c r="D44" i="21"/>
  <c r="L44" i="21" s="1"/>
  <c r="B44" i="21"/>
  <c r="Z43" i="21"/>
  <c r="X43" i="21"/>
  <c r="L43" i="21"/>
  <c r="N43" i="21" s="1"/>
  <c r="B43" i="21"/>
  <c r="Z42" i="21"/>
  <c r="X42" i="21"/>
  <c r="L42" i="21"/>
  <c r="N42" i="21" s="1"/>
  <c r="B42" i="21"/>
  <c r="X41" i="21"/>
  <c r="Z41" i="21" s="1"/>
  <c r="L41" i="21"/>
  <c r="N41" i="21" s="1"/>
  <c r="B41" i="21"/>
  <c r="Z40" i="21"/>
  <c r="X40" i="21"/>
  <c r="N40" i="21"/>
  <c r="L40" i="21"/>
  <c r="B40" i="21"/>
  <c r="X39" i="21"/>
  <c r="Z39" i="21" s="1"/>
  <c r="L39" i="21"/>
  <c r="N39" i="21" s="1"/>
  <c r="B39" i="21"/>
  <c r="T38" i="21"/>
  <c r="P38" i="21"/>
  <c r="X38" i="21" s="1"/>
  <c r="Z38" i="21" s="1"/>
  <c r="H38" i="21"/>
  <c r="N38" i="21" s="1"/>
  <c r="D38" i="21"/>
  <c r="L38" i="21" s="1"/>
  <c r="B38" i="21"/>
  <c r="X37" i="21"/>
  <c r="Z37" i="21" s="1"/>
  <c r="N37" i="21"/>
  <c r="L37" i="21"/>
  <c r="B37" i="21"/>
  <c r="Z36" i="21"/>
  <c r="X36" i="21"/>
  <c r="N36" i="21"/>
  <c r="L36" i="21"/>
  <c r="B36" i="21"/>
  <c r="X35" i="21"/>
  <c r="Z35" i="21" s="1"/>
  <c r="L35" i="21"/>
  <c r="N35" i="21" s="1"/>
  <c r="F35" i="21"/>
  <c r="B35" i="21"/>
  <c r="X34" i="21"/>
  <c r="Z34" i="21" s="1"/>
  <c r="N34" i="21"/>
  <c r="L34" i="21"/>
  <c r="B34" i="21"/>
  <c r="X33" i="21"/>
  <c r="Z33" i="21" s="1"/>
  <c r="L33" i="21"/>
  <c r="N33" i="21" s="1"/>
  <c r="B33" i="21"/>
  <c r="Z32" i="21"/>
  <c r="X32" i="21"/>
  <c r="N32" i="21"/>
  <c r="L32" i="21"/>
  <c r="B32" i="21"/>
  <c r="X31" i="21"/>
  <c r="Z31" i="21" s="1"/>
  <c r="L31" i="21"/>
  <c r="N31" i="21" s="1"/>
  <c r="F31" i="21"/>
  <c r="B31" i="21"/>
  <c r="X30" i="21"/>
  <c r="Z30" i="21" s="1"/>
  <c r="L30" i="21"/>
  <c r="N30" i="21" s="1"/>
  <c r="B30" i="21"/>
  <c r="X29" i="21"/>
  <c r="T29" i="21"/>
  <c r="P29" i="21"/>
  <c r="H29" i="21"/>
  <c r="N29" i="21" s="1"/>
  <c r="D29" i="21"/>
  <c r="L29" i="21" s="1"/>
  <c r="B29" i="21"/>
  <c r="Z28" i="21"/>
  <c r="T28" i="21"/>
  <c r="P28" i="21"/>
  <c r="X28" i="21" s="1"/>
  <c r="H28" i="21"/>
  <c r="N28" i="21" s="1"/>
  <c r="D28" i="21"/>
  <c r="L28" i="21" s="1"/>
  <c r="Z24" i="21"/>
  <c r="X24" i="21"/>
  <c r="L24" i="21"/>
  <c r="N24" i="21" s="1"/>
  <c r="B24" i="21"/>
  <c r="Z23" i="21"/>
  <c r="X23" i="21"/>
  <c r="N23" i="21"/>
  <c r="L23" i="21"/>
  <c r="B23" i="21"/>
  <c r="T22" i="21"/>
  <c r="Z22" i="21" s="1"/>
  <c r="P22" i="21"/>
  <c r="X22" i="21" s="1"/>
  <c r="N22" i="21"/>
  <c r="H22" i="21"/>
  <c r="D22" i="21"/>
  <c r="L22" i="21" s="1"/>
  <c r="T20" i="21"/>
  <c r="Z20" i="21" s="1"/>
  <c r="P20" i="21"/>
  <c r="X20" i="21" s="1"/>
  <c r="H20" i="21"/>
  <c r="D20" i="21"/>
  <c r="B20" i="21"/>
  <c r="T19" i="21"/>
  <c r="P19" i="21"/>
  <c r="X19" i="21" s="1"/>
  <c r="L19" i="21"/>
  <c r="H19" i="21"/>
  <c r="N19" i="21" s="1"/>
  <c r="D19" i="21"/>
  <c r="B19" i="21"/>
  <c r="T18" i="21"/>
  <c r="P18" i="21"/>
  <c r="X18" i="21" s="1"/>
  <c r="Z18" i="21" s="1"/>
  <c r="L18" i="21"/>
  <c r="H18" i="21"/>
  <c r="N18" i="21" s="1"/>
  <c r="D18" i="21"/>
  <c r="B18" i="21"/>
  <c r="T17" i="21"/>
  <c r="P17" i="21"/>
  <c r="X17" i="21" s="1"/>
  <c r="Z17" i="21" s="1"/>
  <c r="H17" i="21"/>
  <c r="D17" i="21"/>
  <c r="B17" i="21"/>
  <c r="T16" i="21"/>
  <c r="P16" i="21"/>
  <c r="X16" i="21" s="1"/>
  <c r="H16" i="21"/>
  <c r="D16" i="21"/>
  <c r="B16" i="21"/>
  <c r="T15" i="21"/>
  <c r="P15" i="21"/>
  <c r="L15" i="21"/>
  <c r="H15" i="21"/>
  <c r="D15" i="21"/>
  <c r="D12" i="21" s="1"/>
  <c r="F46" i="21" s="1"/>
  <c r="B15" i="21"/>
  <c r="T14" i="21"/>
  <c r="P14" i="21"/>
  <c r="X14" i="21" s="1"/>
  <c r="Z14" i="21" s="1"/>
  <c r="L14" i="21"/>
  <c r="N14" i="21" s="1"/>
  <c r="H14" i="21"/>
  <c r="D14" i="21"/>
  <c r="B14" i="21"/>
  <c r="T13" i="21"/>
  <c r="P13" i="21"/>
  <c r="H13" i="21"/>
  <c r="N13" i="21" s="1"/>
  <c r="D13" i="21"/>
  <c r="L13" i="21" s="1"/>
  <c r="B13" i="21"/>
  <c r="T12" i="21"/>
  <c r="V42" i="21" s="1"/>
  <c r="D4" i="21"/>
  <c r="X251" i="18"/>
  <c r="Z251" i="18" s="1"/>
  <c r="L251" i="18"/>
  <c r="N251" i="18" s="1"/>
  <c r="X247" i="18"/>
  <c r="T247" i="18"/>
  <c r="P247" i="18"/>
  <c r="H247" i="18"/>
  <c r="D247" i="18"/>
  <c r="B247" i="18"/>
  <c r="Z246" i="18"/>
  <c r="T246" i="18"/>
  <c r="X246" i="18" s="1"/>
  <c r="P246" i="18"/>
  <c r="N246" i="18"/>
  <c r="L246" i="18"/>
  <c r="H246" i="18"/>
  <c r="D246" i="18"/>
  <c r="B246" i="18"/>
  <c r="T245" i="18"/>
  <c r="P245" i="18"/>
  <c r="X245" i="18" s="1"/>
  <c r="H245" i="18"/>
  <c r="D245" i="18"/>
  <c r="L245" i="18" s="1"/>
  <c r="B245" i="18"/>
  <c r="Z244" i="18"/>
  <c r="T244" i="18"/>
  <c r="P244" i="18"/>
  <c r="X244" i="18" s="1"/>
  <c r="N244" i="18"/>
  <c r="H244" i="18"/>
  <c r="F244" i="18"/>
  <c r="D244" i="18"/>
  <c r="L244" i="18" s="1"/>
  <c r="B244" i="18"/>
  <c r="T243" i="18"/>
  <c r="Z243" i="18" s="1"/>
  <c r="P243" i="18"/>
  <c r="X243" i="18" s="1"/>
  <c r="H243" i="18"/>
  <c r="D243" i="18"/>
  <c r="B243" i="18"/>
  <c r="T242" i="18"/>
  <c r="P242" i="18"/>
  <c r="X242" i="18" s="1"/>
  <c r="Z242" i="18" s="1"/>
  <c r="H242" i="18"/>
  <c r="D242" i="18"/>
  <c r="L242" i="18" s="1"/>
  <c r="B242" i="18"/>
  <c r="T241" i="18"/>
  <c r="Z241" i="18" s="1"/>
  <c r="P241" i="18"/>
  <c r="L241" i="18"/>
  <c r="H241" i="18"/>
  <c r="N241" i="18" s="1"/>
  <c r="D241" i="18"/>
  <c r="B241" i="18"/>
  <c r="Z238" i="18"/>
  <c r="X238" i="18"/>
  <c r="L238" i="18"/>
  <c r="N238" i="18" s="1"/>
  <c r="B238" i="18"/>
  <c r="T237" i="18"/>
  <c r="P237" i="18"/>
  <c r="X237" i="18" s="1"/>
  <c r="H237" i="18"/>
  <c r="D237" i="18"/>
  <c r="L237" i="18" s="1"/>
  <c r="B237" i="18"/>
  <c r="X236" i="18"/>
  <c r="Z236" i="18" s="1"/>
  <c r="N236" i="18"/>
  <c r="L236" i="18"/>
  <c r="B236" i="18"/>
  <c r="X235" i="18"/>
  <c r="Z235" i="18" s="1"/>
  <c r="L235" i="18"/>
  <c r="N235" i="18" s="1"/>
  <c r="B235" i="18"/>
  <c r="X234" i="18"/>
  <c r="Z234" i="18" s="1"/>
  <c r="L234" i="18"/>
  <c r="N234" i="18" s="1"/>
  <c r="B234" i="18"/>
  <c r="T233" i="18"/>
  <c r="Z233" i="18" s="1"/>
  <c r="P233" i="18"/>
  <c r="X233" i="18" s="1"/>
  <c r="H233" i="18"/>
  <c r="D233" i="18"/>
  <c r="L233" i="18" s="1"/>
  <c r="B233" i="18"/>
  <c r="Z232" i="18"/>
  <c r="X232" i="18"/>
  <c r="N232" i="18"/>
  <c r="L232" i="18"/>
  <c r="B232" i="18"/>
  <c r="T231" i="18"/>
  <c r="P231" i="18"/>
  <c r="L231" i="18"/>
  <c r="H231" i="18"/>
  <c r="D231" i="18"/>
  <c r="B231" i="18"/>
  <c r="X230" i="18"/>
  <c r="Z230" i="18" s="1"/>
  <c r="L230" i="18"/>
  <c r="N230" i="18" s="1"/>
  <c r="B230" i="18"/>
  <c r="Z229" i="18"/>
  <c r="X229" i="18"/>
  <c r="N229" i="18"/>
  <c r="L229" i="18"/>
  <c r="B229" i="18"/>
  <c r="Z228" i="18"/>
  <c r="T228" i="18"/>
  <c r="P228" i="18"/>
  <c r="X228" i="18" s="1"/>
  <c r="L228" i="18"/>
  <c r="H228" i="18"/>
  <c r="N228" i="18" s="1"/>
  <c r="D228" i="18"/>
  <c r="B228" i="18"/>
  <c r="X227" i="18"/>
  <c r="Z227" i="18" s="1"/>
  <c r="L227" i="18"/>
  <c r="N227" i="18" s="1"/>
  <c r="B227" i="18"/>
  <c r="X226" i="18"/>
  <c r="Z226" i="18" s="1"/>
  <c r="L226" i="18"/>
  <c r="N226" i="18" s="1"/>
  <c r="B226" i="18"/>
  <c r="X225" i="18"/>
  <c r="Z225" i="18" s="1"/>
  <c r="L225" i="18"/>
  <c r="N225" i="18" s="1"/>
  <c r="B225" i="18"/>
  <c r="X224" i="18"/>
  <c r="Z224" i="18" s="1"/>
  <c r="N224" i="18"/>
  <c r="L224" i="18"/>
  <c r="B224" i="18"/>
  <c r="X223" i="18"/>
  <c r="Z223" i="18" s="1"/>
  <c r="L223" i="18"/>
  <c r="N223" i="18" s="1"/>
  <c r="B223" i="18"/>
  <c r="X222" i="18"/>
  <c r="Z222" i="18" s="1"/>
  <c r="L222" i="18"/>
  <c r="N222" i="18" s="1"/>
  <c r="B222" i="18"/>
  <c r="T221" i="18"/>
  <c r="P221" i="18"/>
  <c r="X221" i="18" s="1"/>
  <c r="Z221" i="18" s="1"/>
  <c r="H221" i="18"/>
  <c r="N221" i="18" s="1"/>
  <c r="D221" i="18"/>
  <c r="L221" i="18" s="1"/>
  <c r="B221" i="18"/>
  <c r="X220" i="18"/>
  <c r="Z220" i="18" s="1"/>
  <c r="N220" i="18"/>
  <c r="L220" i="18"/>
  <c r="B220" i="18"/>
  <c r="X219" i="18"/>
  <c r="Z219" i="18" s="1"/>
  <c r="N219" i="18"/>
  <c r="L219" i="18"/>
  <c r="F219" i="18"/>
  <c r="B219" i="18"/>
  <c r="T218" i="18"/>
  <c r="Z218" i="18" s="1"/>
  <c r="P218" i="18"/>
  <c r="X218" i="18" s="1"/>
  <c r="L218" i="18"/>
  <c r="N218" i="18" s="1"/>
  <c r="H218" i="18"/>
  <c r="F218" i="18"/>
  <c r="D218" i="18"/>
  <c r="B218" i="18"/>
  <c r="Z217" i="18"/>
  <c r="X217" i="18"/>
  <c r="L217" i="18"/>
  <c r="N217" i="18" s="1"/>
  <c r="B217" i="18"/>
  <c r="Z216" i="18"/>
  <c r="X216" i="18"/>
  <c r="N216" i="18"/>
  <c r="L216" i="18"/>
  <c r="B216" i="18"/>
  <c r="Z215" i="18"/>
  <c r="X215" i="18"/>
  <c r="L215" i="18"/>
  <c r="N215" i="18" s="1"/>
  <c r="B215" i="18"/>
  <c r="X214" i="18"/>
  <c r="Z214" i="18" s="1"/>
  <c r="L214" i="18"/>
  <c r="N214" i="18" s="1"/>
  <c r="B214" i="18"/>
  <c r="T213" i="18"/>
  <c r="P213" i="18"/>
  <c r="X213" i="18" s="1"/>
  <c r="H213" i="18"/>
  <c r="D213" i="18"/>
  <c r="L213" i="18" s="1"/>
  <c r="B213" i="18"/>
  <c r="X212" i="18"/>
  <c r="Z212" i="18" s="1"/>
  <c r="N212" i="18"/>
  <c r="L212" i="18"/>
  <c r="B212" i="18"/>
  <c r="Z211" i="18"/>
  <c r="X211" i="18"/>
  <c r="N211" i="18"/>
  <c r="L211" i="18"/>
  <c r="B211" i="18"/>
  <c r="X210" i="18"/>
  <c r="Z210" i="18" s="1"/>
  <c r="N210" i="18"/>
  <c r="L210" i="18"/>
  <c r="B210" i="18"/>
  <c r="T209" i="18"/>
  <c r="P209" i="18"/>
  <c r="X209" i="18" s="1"/>
  <c r="L209" i="18"/>
  <c r="H209" i="18"/>
  <c r="N209" i="18" s="1"/>
  <c r="D209" i="18"/>
  <c r="B209" i="18"/>
  <c r="Z208" i="18"/>
  <c r="X208" i="18"/>
  <c r="N208" i="18"/>
  <c r="L208" i="18"/>
  <c r="B208" i="18"/>
  <c r="X207" i="18"/>
  <c r="Z207" i="18" s="1"/>
  <c r="N207" i="18"/>
  <c r="L207" i="18"/>
  <c r="F207" i="18"/>
  <c r="B207" i="18"/>
  <c r="Z206" i="18"/>
  <c r="X206" i="18"/>
  <c r="L206" i="18"/>
  <c r="N206" i="18" s="1"/>
  <c r="B206" i="18"/>
  <c r="X205" i="18"/>
  <c r="T205" i="18"/>
  <c r="P205" i="18"/>
  <c r="H205" i="18"/>
  <c r="D205" i="18"/>
  <c r="L205" i="18" s="1"/>
  <c r="B205" i="18"/>
  <c r="Z204" i="18"/>
  <c r="X204" i="18"/>
  <c r="N204" i="18"/>
  <c r="L204" i="18"/>
  <c r="B204" i="18"/>
  <c r="T203" i="18"/>
  <c r="P203" i="18"/>
  <c r="X203" i="18" s="1"/>
  <c r="H203" i="18"/>
  <c r="N203" i="18" s="1"/>
  <c r="D203" i="18"/>
  <c r="L203" i="18" s="1"/>
  <c r="B203" i="18"/>
  <c r="Z202" i="18"/>
  <c r="X202" i="18"/>
  <c r="N202" i="18"/>
  <c r="L202" i="18"/>
  <c r="B202" i="18"/>
  <c r="T201" i="18"/>
  <c r="Z201" i="18" s="1"/>
  <c r="P201" i="18"/>
  <c r="X201" i="18" s="1"/>
  <c r="H201" i="18"/>
  <c r="N201" i="18" s="1"/>
  <c r="D201" i="18"/>
  <c r="L201" i="18" s="1"/>
  <c r="B201" i="18"/>
  <c r="Z200" i="18"/>
  <c r="X200" i="18"/>
  <c r="N200" i="18"/>
  <c r="L200" i="18"/>
  <c r="B200" i="18"/>
  <c r="T199" i="18"/>
  <c r="Z199" i="18" s="1"/>
  <c r="P199" i="18"/>
  <c r="X199" i="18" s="1"/>
  <c r="L199" i="18"/>
  <c r="H199" i="18"/>
  <c r="D199" i="18"/>
  <c r="B199" i="18"/>
  <c r="Z198" i="18"/>
  <c r="X198" i="18"/>
  <c r="N198" i="18"/>
  <c r="L198" i="18"/>
  <c r="B198" i="18"/>
  <c r="T197" i="18"/>
  <c r="Z197" i="18" s="1"/>
  <c r="P197" i="18"/>
  <c r="X197" i="18" s="1"/>
  <c r="H197" i="18"/>
  <c r="D197" i="18"/>
  <c r="B197" i="18"/>
  <c r="Z196" i="18"/>
  <c r="X196" i="18"/>
  <c r="N196" i="18"/>
  <c r="L196" i="18"/>
  <c r="B196" i="18"/>
  <c r="X195" i="18"/>
  <c r="T195" i="18"/>
  <c r="Z195" i="18" s="1"/>
  <c r="P195" i="18"/>
  <c r="H195" i="18"/>
  <c r="D195" i="18"/>
  <c r="L195" i="18" s="1"/>
  <c r="B195" i="18"/>
  <c r="Z194" i="18"/>
  <c r="X194" i="18"/>
  <c r="N194" i="18"/>
  <c r="L194" i="18"/>
  <c r="B194" i="18"/>
  <c r="X193" i="18"/>
  <c r="Z193" i="18" s="1"/>
  <c r="L193" i="18"/>
  <c r="N193" i="18" s="1"/>
  <c r="B193" i="18"/>
  <c r="T192" i="18"/>
  <c r="P192" i="18"/>
  <c r="X192" i="18" s="1"/>
  <c r="Z192" i="18" s="1"/>
  <c r="H192" i="18"/>
  <c r="D192" i="18"/>
  <c r="L192" i="18" s="1"/>
  <c r="N192" i="18" s="1"/>
  <c r="B192" i="18"/>
  <c r="X191" i="18"/>
  <c r="Z191" i="18" s="1"/>
  <c r="L191" i="18"/>
  <c r="N191" i="18" s="1"/>
  <c r="B191" i="18"/>
  <c r="X190" i="18"/>
  <c r="T190" i="18"/>
  <c r="Z190" i="18" s="1"/>
  <c r="P190" i="18"/>
  <c r="H190" i="18"/>
  <c r="D190" i="18"/>
  <c r="L190" i="18" s="1"/>
  <c r="N190" i="18" s="1"/>
  <c r="B190" i="18"/>
  <c r="X189" i="18"/>
  <c r="Z189" i="18" s="1"/>
  <c r="L189" i="18"/>
  <c r="N189" i="18" s="1"/>
  <c r="B189" i="18"/>
  <c r="T188" i="18"/>
  <c r="P188" i="18"/>
  <c r="X188" i="18" s="1"/>
  <c r="H188" i="18"/>
  <c r="D188" i="18"/>
  <c r="L188" i="18" s="1"/>
  <c r="N188" i="18" s="1"/>
  <c r="B188" i="18"/>
  <c r="X187" i="18"/>
  <c r="Z187" i="18" s="1"/>
  <c r="L187" i="18"/>
  <c r="N187" i="18" s="1"/>
  <c r="F187" i="18"/>
  <c r="B187" i="18"/>
  <c r="X186" i="18"/>
  <c r="T186" i="18"/>
  <c r="Z186" i="18" s="1"/>
  <c r="P186" i="18"/>
  <c r="H186" i="18"/>
  <c r="F186" i="18"/>
  <c r="D186" i="18"/>
  <c r="L186" i="18" s="1"/>
  <c r="N186" i="18" s="1"/>
  <c r="B186" i="18"/>
  <c r="X185" i="18"/>
  <c r="Z185" i="18" s="1"/>
  <c r="L185" i="18"/>
  <c r="N185" i="18" s="1"/>
  <c r="B185" i="18"/>
  <c r="Z184" i="18"/>
  <c r="X184" i="18"/>
  <c r="N184" i="18"/>
  <c r="L184" i="18"/>
  <c r="B184" i="18"/>
  <c r="T183" i="18"/>
  <c r="P183" i="18"/>
  <c r="H183" i="18"/>
  <c r="D183" i="18"/>
  <c r="L183" i="18" s="1"/>
  <c r="N183" i="18" s="1"/>
  <c r="B183" i="18"/>
  <c r="Z182" i="18"/>
  <c r="X182" i="18"/>
  <c r="L182" i="18"/>
  <c r="N182" i="18" s="1"/>
  <c r="B182" i="18"/>
  <c r="X181" i="18"/>
  <c r="Z181" i="18" s="1"/>
  <c r="L181" i="18"/>
  <c r="N181" i="18" s="1"/>
  <c r="B181" i="18"/>
  <c r="T180" i="18"/>
  <c r="P180" i="18"/>
  <c r="X180" i="18" s="1"/>
  <c r="H180" i="18"/>
  <c r="D180" i="18"/>
  <c r="L180" i="18" s="1"/>
  <c r="B180" i="18"/>
  <c r="X179" i="18"/>
  <c r="Z179" i="18" s="1"/>
  <c r="N179" i="18"/>
  <c r="L179" i="18"/>
  <c r="F179" i="18"/>
  <c r="B179" i="18"/>
  <c r="X178" i="18"/>
  <c r="T178" i="18"/>
  <c r="Z178" i="18" s="1"/>
  <c r="P178" i="18"/>
  <c r="H178" i="18"/>
  <c r="F178" i="18"/>
  <c r="D178" i="18"/>
  <c r="L178" i="18" s="1"/>
  <c r="N178" i="18" s="1"/>
  <c r="B178" i="18"/>
  <c r="Z177" i="18"/>
  <c r="X177" i="18"/>
  <c r="L177" i="18"/>
  <c r="N177" i="18" s="1"/>
  <c r="B177" i="18"/>
  <c r="Z176" i="18"/>
  <c r="X176" i="18"/>
  <c r="T176" i="18"/>
  <c r="P176" i="18"/>
  <c r="H176" i="18"/>
  <c r="N176" i="18" s="1"/>
  <c r="D176" i="18"/>
  <c r="L176" i="18" s="1"/>
  <c r="B176" i="18"/>
  <c r="Z175" i="18"/>
  <c r="X175" i="18"/>
  <c r="L175" i="18"/>
  <c r="N175" i="18" s="1"/>
  <c r="B175" i="18"/>
  <c r="T174" i="18"/>
  <c r="P174" i="18"/>
  <c r="X174" i="18" s="1"/>
  <c r="H174" i="18"/>
  <c r="D174" i="18"/>
  <c r="L174" i="18" s="1"/>
  <c r="B174" i="18"/>
  <c r="X173" i="18"/>
  <c r="Z173" i="18" s="1"/>
  <c r="N173" i="18"/>
  <c r="L173" i="18"/>
  <c r="B173" i="18"/>
  <c r="Z172" i="18"/>
  <c r="X172" i="18"/>
  <c r="N172" i="18"/>
  <c r="L172" i="18"/>
  <c r="B172" i="18"/>
  <c r="Z171" i="18"/>
  <c r="X171" i="18"/>
  <c r="L171" i="18"/>
  <c r="N171" i="18" s="1"/>
  <c r="F171" i="18"/>
  <c r="B171" i="18"/>
  <c r="X170" i="18"/>
  <c r="Z170" i="18" s="1"/>
  <c r="L170" i="18"/>
  <c r="N170" i="18" s="1"/>
  <c r="B170" i="18"/>
  <c r="X169" i="18"/>
  <c r="Z169" i="18" s="1"/>
  <c r="N169" i="18"/>
  <c r="L169" i="18"/>
  <c r="B169" i="18"/>
  <c r="Z168" i="18"/>
  <c r="X168" i="18"/>
  <c r="N168" i="18"/>
  <c r="L168" i="18"/>
  <c r="B168" i="18"/>
  <c r="Z167" i="18"/>
  <c r="X167" i="18"/>
  <c r="L167" i="18"/>
  <c r="N167" i="18" s="1"/>
  <c r="F167" i="18"/>
  <c r="B167" i="18"/>
  <c r="T166" i="18"/>
  <c r="P166" i="18"/>
  <c r="X166" i="18" s="1"/>
  <c r="H166" i="18"/>
  <c r="F166" i="18"/>
  <c r="D166" i="18"/>
  <c r="L166" i="18" s="1"/>
  <c r="N166" i="18" s="1"/>
  <c r="B166" i="18"/>
  <c r="X165" i="18"/>
  <c r="Z165" i="18" s="1"/>
  <c r="L165" i="18"/>
  <c r="N165" i="18" s="1"/>
  <c r="B165" i="18"/>
  <c r="Z164" i="18"/>
  <c r="X164" i="18"/>
  <c r="L164" i="18"/>
  <c r="N164" i="18" s="1"/>
  <c r="B164" i="18"/>
  <c r="X163" i="18"/>
  <c r="Z163" i="18" s="1"/>
  <c r="N163" i="18"/>
  <c r="L163" i="18"/>
  <c r="B163" i="18"/>
  <c r="X162" i="18"/>
  <c r="Z162" i="18" s="1"/>
  <c r="N162" i="18"/>
  <c r="L162" i="18"/>
  <c r="B162" i="18"/>
  <c r="X161" i="18"/>
  <c r="Z161" i="18" s="1"/>
  <c r="L161" i="18"/>
  <c r="N161" i="18" s="1"/>
  <c r="B161" i="18"/>
  <c r="Z160" i="18"/>
  <c r="X160" i="18"/>
  <c r="L160" i="18"/>
  <c r="N160" i="18" s="1"/>
  <c r="B160" i="18"/>
  <c r="X159" i="18"/>
  <c r="Z159" i="18" s="1"/>
  <c r="L159" i="18"/>
  <c r="N159" i="18" s="1"/>
  <c r="B159" i="18"/>
  <c r="X158" i="18"/>
  <c r="Z158" i="18" s="1"/>
  <c r="L158" i="18"/>
  <c r="N158" i="18" s="1"/>
  <c r="B158" i="18"/>
  <c r="X157" i="18"/>
  <c r="Z157" i="18" s="1"/>
  <c r="L157" i="18"/>
  <c r="N157" i="18" s="1"/>
  <c r="B157" i="18"/>
  <c r="T156" i="18"/>
  <c r="P156" i="18"/>
  <c r="X156" i="18" s="1"/>
  <c r="Z156" i="18" s="1"/>
  <c r="H156" i="18"/>
  <c r="N156" i="18" s="1"/>
  <c r="D156" i="18"/>
  <c r="L156" i="18" s="1"/>
  <c r="B156" i="18"/>
  <c r="T155" i="18"/>
  <c r="P155" i="18"/>
  <c r="X155" i="18" s="1"/>
  <c r="H155" i="18"/>
  <c r="D155" i="18"/>
  <c r="L155" i="18" s="1"/>
  <c r="D153" i="18"/>
  <c r="X151" i="18"/>
  <c r="Z151" i="18" s="1"/>
  <c r="L151" i="18"/>
  <c r="N151" i="18" s="1"/>
  <c r="B151" i="18"/>
  <c r="Z150" i="18"/>
  <c r="X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X147" i="18"/>
  <c r="Z147" i="18" s="1"/>
  <c r="L147" i="18"/>
  <c r="N147" i="18" s="1"/>
  <c r="B147" i="18"/>
  <c r="Z146" i="18"/>
  <c r="X146" i="18"/>
  <c r="N146" i="18"/>
  <c r="L146" i="18"/>
  <c r="B146" i="18"/>
  <c r="X145" i="18"/>
  <c r="Z145" i="18" s="1"/>
  <c r="L145" i="18"/>
  <c r="N145" i="18" s="1"/>
  <c r="B145" i="18"/>
  <c r="Z144" i="18"/>
  <c r="X144" i="18"/>
  <c r="N144" i="18"/>
  <c r="L144" i="18"/>
  <c r="B144" i="18"/>
  <c r="X143" i="18"/>
  <c r="Z143" i="18" s="1"/>
  <c r="L143" i="18"/>
  <c r="N143" i="18" s="1"/>
  <c r="B143" i="18"/>
  <c r="Z142" i="18"/>
  <c r="X142" i="18"/>
  <c r="N142" i="18"/>
  <c r="L142" i="18"/>
  <c r="B142" i="18"/>
  <c r="X141" i="18"/>
  <c r="Z141" i="18" s="1"/>
  <c r="L141" i="18"/>
  <c r="N141" i="18" s="1"/>
  <c r="B141" i="18"/>
  <c r="Z140" i="18"/>
  <c r="X140" i="18"/>
  <c r="N140" i="18"/>
  <c r="L140" i="18"/>
  <c r="B140" i="18"/>
  <c r="X139" i="18"/>
  <c r="Z139" i="18" s="1"/>
  <c r="L139" i="18"/>
  <c r="N139" i="18" s="1"/>
  <c r="B139" i="18"/>
  <c r="Z138" i="18"/>
  <c r="X138" i="18"/>
  <c r="L138" i="18"/>
  <c r="N138" i="18" s="1"/>
  <c r="B138" i="18"/>
  <c r="Z137" i="18"/>
  <c r="X137" i="18"/>
  <c r="N137" i="18"/>
  <c r="L137" i="18"/>
  <c r="B137" i="18"/>
  <c r="Z136" i="18"/>
  <c r="X136" i="18"/>
  <c r="N136" i="18"/>
  <c r="L136" i="18"/>
  <c r="B136" i="18"/>
  <c r="X135" i="18"/>
  <c r="Z135" i="18" s="1"/>
  <c r="L135" i="18"/>
  <c r="N135" i="18" s="1"/>
  <c r="B135" i="18"/>
  <c r="Z134" i="18"/>
  <c r="X134" i="18"/>
  <c r="N134" i="18"/>
  <c r="L134" i="18"/>
  <c r="B134" i="18"/>
  <c r="X133" i="18"/>
  <c r="Z133" i="18" s="1"/>
  <c r="L133" i="18"/>
  <c r="N133" i="18" s="1"/>
  <c r="B133" i="18"/>
  <c r="Z132" i="18"/>
  <c r="X132" i="18"/>
  <c r="N132" i="18"/>
  <c r="L132" i="18"/>
  <c r="B132" i="18"/>
  <c r="X131" i="18"/>
  <c r="Z131" i="18" s="1"/>
  <c r="L131" i="18"/>
  <c r="N131" i="18" s="1"/>
  <c r="B131" i="18"/>
  <c r="Z130" i="18"/>
  <c r="X130" i="18"/>
  <c r="L130" i="18"/>
  <c r="N130" i="18" s="1"/>
  <c r="B130" i="18"/>
  <c r="X129" i="18"/>
  <c r="Z129" i="18" s="1"/>
  <c r="L129" i="18"/>
  <c r="N129" i="18" s="1"/>
  <c r="B129" i="18"/>
  <c r="Z128" i="18"/>
  <c r="X128" i="18"/>
  <c r="N128" i="18"/>
  <c r="L128" i="18"/>
  <c r="B128" i="18"/>
  <c r="X127" i="18"/>
  <c r="Z127" i="18" s="1"/>
  <c r="L127" i="18"/>
  <c r="N127" i="18" s="1"/>
  <c r="B127" i="18"/>
  <c r="Z126" i="18"/>
  <c r="X126" i="18"/>
  <c r="L126" i="18"/>
  <c r="N126" i="18" s="1"/>
  <c r="B126" i="18"/>
  <c r="X125" i="18"/>
  <c r="Z125" i="18" s="1"/>
  <c r="L125" i="18"/>
  <c r="N125" i="18" s="1"/>
  <c r="B125" i="18"/>
  <c r="Z124" i="18"/>
  <c r="X124" i="18"/>
  <c r="N124" i="18"/>
  <c r="L124" i="18"/>
  <c r="B124" i="18"/>
  <c r="Z123" i="18"/>
  <c r="X123" i="18"/>
  <c r="L123" i="18"/>
  <c r="N123" i="18" s="1"/>
  <c r="B123" i="18"/>
  <c r="Z122" i="18"/>
  <c r="X122" i="18"/>
  <c r="L122" i="18"/>
  <c r="N122" i="18" s="1"/>
  <c r="B122" i="18"/>
  <c r="Z121" i="18"/>
  <c r="X121" i="18"/>
  <c r="N121" i="18"/>
  <c r="L121" i="18"/>
  <c r="B121" i="18"/>
  <c r="Z120" i="18"/>
  <c r="X120" i="18"/>
  <c r="N120" i="18"/>
  <c r="L120" i="18"/>
  <c r="B120" i="18"/>
  <c r="X119" i="18"/>
  <c r="Z119" i="18" s="1"/>
  <c r="L119" i="18"/>
  <c r="N119" i="18" s="1"/>
  <c r="B119" i="18"/>
  <c r="Z118" i="18"/>
  <c r="X118" i="18"/>
  <c r="N118" i="18"/>
  <c r="L118" i="18"/>
  <c r="B118" i="18"/>
  <c r="X117" i="18"/>
  <c r="Z117" i="18" s="1"/>
  <c r="L117" i="18"/>
  <c r="N117" i="18" s="1"/>
  <c r="B117" i="18"/>
  <c r="Z116" i="18"/>
  <c r="X116" i="18"/>
  <c r="L116" i="18"/>
  <c r="N116" i="18" s="1"/>
  <c r="B116" i="18"/>
  <c r="X115" i="18"/>
  <c r="Z115" i="18" s="1"/>
  <c r="L115" i="18"/>
  <c r="N115" i="18" s="1"/>
  <c r="B115" i="18"/>
  <c r="Z114" i="18"/>
  <c r="X114" i="18"/>
  <c r="L114" i="18"/>
  <c r="N114" i="18" s="1"/>
  <c r="B114" i="18"/>
  <c r="X113" i="18"/>
  <c r="Z113" i="18" s="1"/>
  <c r="L113" i="18"/>
  <c r="N113" i="18" s="1"/>
  <c r="B113" i="18"/>
  <c r="Z112" i="18"/>
  <c r="X112" i="18"/>
  <c r="L112" i="18"/>
  <c r="N112" i="18" s="1"/>
  <c r="B112" i="18"/>
  <c r="X111" i="18"/>
  <c r="Z111" i="18" s="1"/>
  <c r="L111" i="18"/>
  <c r="N111" i="18" s="1"/>
  <c r="B111" i="18"/>
  <c r="Z110" i="18"/>
  <c r="X110" i="18"/>
  <c r="L110" i="18"/>
  <c r="N110" i="18" s="1"/>
  <c r="B110" i="18"/>
  <c r="X109" i="18"/>
  <c r="Z109" i="18" s="1"/>
  <c r="L109" i="18"/>
  <c r="N109" i="18" s="1"/>
  <c r="B109" i="18"/>
  <c r="Z108" i="18"/>
  <c r="X108" i="18"/>
  <c r="L108" i="18"/>
  <c r="N108" i="18" s="1"/>
  <c r="B108" i="18"/>
  <c r="Z107" i="18"/>
  <c r="X107" i="18"/>
  <c r="L107" i="18"/>
  <c r="N107" i="18" s="1"/>
  <c r="B107" i="18"/>
  <c r="Z106" i="18"/>
  <c r="X106" i="18"/>
  <c r="L106" i="18"/>
  <c r="N106" i="18" s="1"/>
  <c r="B106" i="18"/>
  <c r="X105" i="18"/>
  <c r="Z105" i="18" s="1"/>
  <c r="L105" i="18"/>
  <c r="N105" i="18" s="1"/>
  <c r="B105" i="18"/>
  <c r="T104" i="18"/>
  <c r="P104" i="18"/>
  <c r="X104" i="18" s="1"/>
  <c r="H104" i="18"/>
  <c r="D104" i="18"/>
  <c r="L104" i="18" s="1"/>
  <c r="N104" i="18" s="1"/>
  <c r="T102" i="18"/>
  <c r="Z102" i="18" s="1"/>
  <c r="P102" i="18"/>
  <c r="X102" i="18" s="1"/>
  <c r="H102" i="18"/>
  <c r="N102" i="18" s="1"/>
  <c r="D102" i="18"/>
  <c r="B102" i="18"/>
  <c r="T101" i="18"/>
  <c r="P101" i="18"/>
  <c r="X101" i="18" s="1"/>
  <c r="L101" i="18"/>
  <c r="H101" i="18"/>
  <c r="N101" i="18" s="1"/>
  <c r="D101" i="18"/>
  <c r="B101" i="18"/>
  <c r="T100" i="18"/>
  <c r="P100" i="18"/>
  <c r="X100" i="18" s="1"/>
  <c r="L100" i="18"/>
  <c r="H100" i="18"/>
  <c r="N100" i="18" s="1"/>
  <c r="D100" i="18"/>
  <c r="B100" i="18"/>
  <c r="T99" i="18"/>
  <c r="P99" i="18"/>
  <c r="X99" i="18" s="1"/>
  <c r="L99" i="18"/>
  <c r="N99" i="18" s="1"/>
  <c r="H99" i="18"/>
  <c r="D99" i="18"/>
  <c r="B99" i="18"/>
  <c r="T98" i="18"/>
  <c r="P98" i="18"/>
  <c r="H98" i="18"/>
  <c r="D98" i="18"/>
  <c r="B98" i="18"/>
  <c r="T97" i="18"/>
  <c r="P97" i="18"/>
  <c r="L97" i="18"/>
  <c r="N97" i="18" s="1"/>
  <c r="H97" i="18"/>
  <c r="D97" i="18"/>
  <c r="B97" i="18"/>
  <c r="T96" i="18"/>
  <c r="P96" i="18"/>
  <c r="L96" i="18"/>
  <c r="N96" i="18" s="1"/>
  <c r="H96" i="18"/>
  <c r="D96" i="18"/>
  <c r="B96" i="18"/>
  <c r="T95" i="18"/>
  <c r="Z95" i="18" s="1"/>
  <c r="P95" i="18"/>
  <c r="X95" i="18" s="1"/>
  <c r="L95" i="18"/>
  <c r="N95" i="18" s="1"/>
  <c r="H95" i="18"/>
  <c r="D95" i="18"/>
  <c r="B95" i="18"/>
  <c r="T94" i="18"/>
  <c r="Z94" i="18" s="1"/>
  <c r="P94" i="18"/>
  <c r="H94" i="18"/>
  <c r="N94" i="18" s="1"/>
  <c r="D94" i="18"/>
  <c r="B94" i="18"/>
  <c r="T93" i="18"/>
  <c r="P93" i="18"/>
  <c r="L93" i="18"/>
  <c r="N93" i="18" s="1"/>
  <c r="H93" i="18"/>
  <c r="D93" i="18"/>
  <c r="B93" i="18"/>
  <c r="T92" i="18"/>
  <c r="P92" i="18"/>
  <c r="L92" i="18"/>
  <c r="N92" i="18" s="1"/>
  <c r="H92" i="18"/>
  <c r="D92" i="18"/>
  <c r="B92" i="18"/>
  <c r="T91" i="18"/>
  <c r="P91" i="18"/>
  <c r="X91" i="18" s="1"/>
  <c r="L91" i="18"/>
  <c r="N91" i="18" s="1"/>
  <c r="H91" i="18"/>
  <c r="D91" i="18"/>
  <c r="B91" i="18"/>
  <c r="T90" i="18"/>
  <c r="P90" i="18"/>
  <c r="H90" i="18"/>
  <c r="D90" i="18"/>
  <c r="B90" i="18"/>
  <c r="T89" i="18"/>
  <c r="P89" i="18"/>
  <c r="L89" i="18"/>
  <c r="N89" i="18" s="1"/>
  <c r="H89" i="18"/>
  <c r="D89" i="18"/>
  <c r="B89" i="18"/>
  <c r="T88" i="18"/>
  <c r="P88" i="18"/>
  <c r="L88" i="18"/>
  <c r="N88" i="18" s="1"/>
  <c r="H88" i="18"/>
  <c r="D88" i="18"/>
  <c r="B88" i="18"/>
  <c r="T87" i="18"/>
  <c r="Z87" i="18" s="1"/>
  <c r="P87" i="18"/>
  <c r="X87" i="18" s="1"/>
  <c r="L87" i="18"/>
  <c r="N87" i="18" s="1"/>
  <c r="H87" i="18"/>
  <c r="D87" i="18"/>
  <c r="B87" i="18"/>
  <c r="T86" i="18"/>
  <c r="P86" i="18"/>
  <c r="H86" i="18"/>
  <c r="D86" i="18"/>
  <c r="B86" i="18"/>
  <c r="T85" i="18"/>
  <c r="P85" i="18"/>
  <c r="X85" i="18" s="1"/>
  <c r="L85" i="18"/>
  <c r="N85" i="18" s="1"/>
  <c r="H85" i="18"/>
  <c r="D85" i="18"/>
  <c r="B85" i="18"/>
  <c r="T84" i="18"/>
  <c r="P84" i="18"/>
  <c r="X84" i="18" s="1"/>
  <c r="L84" i="18"/>
  <c r="H84" i="18"/>
  <c r="N84" i="18" s="1"/>
  <c r="D84" i="18"/>
  <c r="B84" i="18"/>
  <c r="T83" i="18"/>
  <c r="P83" i="18"/>
  <c r="X83" i="18" s="1"/>
  <c r="L83" i="18"/>
  <c r="H83" i="18"/>
  <c r="N83" i="18" s="1"/>
  <c r="D83" i="18"/>
  <c r="B83" i="18"/>
  <c r="T82" i="18"/>
  <c r="P82" i="18"/>
  <c r="H82" i="18"/>
  <c r="D82" i="18"/>
  <c r="B82" i="18"/>
  <c r="T81" i="18"/>
  <c r="Z81" i="18" s="1"/>
  <c r="P81" i="18"/>
  <c r="X81" i="18" s="1"/>
  <c r="L81" i="18"/>
  <c r="N81" i="18" s="1"/>
  <c r="H81" i="18"/>
  <c r="D81" i="18"/>
  <c r="B81" i="18"/>
  <c r="T80" i="18"/>
  <c r="P80" i="18"/>
  <c r="L80" i="18"/>
  <c r="H80" i="18"/>
  <c r="N80" i="18" s="1"/>
  <c r="D80" i="18"/>
  <c r="B80" i="18"/>
  <c r="T79" i="18"/>
  <c r="Z79" i="18" s="1"/>
  <c r="P79" i="18"/>
  <c r="X79" i="18" s="1"/>
  <c r="L79" i="18"/>
  <c r="N79" i="18" s="1"/>
  <c r="H79" i="18"/>
  <c r="D79" i="18"/>
  <c r="B79" i="18"/>
  <c r="T78" i="18"/>
  <c r="P78" i="18"/>
  <c r="H78" i="18"/>
  <c r="D78" i="18"/>
  <c r="B78" i="18"/>
  <c r="T77" i="18"/>
  <c r="P77" i="18"/>
  <c r="X77" i="18" s="1"/>
  <c r="L77" i="18"/>
  <c r="N77" i="18" s="1"/>
  <c r="H77" i="18"/>
  <c r="D77" i="18"/>
  <c r="B77" i="18"/>
  <c r="T76" i="18"/>
  <c r="P76" i="18"/>
  <c r="L76" i="18"/>
  <c r="N76" i="18" s="1"/>
  <c r="H76" i="18"/>
  <c r="D76" i="18"/>
  <c r="B76" i="18"/>
  <c r="T75" i="18"/>
  <c r="P75" i="18"/>
  <c r="X75" i="18" s="1"/>
  <c r="L75" i="18"/>
  <c r="N75" i="18" s="1"/>
  <c r="H75" i="18"/>
  <c r="D75" i="18"/>
  <c r="B75" i="18"/>
  <c r="T74" i="18"/>
  <c r="P74" i="18"/>
  <c r="H74" i="18"/>
  <c r="D74" i="18"/>
  <c r="B74" i="18"/>
  <c r="T73" i="18"/>
  <c r="P73" i="18"/>
  <c r="X73" i="18" s="1"/>
  <c r="L73" i="18"/>
  <c r="N73" i="18" s="1"/>
  <c r="H73" i="18"/>
  <c r="D73" i="18"/>
  <c r="B73" i="18"/>
  <c r="T72" i="18"/>
  <c r="P72" i="18"/>
  <c r="L72" i="18"/>
  <c r="H72" i="18"/>
  <c r="N72" i="18" s="1"/>
  <c r="D72" i="18"/>
  <c r="B72" i="18"/>
  <c r="T71" i="18"/>
  <c r="P71" i="18"/>
  <c r="X71" i="18" s="1"/>
  <c r="L71" i="18"/>
  <c r="N71" i="18" s="1"/>
  <c r="H71" i="18"/>
  <c r="D71" i="18"/>
  <c r="B71" i="18"/>
  <c r="T70" i="18"/>
  <c r="P70" i="18"/>
  <c r="H70" i="18"/>
  <c r="D70" i="18"/>
  <c r="B70" i="18"/>
  <c r="T69" i="18"/>
  <c r="P69" i="18"/>
  <c r="L69" i="18"/>
  <c r="N69" i="18" s="1"/>
  <c r="H69" i="18"/>
  <c r="D69" i="18"/>
  <c r="B69" i="18"/>
  <c r="T68" i="18"/>
  <c r="P68" i="18"/>
  <c r="L68" i="18"/>
  <c r="N68" i="18" s="1"/>
  <c r="H68" i="18"/>
  <c r="D68" i="18"/>
  <c r="B68" i="18"/>
  <c r="T67" i="18"/>
  <c r="Z67" i="18" s="1"/>
  <c r="P67" i="18"/>
  <c r="X67" i="18" s="1"/>
  <c r="L67" i="18"/>
  <c r="N67" i="18" s="1"/>
  <c r="H67" i="18"/>
  <c r="D67" i="18"/>
  <c r="B67" i="18"/>
  <c r="T66" i="18"/>
  <c r="P66" i="18"/>
  <c r="H66" i="18"/>
  <c r="D66" i="18"/>
  <c r="B66" i="18"/>
  <c r="T65" i="18"/>
  <c r="Z65" i="18" s="1"/>
  <c r="P65" i="18"/>
  <c r="X65" i="18" s="1"/>
  <c r="L65" i="18"/>
  <c r="N65" i="18" s="1"/>
  <c r="H65" i="18"/>
  <c r="D65" i="18"/>
  <c r="B65" i="18"/>
  <c r="T64" i="18"/>
  <c r="P64" i="18"/>
  <c r="L64" i="18"/>
  <c r="H64" i="18"/>
  <c r="N64" i="18" s="1"/>
  <c r="D64" i="18"/>
  <c r="B64" i="18"/>
  <c r="T63" i="18"/>
  <c r="Z63" i="18" s="1"/>
  <c r="P63" i="18"/>
  <c r="X63" i="18" s="1"/>
  <c r="L63" i="18"/>
  <c r="N63" i="18" s="1"/>
  <c r="H63" i="18"/>
  <c r="D63" i="18"/>
  <c r="B63" i="18"/>
  <c r="T62" i="18"/>
  <c r="Z62" i="18" s="1"/>
  <c r="P62" i="18"/>
  <c r="X62" i="18" s="1"/>
  <c r="H62" i="18"/>
  <c r="D62" i="18"/>
  <c r="B62" i="18"/>
  <c r="T61" i="18"/>
  <c r="P61" i="18"/>
  <c r="X61" i="18" s="1"/>
  <c r="L61" i="18"/>
  <c r="N61" i="18" s="1"/>
  <c r="H61" i="18"/>
  <c r="D61" i="18"/>
  <c r="B61" i="18"/>
  <c r="T60" i="18"/>
  <c r="P60" i="18"/>
  <c r="L60" i="18"/>
  <c r="N60" i="18" s="1"/>
  <c r="H60" i="18"/>
  <c r="D60" i="18"/>
  <c r="B60" i="18"/>
  <c r="T59" i="18"/>
  <c r="P59" i="18"/>
  <c r="X59" i="18" s="1"/>
  <c r="L59" i="18"/>
  <c r="N59" i="18" s="1"/>
  <c r="H59" i="18"/>
  <c r="D59" i="18"/>
  <c r="B59" i="18"/>
  <c r="T58" i="18"/>
  <c r="P58" i="18"/>
  <c r="X58" i="18" s="1"/>
  <c r="H58" i="18"/>
  <c r="D58" i="18"/>
  <c r="B58" i="18"/>
  <c r="T57" i="18"/>
  <c r="P57" i="18"/>
  <c r="L57" i="18"/>
  <c r="H57" i="18"/>
  <c r="N57" i="18" s="1"/>
  <c r="D57" i="18"/>
  <c r="B57" i="18"/>
  <c r="T56" i="18"/>
  <c r="P56" i="18"/>
  <c r="L56" i="18"/>
  <c r="H56" i="18"/>
  <c r="N56" i="18" s="1"/>
  <c r="D56" i="18"/>
  <c r="B56" i="18"/>
  <c r="T55" i="18"/>
  <c r="Z55" i="18" s="1"/>
  <c r="P55" i="18"/>
  <c r="X55" i="18" s="1"/>
  <c r="L55" i="18"/>
  <c r="N55" i="18" s="1"/>
  <c r="H55" i="18"/>
  <c r="D55" i="18"/>
  <c r="B55" i="18"/>
  <c r="T54" i="18"/>
  <c r="P54" i="18"/>
  <c r="H54" i="18"/>
  <c r="D54" i="18"/>
  <c r="B54" i="18"/>
  <c r="T53" i="18"/>
  <c r="P53" i="18"/>
  <c r="X53" i="18" s="1"/>
  <c r="L53" i="18"/>
  <c r="N53" i="18" s="1"/>
  <c r="H53" i="18"/>
  <c r="D53" i="18"/>
  <c r="B53" i="18"/>
  <c r="T52" i="18"/>
  <c r="P52" i="18"/>
  <c r="L52" i="18"/>
  <c r="N52" i="18" s="1"/>
  <c r="H52" i="18"/>
  <c r="D52" i="18"/>
  <c r="B52" i="18"/>
  <c r="T51" i="18"/>
  <c r="P51" i="18"/>
  <c r="X51" i="18" s="1"/>
  <c r="L51" i="18"/>
  <c r="N51" i="18" s="1"/>
  <c r="H51" i="18"/>
  <c r="D51" i="18"/>
  <c r="B51" i="18"/>
  <c r="T50" i="18"/>
  <c r="P50" i="18"/>
  <c r="X50" i="18" s="1"/>
  <c r="H50" i="18"/>
  <c r="D50" i="18"/>
  <c r="B50" i="18"/>
  <c r="T49" i="18"/>
  <c r="Z49" i="18" s="1"/>
  <c r="P49" i="18"/>
  <c r="X49" i="18" s="1"/>
  <c r="L49" i="18"/>
  <c r="H49" i="18"/>
  <c r="N49" i="18" s="1"/>
  <c r="D49" i="18"/>
  <c r="B49" i="18"/>
  <c r="T48" i="18"/>
  <c r="P48" i="18"/>
  <c r="L48" i="18"/>
  <c r="H48" i="18"/>
  <c r="N48" i="18" s="1"/>
  <c r="D48" i="18"/>
  <c r="B48" i="18"/>
  <c r="T47" i="18"/>
  <c r="Z47" i="18" s="1"/>
  <c r="P47" i="18"/>
  <c r="X47" i="18" s="1"/>
  <c r="L47" i="18"/>
  <c r="N47" i="18" s="1"/>
  <c r="H47" i="18"/>
  <c r="D47" i="18"/>
  <c r="B47" i="18"/>
  <c r="T46" i="18"/>
  <c r="P46" i="18"/>
  <c r="X46" i="18" s="1"/>
  <c r="H46" i="18"/>
  <c r="D46" i="18"/>
  <c r="B46" i="18"/>
  <c r="T45" i="18"/>
  <c r="P45" i="18"/>
  <c r="X45" i="18" s="1"/>
  <c r="L45" i="18"/>
  <c r="H45" i="18"/>
  <c r="N45" i="18" s="1"/>
  <c r="D45" i="18"/>
  <c r="B45" i="18"/>
  <c r="T44" i="18"/>
  <c r="P44" i="18"/>
  <c r="L44" i="18"/>
  <c r="H44" i="18"/>
  <c r="N44" i="18" s="1"/>
  <c r="D44" i="18"/>
  <c r="B44" i="18"/>
  <c r="T43" i="18"/>
  <c r="P43" i="18"/>
  <c r="X43" i="18" s="1"/>
  <c r="L43" i="18"/>
  <c r="N43" i="18" s="1"/>
  <c r="H43" i="18"/>
  <c r="D43" i="18"/>
  <c r="B43" i="18"/>
  <c r="T42" i="18"/>
  <c r="P42" i="18"/>
  <c r="H42" i="18"/>
  <c r="D42" i="18"/>
  <c r="B42" i="18"/>
  <c r="T41" i="18"/>
  <c r="Z41" i="18" s="1"/>
  <c r="P41" i="18"/>
  <c r="X41" i="18" s="1"/>
  <c r="L41" i="18"/>
  <c r="N41" i="18" s="1"/>
  <c r="H41" i="18"/>
  <c r="D41" i="18"/>
  <c r="B41" i="18"/>
  <c r="T40" i="18"/>
  <c r="P40" i="18"/>
  <c r="L40" i="18"/>
  <c r="H40" i="18"/>
  <c r="N40" i="18" s="1"/>
  <c r="D40" i="18"/>
  <c r="B40" i="18"/>
  <c r="T39" i="18"/>
  <c r="Z39" i="18" s="1"/>
  <c r="P39" i="18"/>
  <c r="X39" i="18" s="1"/>
  <c r="L39" i="18"/>
  <c r="N39" i="18" s="1"/>
  <c r="H39" i="18"/>
  <c r="D39" i="18"/>
  <c r="B39" i="18"/>
  <c r="T38" i="18"/>
  <c r="P38" i="18"/>
  <c r="H38" i="18"/>
  <c r="D38" i="18"/>
  <c r="B38" i="18"/>
  <c r="T37" i="18"/>
  <c r="P37" i="18"/>
  <c r="X37" i="18" s="1"/>
  <c r="L37" i="18"/>
  <c r="N37" i="18" s="1"/>
  <c r="H37" i="18"/>
  <c r="D37" i="18"/>
  <c r="B37" i="18"/>
  <c r="T36" i="18"/>
  <c r="P36" i="18"/>
  <c r="L36" i="18"/>
  <c r="N36" i="18" s="1"/>
  <c r="H36" i="18"/>
  <c r="D36" i="18"/>
  <c r="B36" i="18"/>
  <c r="T35" i="18"/>
  <c r="P35" i="18"/>
  <c r="X35" i="18" s="1"/>
  <c r="L35" i="18"/>
  <c r="N35" i="18" s="1"/>
  <c r="H35" i="18"/>
  <c r="D35" i="18"/>
  <c r="B35" i="18"/>
  <c r="T34" i="18"/>
  <c r="P34" i="18"/>
  <c r="X34" i="18" s="1"/>
  <c r="H34" i="18"/>
  <c r="D34" i="18"/>
  <c r="B34" i="18"/>
  <c r="T33" i="18"/>
  <c r="Z33" i="18" s="1"/>
  <c r="P33" i="18"/>
  <c r="X33" i="18" s="1"/>
  <c r="L33" i="18"/>
  <c r="N33" i="18" s="1"/>
  <c r="H33" i="18"/>
  <c r="D33" i="18"/>
  <c r="B33" i="18"/>
  <c r="T32" i="18"/>
  <c r="P32" i="18"/>
  <c r="L32" i="18"/>
  <c r="N32" i="18" s="1"/>
  <c r="H32" i="18"/>
  <c r="D32" i="18"/>
  <c r="B32" i="18"/>
  <c r="T31" i="18"/>
  <c r="Z31" i="18" s="1"/>
  <c r="P31" i="18"/>
  <c r="X31" i="18" s="1"/>
  <c r="L31" i="18"/>
  <c r="H31" i="18"/>
  <c r="D31" i="18"/>
  <c r="B31" i="18"/>
  <c r="T30" i="18"/>
  <c r="Z30" i="18" s="1"/>
  <c r="P30" i="18"/>
  <c r="X30" i="18" s="1"/>
  <c r="H30" i="18"/>
  <c r="D30" i="18"/>
  <c r="B30" i="18"/>
  <c r="T29" i="18"/>
  <c r="P29" i="18"/>
  <c r="L29" i="18"/>
  <c r="H29" i="18"/>
  <c r="N29" i="18" s="1"/>
  <c r="D29" i="18"/>
  <c r="B29" i="18"/>
  <c r="T28" i="18"/>
  <c r="P28" i="18"/>
  <c r="L28" i="18"/>
  <c r="N28" i="18" s="1"/>
  <c r="H28" i="18"/>
  <c r="D28" i="18"/>
  <c r="B28" i="18"/>
  <c r="T27" i="18"/>
  <c r="P27" i="18"/>
  <c r="X27" i="18" s="1"/>
  <c r="L27" i="18"/>
  <c r="N27" i="18" s="1"/>
  <c r="H27" i="18"/>
  <c r="D27" i="18"/>
  <c r="B27" i="18"/>
  <c r="T26" i="18"/>
  <c r="P26" i="18"/>
  <c r="X26" i="18" s="1"/>
  <c r="H26" i="18"/>
  <c r="D26" i="18"/>
  <c r="B26" i="18"/>
  <c r="T25" i="18"/>
  <c r="P25" i="18"/>
  <c r="X25" i="18" s="1"/>
  <c r="L25" i="18"/>
  <c r="H25" i="18"/>
  <c r="N25" i="18" s="1"/>
  <c r="D25" i="18"/>
  <c r="B25" i="18"/>
  <c r="T24" i="18"/>
  <c r="P24" i="18"/>
  <c r="L24" i="18"/>
  <c r="N24" i="18" s="1"/>
  <c r="H24" i="18"/>
  <c r="D24" i="18"/>
  <c r="B24" i="18"/>
  <c r="T23" i="18"/>
  <c r="P23" i="18"/>
  <c r="X23" i="18" s="1"/>
  <c r="L23" i="18"/>
  <c r="N23" i="18" s="1"/>
  <c r="H23" i="18"/>
  <c r="D23" i="18"/>
  <c r="B23" i="18"/>
  <c r="T22" i="18"/>
  <c r="P22" i="18"/>
  <c r="H22" i="18"/>
  <c r="D22" i="18"/>
  <c r="B22" i="18"/>
  <c r="T21" i="18"/>
  <c r="P21" i="18"/>
  <c r="L21" i="18"/>
  <c r="N21" i="18" s="1"/>
  <c r="H21" i="18"/>
  <c r="D21" i="18"/>
  <c r="B21" i="18"/>
  <c r="T20" i="18"/>
  <c r="P20" i="18"/>
  <c r="L20" i="18"/>
  <c r="N20" i="18" s="1"/>
  <c r="H20" i="18"/>
  <c r="D20" i="18"/>
  <c r="B20" i="18"/>
  <c r="T19" i="18"/>
  <c r="Z19" i="18" s="1"/>
  <c r="P19" i="18"/>
  <c r="X19" i="18" s="1"/>
  <c r="L19" i="18"/>
  <c r="N19" i="18" s="1"/>
  <c r="H19" i="18"/>
  <c r="D19" i="18"/>
  <c r="B19" i="18"/>
  <c r="T18" i="18"/>
  <c r="P18" i="18"/>
  <c r="H18" i="18"/>
  <c r="D18" i="18"/>
  <c r="B18" i="18"/>
  <c r="T17" i="18"/>
  <c r="Z17" i="18" s="1"/>
  <c r="P17" i="18"/>
  <c r="X17" i="18" s="1"/>
  <c r="L17" i="18"/>
  <c r="N17" i="18" s="1"/>
  <c r="H17" i="18"/>
  <c r="D17" i="18"/>
  <c r="B17" i="18"/>
  <c r="T16" i="18"/>
  <c r="P16" i="18"/>
  <c r="L16" i="18"/>
  <c r="H16" i="18"/>
  <c r="N16" i="18" s="1"/>
  <c r="D16" i="18"/>
  <c r="B16" i="18"/>
  <c r="T15" i="18"/>
  <c r="P15" i="18"/>
  <c r="P12" i="18" s="1"/>
  <c r="R163" i="18" s="1"/>
  <c r="L15" i="18"/>
  <c r="N15" i="18" s="1"/>
  <c r="H15" i="18"/>
  <c r="D15" i="18"/>
  <c r="B15" i="18"/>
  <c r="T14" i="18"/>
  <c r="Z14" i="18" s="1"/>
  <c r="P14" i="18"/>
  <c r="X14" i="18" s="1"/>
  <c r="H14" i="18"/>
  <c r="H12" i="18" s="1"/>
  <c r="D14" i="18"/>
  <c r="B14" i="18"/>
  <c r="T13" i="18"/>
  <c r="P13" i="18"/>
  <c r="X13" i="18" s="1"/>
  <c r="L13" i="18"/>
  <c r="H13" i="18"/>
  <c r="N13" i="18" s="1"/>
  <c r="D13" i="18"/>
  <c r="B13" i="18"/>
  <c r="D12" i="18"/>
  <c r="D4" i="18"/>
  <c r="X229" i="15"/>
  <c r="Z229" i="15" s="1"/>
  <c r="R229" i="15"/>
  <c r="L229" i="15"/>
  <c r="N229" i="15" s="1"/>
  <c r="T225" i="15"/>
  <c r="Z225" i="15" s="1"/>
  <c r="P225" i="15"/>
  <c r="X225" i="15" s="1"/>
  <c r="L225" i="15"/>
  <c r="H225" i="15"/>
  <c r="D225" i="15"/>
  <c r="B225" i="15"/>
  <c r="T224" i="15"/>
  <c r="X224" i="15" s="1"/>
  <c r="Z224" i="15" s="1"/>
  <c r="R224" i="15"/>
  <c r="P224" i="15"/>
  <c r="N224" i="15"/>
  <c r="H224" i="15"/>
  <c r="D224" i="15"/>
  <c r="L224" i="15" s="1"/>
  <c r="B224" i="15"/>
  <c r="T223" i="15"/>
  <c r="P223" i="15"/>
  <c r="H223" i="15"/>
  <c r="N223" i="15" s="1"/>
  <c r="D223" i="15"/>
  <c r="L223" i="15" s="1"/>
  <c r="B223" i="15"/>
  <c r="X222" i="15"/>
  <c r="Z222" i="15" s="1"/>
  <c r="T222" i="15"/>
  <c r="R222" i="15"/>
  <c r="P222" i="15"/>
  <c r="L222" i="15"/>
  <c r="H222" i="15"/>
  <c r="N222" i="15" s="1"/>
  <c r="D222" i="15"/>
  <c r="B222" i="15"/>
  <c r="T221" i="15"/>
  <c r="P221" i="15"/>
  <c r="N221" i="15"/>
  <c r="H221" i="15"/>
  <c r="H220" i="15" s="1"/>
  <c r="D221" i="15"/>
  <c r="L221" i="15" s="1"/>
  <c r="B221" i="15"/>
  <c r="Z218" i="15"/>
  <c r="X218" i="15"/>
  <c r="L218" i="15"/>
  <c r="N218" i="15" s="1"/>
  <c r="B218" i="15"/>
  <c r="T217" i="15"/>
  <c r="Z217" i="15" s="1"/>
  <c r="P217" i="15"/>
  <c r="X217" i="15" s="1"/>
  <c r="H217" i="15"/>
  <c r="D217" i="15"/>
  <c r="L217" i="15" s="1"/>
  <c r="B217" i="15"/>
  <c r="Z216" i="15"/>
  <c r="X216" i="15"/>
  <c r="N216" i="15"/>
  <c r="L216" i="15"/>
  <c r="B216" i="15"/>
  <c r="X215" i="15"/>
  <c r="Z215" i="15" s="1"/>
  <c r="L215" i="15"/>
  <c r="N215" i="15" s="1"/>
  <c r="B215" i="15"/>
  <c r="X214" i="15"/>
  <c r="Z214" i="15" s="1"/>
  <c r="N214" i="15"/>
  <c r="L214" i="15"/>
  <c r="B214" i="15"/>
  <c r="X213" i="15"/>
  <c r="T213" i="15"/>
  <c r="P213" i="15"/>
  <c r="H213" i="15"/>
  <c r="D213" i="15"/>
  <c r="L213" i="15" s="1"/>
  <c r="B213" i="15"/>
  <c r="Z212" i="15"/>
  <c r="X212" i="15"/>
  <c r="N212" i="15"/>
  <c r="L212" i="15"/>
  <c r="B212" i="15"/>
  <c r="T211" i="15"/>
  <c r="P211" i="15"/>
  <c r="H211" i="15"/>
  <c r="D211" i="15"/>
  <c r="L211" i="15" s="1"/>
  <c r="N211" i="15" s="1"/>
  <c r="B211" i="15"/>
  <c r="Z210" i="15"/>
  <c r="X210" i="15"/>
  <c r="L210" i="15"/>
  <c r="N210" i="15" s="1"/>
  <c r="B210" i="15"/>
  <c r="Z209" i="15"/>
  <c r="X209" i="15"/>
  <c r="R209" i="15"/>
  <c r="N209" i="15"/>
  <c r="L209" i="15"/>
  <c r="B209" i="15"/>
  <c r="T208" i="15"/>
  <c r="P208" i="15"/>
  <c r="X208" i="15" s="1"/>
  <c r="J208" i="15"/>
  <c r="H208" i="15"/>
  <c r="N208" i="15" s="1"/>
  <c r="D208" i="15"/>
  <c r="L208" i="15" s="1"/>
  <c r="B208" i="15"/>
  <c r="X207" i="15"/>
  <c r="Z207" i="15" s="1"/>
  <c r="L207" i="15"/>
  <c r="N207" i="15" s="1"/>
  <c r="B207" i="15"/>
  <c r="X206" i="15"/>
  <c r="Z206" i="15" s="1"/>
  <c r="N206" i="15"/>
  <c r="L206" i="15"/>
  <c r="B206" i="15"/>
  <c r="X205" i="15"/>
  <c r="Z205" i="15" s="1"/>
  <c r="N205" i="15"/>
  <c r="L205" i="15"/>
  <c r="B205" i="15"/>
  <c r="X204" i="15"/>
  <c r="Z204" i="15" s="1"/>
  <c r="L204" i="15"/>
  <c r="N204" i="15" s="1"/>
  <c r="B204" i="15"/>
  <c r="X203" i="15"/>
  <c r="Z203" i="15" s="1"/>
  <c r="L203" i="15"/>
  <c r="N203" i="15" s="1"/>
  <c r="B203" i="15"/>
  <c r="X202" i="15"/>
  <c r="Z202" i="15" s="1"/>
  <c r="N202" i="15"/>
  <c r="L202" i="15"/>
  <c r="B202" i="15"/>
  <c r="X201" i="15"/>
  <c r="T201" i="15"/>
  <c r="Z201" i="15" s="1"/>
  <c r="P201" i="15"/>
  <c r="H201" i="15"/>
  <c r="N201" i="15" s="1"/>
  <c r="D201" i="15"/>
  <c r="L201" i="15" s="1"/>
  <c r="B201" i="15"/>
  <c r="X200" i="15"/>
  <c r="Z200" i="15" s="1"/>
  <c r="N200" i="15"/>
  <c r="L200" i="15"/>
  <c r="B200" i="15"/>
  <c r="X199" i="15"/>
  <c r="Z199" i="15" s="1"/>
  <c r="R199" i="15"/>
  <c r="N199" i="15"/>
  <c r="L199" i="15"/>
  <c r="B199" i="15"/>
  <c r="T198" i="15"/>
  <c r="X198" i="15" s="1"/>
  <c r="Z198" i="15" s="1"/>
  <c r="R198" i="15"/>
  <c r="P198" i="15"/>
  <c r="N198" i="15"/>
  <c r="L198" i="15"/>
  <c r="H198" i="15"/>
  <c r="D198" i="15"/>
  <c r="B198" i="15"/>
  <c r="X197" i="15"/>
  <c r="Z197" i="15" s="1"/>
  <c r="R197" i="15"/>
  <c r="L197" i="15"/>
  <c r="N197" i="15" s="1"/>
  <c r="J197" i="15"/>
  <c r="B197" i="15"/>
  <c r="X196" i="15"/>
  <c r="Z196" i="15" s="1"/>
  <c r="N196" i="15"/>
  <c r="L196" i="15"/>
  <c r="J196" i="15"/>
  <c r="B196" i="15"/>
  <c r="Z195" i="15"/>
  <c r="X195" i="15"/>
  <c r="L195" i="15"/>
  <c r="N195" i="15" s="1"/>
  <c r="B195" i="15"/>
  <c r="Z194" i="15"/>
  <c r="X194" i="15"/>
  <c r="R194" i="15"/>
  <c r="L194" i="15"/>
  <c r="N194" i="15" s="1"/>
  <c r="B194" i="15"/>
  <c r="T193" i="15"/>
  <c r="P193" i="15"/>
  <c r="X193" i="15" s="1"/>
  <c r="H193" i="15"/>
  <c r="D193" i="15"/>
  <c r="L193" i="15" s="1"/>
  <c r="N193" i="15" s="1"/>
  <c r="B193" i="15"/>
  <c r="X192" i="15"/>
  <c r="Z192" i="15" s="1"/>
  <c r="N192" i="15"/>
  <c r="L192" i="15"/>
  <c r="B192" i="15"/>
  <c r="Z191" i="15"/>
  <c r="X191" i="15"/>
  <c r="N191" i="15"/>
  <c r="L191" i="15"/>
  <c r="B191" i="15"/>
  <c r="X190" i="15"/>
  <c r="Z190" i="15" s="1"/>
  <c r="N190" i="15"/>
  <c r="L190" i="15"/>
  <c r="B190" i="15"/>
  <c r="X189" i="15"/>
  <c r="T189" i="15"/>
  <c r="Z189" i="15" s="1"/>
  <c r="P189" i="15"/>
  <c r="H189" i="15"/>
  <c r="D189" i="15"/>
  <c r="L189" i="15" s="1"/>
  <c r="N189" i="15" s="1"/>
  <c r="B189" i="15"/>
  <c r="Z188" i="15"/>
  <c r="X188" i="15"/>
  <c r="N188" i="15"/>
  <c r="L188" i="15"/>
  <c r="B188" i="15"/>
  <c r="X187" i="15"/>
  <c r="Z187" i="15" s="1"/>
  <c r="R187" i="15"/>
  <c r="N187" i="15"/>
  <c r="L187" i="15"/>
  <c r="B187" i="15"/>
  <c r="Z186" i="15"/>
  <c r="X186" i="15"/>
  <c r="N186" i="15"/>
  <c r="L186" i="15"/>
  <c r="J186" i="15"/>
  <c r="B186" i="15"/>
  <c r="T185" i="15"/>
  <c r="P185" i="15"/>
  <c r="X185" i="15" s="1"/>
  <c r="Z185" i="15" s="1"/>
  <c r="H185" i="15"/>
  <c r="D185" i="15"/>
  <c r="B185" i="15"/>
  <c r="X184" i="15"/>
  <c r="Z184" i="15" s="1"/>
  <c r="N184" i="15"/>
  <c r="L184" i="15"/>
  <c r="J184" i="15"/>
  <c r="B184" i="15"/>
  <c r="Z183" i="15"/>
  <c r="T183" i="15"/>
  <c r="P183" i="15"/>
  <c r="X183" i="15" s="1"/>
  <c r="H183" i="15"/>
  <c r="D183" i="15"/>
  <c r="L183" i="15" s="1"/>
  <c r="B183" i="15"/>
  <c r="X182" i="15"/>
  <c r="Z182" i="15" s="1"/>
  <c r="N182" i="15"/>
  <c r="L182" i="15"/>
  <c r="B182" i="15"/>
  <c r="X181" i="15"/>
  <c r="T181" i="15"/>
  <c r="Z181" i="15" s="1"/>
  <c r="P181" i="15"/>
  <c r="H181" i="15"/>
  <c r="N181" i="15" s="1"/>
  <c r="D181" i="15"/>
  <c r="L181" i="15" s="1"/>
  <c r="B181" i="15"/>
  <c r="Z180" i="15"/>
  <c r="X180" i="15"/>
  <c r="N180" i="15"/>
  <c r="L180" i="15"/>
  <c r="B180" i="15"/>
  <c r="T179" i="15"/>
  <c r="R179" i="15"/>
  <c r="P179" i="15"/>
  <c r="H179" i="15"/>
  <c r="D179" i="15"/>
  <c r="L179" i="15" s="1"/>
  <c r="N179" i="15" s="1"/>
  <c r="B179" i="15"/>
  <c r="Z178" i="15"/>
  <c r="X178" i="15"/>
  <c r="R178" i="15"/>
  <c r="L178" i="15"/>
  <c r="N178" i="15" s="1"/>
  <c r="B178" i="15"/>
  <c r="T177" i="15"/>
  <c r="Z177" i="15" s="1"/>
  <c r="P177" i="15"/>
  <c r="X177" i="15" s="1"/>
  <c r="N177" i="15"/>
  <c r="H177" i="15"/>
  <c r="D177" i="15"/>
  <c r="L177" i="15" s="1"/>
  <c r="B177" i="15"/>
  <c r="Z176" i="15"/>
  <c r="X176" i="15"/>
  <c r="L176" i="15"/>
  <c r="N176" i="15" s="1"/>
  <c r="B176" i="15"/>
  <c r="T175" i="15"/>
  <c r="P175" i="15"/>
  <c r="X175" i="15" s="1"/>
  <c r="L175" i="15"/>
  <c r="J175" i="15"/>
  <c r="H175" i="15"/>
  <c r="D175" i="15"/>
  <c r="B175" i="15"/>
  <c r="Z174" i="15"/>
  <c r="X174" i="15"/>
  <c r="N174" i="15"/>
  <c r="L174" i="15"/>
  <c r="J174" i="15"/>
  <c r="B174" i="15"/>
  <c r="X173" i="15"/>
  <c r="Z173" i="15" s="1"/>
  <c r="L173" i="15"/>
  <c r="N173" i="15" s="1"/>
  <c r="B173" i="15"/>
  <c r="Z172" i="15"/>
  <c r="X172" i="15"/>
  <c r="T172" i="15"/>
  <c r="P172" i="15"/>
  <c r="H172" i="15"/>
  <c r="D172" i="15"/>
  <c r="L172" i="15" s="1"/>
  <c r="N172" i="15" s="1"/>
  <c r="B172" i="15"/>
  <c r="Z171" i="15"/>
  <c r="X171" i="15"/>
  <c r="L171" i="15"/>
  <c r="N171" i="15" s="1"/>
  <c r="B171" i="15"/>
  <c r="T170" i="15"/>
  <c r="P170" i="15"/>
  <c r="H170" i="15"/>
  <c r="D170" i="15"/>
  <c r="L170" i="15" s="1"/>
  <c r="B170" i="15"/>
  <c r="X169" i="15"/>
  <c r="Z169" i="15" s="1"/>
  <c r="N169" i="15"/>
  <c r="L169" i="15"/>
  <c r="B169" i="15"/>
  <c r="T168" i="15"/>
  <c r="Z168" i="15" s="1"/>
  <c r="P168" i="15"/>
  <c r="X168" i="15" s="1"/>
  <c r="H168" i="15"/>
  <c r="D168" i="15"/>
  <c r="L168" i="15" s="1"/>
  <c r="B168" i="15"/>
  <c r="X167" i="15"/>
  <c r="Z167" i="15" s="1"/>
  <c r="R167" i="15"/>
  <c r="N167" i="15"/>
  <c r="L167" i="15"/>
  <c r="B167" i="15"/>
  <c r="X166" i="15"/>
  <c r="T166" i="15"/>
  <c r="Z166" i="15" s="1"/>
  <c r="R166" i="15"/>
  <c r="P166" i="15"/>
  <c r="L166" i="15"/>
  <c r="N166" i="15" s="1"/>
  <c r="H166" i="15"/>
  <c r="D166" i="15"/>
  <c r="B166" i="15"/>
  <c r="Z165" i="15"/>
  <c r="X165" i="15"/>
  <c r="R165" i="15"/>
  <c r="L165" i="15"/>
  <c r="N165" i="15" s="1"/>
  <c r="J165" i="15"/>
  <c r="B165" i="15"/>
  <c r="X164" i="15"/>
  <c r="Z164" i="15" s="1"/>
  <c r="N164" i="15"/>
  <c r="L164" i="15"/>
  <c r="J164" i="15"/>
  <c r="B164" i="15"/>
  <c r="Z163" i="15"/>
  <c r="X163" i="15"/>
  <c r="T163" i="15"/>
  <c r="P163" i="15"/>
  <c r="H163" i="15"/>
  <c r="D163" i="15"/>
  <c r="L163" i="15" s="1"/>
  <c r="B163" i="15"/>
  <c r="X162" i="15"/>
  <c r="Z162" i="15" s="1"/>
  <c r="L162" i="15"/>
  <c r="N162" i="15" s="1"/>
  <c r="B162" i="15"/>
  <c r="X161" i="15"/>
  <c r="Z161" i="15" s="1"/>
  <c r="L161" i="15"/>
  <c r="N161" i="15" s="1"/>
  <c r="B161" i="15"/>
  <c r="T160" i="15"/>
  <c r="P160" i="15"/>
  <c r="H160" i="15"/>
  <c r="D160" i="15"/>
  <c r="L160" i="15" s="1"/>
  <c r="B160" i="15"/>
  <c r="X159" i="15"/>
  <c r="Z159" i="15" s="1"/>
  <c r="R159" i="15"/>
  <c r="N159" i="15"/>
  <c r="L159" i="15"/>
  <c r="B159" i="15"/>
  <c r="X158" i="15"/>
  <c r="T158" i="15"/>
  <c r="Z158" i="15" s="1"/>
  <c r="R158" i="15"/>
  <c r="P158" i="15"/>
  <c r="L158" i="15"/>
  <c r="N158" i="15" s="1"/>
  <c r="H158" i="15"/>
  <c r="D158" i="15"/>
  <c r="B158" i="15"/>
  <c r="Z157" i="15"/>
  <c r="X157" i="15"/>
  <c r="R157" i="15"/>
  <c r="L157" i="15"/>
  <c r="N157" i="15" s="1"/>
  <c r="J157" i="15"/>
  <c r="B157" i="15"/>
  <c r="T156" i="15"/>
  <c r="Z156" i="15" s="1"/>
  <c r="P156" i="15"/>
  <c r="X156" i="15" s="1"/>
  <c r="N156" i="15"/>
  <c r="H156" i="15"/>
  <c r="J156" i="15" s="1"/>
  <c r="D156" i="15"/>
  <c r="L156" i="15" s="1"/>
  <c r="B156" i="15"/>
  <c r="Z155" i="15"/>
  <c r="X155" i="15"/>
  <c r="L155" i="15"/>
  <c r="N155" i="15" s="1"/>
  <c r="B155" i="15"/>
  <c r="T154" i="15"/>
  <c r="Z154" i="15" s="1"/>
  <c r="P154" i="15"/>
  <c r="X154" i="15" s="1"/>
  <c r="J154" i="15"/>
  <c r="H154" i="15"/>
  <c r="D154" i="15"/>
  <c r="L154" i="15" s="1"/>
  <c r="B154" i="15"/>
  <c r="Z153" i="15"/>
  <c r="X153" i="15"/>
  <c r="N153" i="15"/>
  <c r="L153" i="15"/>
  <c r="B153" i="15"/>
  <c r="X152" i="15"/>
  <c r="Z152" i="15" s="1"/>
  <c r="L152" i="15"/>
  <c r="N152" i="15" s="1"/>
  <c r="B152" i="15"/>
  <c r="X151" i="15"/>
  <c r="Z151" i="15" s="1"/>
  <c r="R151" i="15"/>
  <c r="N151" i="15"/>
  <c r="L151" i="15"/>
  <c r="B151" i="15"/>
  <c r="X150" i="15"/>
  <c r="Z150" i="15" s="1"/>
  <c r="N150" i="15"/>
  <c r="L150" i="15"/>
  <c r="J150" i="15"/>
  <c r="B150" i="15"/>
  <c r="Z149" i="15"/>
  <c r="X149" i="15"/>
  <c r="N149" i="15"/>
  <c r="L149" i="15"/>
  <c r="B149" i="15"/>
  <c r="Z148" i="15"/>
  <c r="X148" i="15"/>
  <c r="L148" i="15"/>
  <c r="N148" i="15" s="1"/>
  <c r="B148" i="15"/>
  <c r="X147" i="15"/>
  <c r="Z147" i="15" s="1"/>
  <c r="R147" i="15"/>
  <c r="N147" i="15"/>
  <c r="L147" i="15"/>
  <c r="B147" i="15"/>
  <c r="T146" i="15"/>
  <c r="R146" i="15"/>
  <c r="P146" i="15"/>
  <c r="X146" i="15" s="1"/>
  <c r="N146" i="15"/>
  <c r="L146" i="15"/>
  <c r="H146" i="15"/>
  <c r="D146" i="15"/>
  <c r="B146" i="15"/>
  <c r="Z145" i="15"/>
  <c r="X145" i="15"/>
  <c r="R145" i="15"/>
  <c r="L145" i="15"/>
  <c r="N145" i="15" s="1"/>
  <c r="J145" i="15"/>
  <c r="B145" i="15"/>
  <c r="X144" i="15"/>
  <c r="Z144" i="15" s="1"/>
  <c r="N144" i="15"/>
  <c r="L144" i="15"/>
  <c r="J144" i="15"/>
  <c r="B144" i="15"/>
  <c r="Z143" i="15"/>
  <c r="X143" i="15"/>
  <c r="L143" i="15"/>
  <c r="N143" i="15" s="1"/>
  <c r="B143" i="15"/>
  <c r="Z142" i="15"/>
  <c r="X142" i="15"/>
  <c r="R142" i="15"/>
  <c r="L142" i="15"/>
  <c r="N142" i="15" s="1"/>
  <c r="B142" i="15"/>
  <c r="X141" i="15"/>
  <c r="Z141" i="15" s="1"/>
  <c r="R141" i="15"/>
  <c r="L141" i="15"/>
  <c r="N141" i="15" s="1"/>
  <c r="J141" i="15"/>
  <c r="B141" i="15"/>
  <c r="X140" i="15"/>
  <c r="Z140" i="15" s="1"/>
  <c r="L140" i="15"/>
  <c r="N140" i="15" s="1"/>
  <c r="J140" i="15"/>
  <c r="B140" i="15"/>
  <c r="Z139" i="15"/>
  <c r="X139" i="15"/>
  <c r="L139" i="15"/>
  <c r="N139" i="15" s="1"/>
  <c r="B139" i="15"/>
  <c r="Z138" i="15"/>
  <c r="X138" i="15"/>
  <c r="R138" i="15"/>
  <c r="L138" i="15"/>
  <c r="N138" i="15" s="1"/>
  <c r="B138" i="15"/>
  <c r="X137" i="15"/>
  <c r="Z137" i="15" s="1"/>
  <c r="R137" i="15"/>
  <c r="L137" i="15"/>
  <c r="N137" i="15" s="1"/>
  <c r="J137" i="15"/>
  <c r="B137" i="15"/>
  <c r="T136" i="15"/>
  <c r="Z136" i="15" s="1"/>
  <c r="P136" i="15"/>
  <c r="X136" i="15" s="1"/>
  <c r="N136" i="15"/>
  <c r="H136" i="15"/>
  <c r="J136" i="15" s="1"/>
  <c r="D136" i="15"/>
  <c r="L136" i="15" s="1"/>
  <c r="B136" i="15"/>
  <c r="T135" i="15"/>
  <c r="P135" i="15"/>
  <c r="X135" i="15" s="1"/>
  <c r="L135" i="15"/>
  <c r="J135" i="15"/>
  <c r="H135" i="15"/>
  <c r="N135" i="15" s="1"/>
  <c r="D135" i="15"/>
  <c r="X131" i="15"/>
  <c r="Z131" i="15" s="1"/>
  <c r="L131" i="15"/>
  <c r="N131" i="15" s="1"/>
  <c r="B131" i="15"/>
  <c r="Z130" i="15"/>
  <c r="X130" i="15"/>
  <c r="N130" i="15"/>
  <c r="L130" i="15"/>
  <c r="B130" i="15"/>
  <c r="X129" i="15"/>
  <c r="Z129" i="15" s="1"/>
  <c r="L129" i="15"/>
  <c r="N129" i="15" s="1"/>
  <c r="B129" i="15"/>
  <c r="Z128" i="15"/>
  <c r="X128" i="15"/>
  <c r="N128" i="15"/>
  <c r="L128" i="15"/>
  <c r="B128" i="15"/>
  <c r="Z127" i="15"/>
  <c r="X127" i="15"/>
  <c r="L127" i="15"/>
  <c r="N127" i="15" s="1"/>
  <c r="B127" i="15"/>
  <c r="Z126" i="15"/>
  <c r="X126" i="15"/>
  <c r="L126" i="15"/>
  <c r="N126" i="15" s="1"/>
  <c r="B126" i="15"/>
  <c r="X125" i="15"/>
  <c r="Z125" i="15" s="1"/>
  <c r="L125" i="15"/>
  <c r="N125" i="15" s="1"/>
  <c r="B125" i="15"/>
  <c r="Z124" i="15"/>
  <c r="X124" i="15"/>
  <c r="N124" i="15"/>
  <c r="L124" i="15"/>
  <c r="B124" i="15"/>
  <c r="X123" i="15"/>
  <c r="Z123" i="15" s="1"/>
  <c r="L123" i="15"/>
  <c r="N123" i="15" s="1"/>
  <c r="B123" i="15"/>
  <c r="Z122" i="15"/>
  <c r="X122" i="15"/>
  <c r="L122" i="15"/>
  <c r="N122" i="15" s="1"/>
  <c r="B122" i="15"/>
  <c r="X121" i="15"/>
  <c r="Z121" i="15" s="1"/>
  <c r="L121" i="15"/>
  <c r="N121" i="15" s="1"/>
  <c r="B121" i="15"/>
  <c r="Z120" i="15"/>
  <c r="X120" i="15"/>
  <c r="L120" i="15"/>
  <c r="N120" i="15" s="1"/>
  <c r="B120" i="15"/>
  <c r="Z119" i="15"/>
  <c r="X119" i="15"/>
  <c r="N119" i="15"/>
  <c r="L119" i="15"/>
  <c r="B119" i="15"/>
  <c r="Z118" i="15"/>
  <c r="X118" i="15"/>
  <c r="L118" i="15"/>
  <c r="N118" i="15" s="1"/>
  <c r="B118" i="15"/>
  <c r="X117" i="15"/>
  <c r="Z117" i="15" s="1"/>
  <c r="L117" i="15"/>
  <c r="N117" i="15" s="1"/>
  <c r="B117" i="15"/>
  <c r="Z116" i="15"/>
  <c r="X116" i="15"/>
  <c r="N116" i="15"/>
  <c r="L116" i="15"/>
  <c r="B116" i="15"/>
  <c r="X115" i="15"/>
  <c r="Z115" i="15" s="1"/>
  <c r="L115" i="15"/>
  <c r="N115" i="15" s="1"/>
  <c r="B115" i="15"/>
  <c r="Z114" i="15"/>
  <c r="X114" i="15"/>
  <c r="L114" i="15"/>
  <c r="N114" i="15" s="1"/>
  <c r="B114" i="15"/>
  <c r="X113" i="15"/>
  <c r="Z113" i="15" s="1"/>
  <c r="L113" i="15"/>
  <c r="N113" i="15" s="1"/>
  <c r="B113" i="15"/>
  <c r="Z112" i="15"/>
  <c r="X112" i="15"/>
  <c r="L112" i="15"/>
  <c r="N112" i="15" s="1"/>
  <c r="B112" i="15"/>
  <c r="X111" i="15"/>
  <c r="Z111" i="15" s="1"/>
  <c r="L111" i="15"/>
  <c r="N111" i="15" s="1"/>
  <c r="B111" i="15"/>
  <c r="Z110" i="15"/>
  <c r="X110" i="15"/>
  <c r="L110" i="15"/>
  <c r="N110" i="15" s="1"/>
  <c r="B110" i="15"/>
  <c r="X109" i="15"/>
  <c r="Z109" i="15" s="1"/>
  <c r="L109" i="15"/>
  <c r="N109" i="15" s="1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L106" i="15"/>
  <c r="N106" i="15" s="1"/>
  <c r="B106" i="15"/>
  <c r="Z105" i="15"/>
  <c r="X105" i="15"/>
  <c r="N105" i="15"/>
  <c r="L105" i="15"/>
  <c r="B105" i="15"/>
  <c r="Z104" i="15"/>
  <c r="X104" i="15"/>
  <c r="N104" i="15"/>
  <c r="L104" i="15"/>
  <c r="B104" i="15"/>
  <c r="X103" i="15"/>
  <c r="Z103" i="15" s="1"/>
  <c r="L103" i="15"/>
  <c r="N103" i="15" s="1"/>
  <c r="B103" i="15"/>
  <c r="Z102" i="15"/>
  <c r="X102" i="15"/>
  <c r="L102" i="15"/>
  <c r="N102" i="15" s="1"/>
  <c r="B102" i="15"/>
  <c r="X101" i="15"/>
  <c r="Z101" i="15" s="1"/>
  <c r="L101" i="15"/>
  <c r="N101" i="15" s="1"/>
  <c r="B101" i="15"/>
  <c r="Z100" i="15"/>
  <c r="X100" i="15"/>
  <c r="L100" i="15"/>
  <c r="N100" i="15" s="1"/>
  <c r="B100" i="15"/>
  <c r="X99" i="15"/>
  <c r="Z99" i="15" s="1"/>
  <c r="L99" i="15"/>
  <c r="N99" i="15" s="1"/>
  <c r="B99" i="15"/>
  <c r="Z98" i="15"/>
  <c r="X98" i="15"/>
  <c r="L98" i="15"/>
  <c r="N98" i="15" s="1"/>
  <c r="B98" i="15"/>
  <c r="X97" i="15"/>
  <c r="Z97" i="15" s="1"/>
  <c r="L97" i="15"/>
  <c r="N97" i="15" s="1"/>
  <c r="B97" i="15"/>
  <c r="Z96" i="15"/>
  <c r="X96" i="15"/>
  <c r="N96" i="15"/>
  <c r="L96" i="15"/>
  <c r="B96" i="15"/>
  <c r="X95" i="15"/>
  <c r="Z95" i="15" s="1"/>
  <c r="L95" i="15"/>
  <c r="N95" i="15" s="1"/>
  <c r="B95" i="15"/>
  <c r="Z94" i="15"/>
  <c r="X94" i="15"/>
  <c r="L94" i="15"/>
  <c r="N94" i="15" s="1"/>
  <c r="B94" i="15"/>
  <c r="X93" i="15"/>
  <c r="Z93" i="15" s="1"/>
  <c r="L93" i="15"/>
  <c r="N93" i="15" s="1"/>
  <c r="B93" i="15"/>
  <c r="Z92" i="15"/>
  <c r="X92" i="15"/>
  <c r="L92" i="15"/>
  <c r="N92" i="15" s="1"/>
  <c r="B92" i="15"/>
  <c r="T91" i="15"/>
  <c r="Z91" i="15" s="1"/>
  <c r="P91" i="15"/>
  <c r="X91" i="15" s="1"/>
  <c r="L91" i="15"/>
  <c r="J91" i="15"/>
  <c r="H91" i="15"/>
  <c r="D91" i="15"/>
  <c r="T89" i="15"/>
  <c r="Z89" i="15" s="1"/>
  <c r="P89" i="15"/>
  <c r="X89" i="15" s="1"/>
  <c r="N89" i="15"/>
  <c r="L89" i="15"/>
  <c r="H89" i="15"/>
  <c r="D89" i="15"/>
  <c r="B89" i="15"/>
  <c r="T88" i="15"/>
  <c r="P88" i="15"/>
  <c r="X88" i="15" s="1"/>
  <c r="H88" i="15"/>
  <c r="D88" i="15"/>
  <c r="B88" i="15"/>
  <c r="T87" i="15"/>
  <c r="P87" i="15"/>
  <c r="L87" i="15"/>
  <c r="N87" i="15" s="1"/>
  <c r="H87" i="15"/>
  <c r="D87" i="15"/>
  <c r="B87" i="15"/>
  <c r="T86" i="15"/>
  <c r="P86" i="15"/>
  <c r="X86" i="15" s="1"/>
  <c r="N86" i="15"/>
  <c r="L86" i="15"/>
  <c r="H86" i="15"/>
  <c r="D86" i="15"/>
  <c r="B86" i="15"/>
  <c r="T85" i="15"/>
  <c r="Z85" i="15" s="1"/>
  <c r="P85" i="15"/>
  <c r="X85" i="15" s="1"/>
  <c r="H85" i="15"/>
  <c r="D85" i="15"/>
  <c r="L85" i="15" s="1"/>
  <c r="B85" i="15"/>
  <c r="T84" i="15"/>
  <c r="P84" i="15"/>
  <c r="H84" i="15"/>
  <c r="D84" i="15"/>
  <c r="B84" i="15"/>
  <c r="T83" i="15"/>
  <c r="P83" i="15"/>
  <c r="L83" i="15"/>
  <c r="N83" i="15" s="1"/>
  <c r="H83" i="15"/>
  <c r="D83" i="15"/>
  <c r="B83" i="15"/>
  <c r="T82" i="15"/>
  <c r="P82" i="15"/>
  <c r="L82" i="15"/>
  <c r="N82" i="15" s="1"/>
  <c r="H82" i="15"/>
  <c r="D82" i="15"/>
  <c r="B82" i="15"/>
  <c r="T81" i="15"/>
  <c r="P81" i="15"/>
  <c r="X81" i="15" s="1"/>
  <c r="H81" i="15"/>
  <c r="D81" i="15"/>
  <c r="L81" i="15" s="1"/>
  <c r="N81" i="15" s="1"/>
  <c r="B81" i="15"/>
  <c r="T80" i="15"/>
  <c r="P80" i="15"/>
  <c r="H80" i="15"/>
  <c r="D80" i="15"/>
  <c r="B80" i="15"/>
  <c r="X79" i="15"/>
  <c r="T79" i="15"/>
  <c r="P79" i="15"/>
  <c r="L79" i="15"/>
  <c r="N79" i="15" s="1"/>
  <c r="H79" i="15"/>
  <c r="D79" i="15"/>
  <c r="B79" i="15"/>
  <c r="T78" i="15"/>
  <c r="P78" i="15"/>
  <c r="N78" i="15"/>
  <c r="L78" i="15"/>
  <c r="H78" i="15"/>
  <c r="D78" i="15"/>
  <c r="B78" i="15"/>
  <c r="T77" i="15"/>
  <c r="Z77" i="15" s="1"/>
  <c r="P77" i="15"/>
  <c r="X77" i="15" s="1"/>
  <c r="L77" i="15"/>
  <c r="H77" i="15"/>
  <c r="D77" i="15"/>
  <c r="B77" i="15"/>
  <c r="T76" i="15"/>
  <c r="P76" i="15"/>
  <c r="L76" i="15"/>
  <c r="H76" i="15"/>
  <c r="N76" i="15" s="1"/>
  <c r="D76" i="15"/>
  <c r="B76" i="15"/>
  <c r="X75" i="15"/>
  <c r="T75" i="15"/>
  <c r="P75" i="15"/>
  <c r="L75" i="15"/>
  <c r="N75" i="15" s="1"/>
  <c r="H75" i="15"/>
  <c r="D75" i="15"/>
  <c r="B75" i="15"/>
  <c r="T74" i="15"/>
  <c r="P74" i="15"/>
  <c r="L74" i="15"/>
  <c r="N74" i="15" s="1"/>
  <c r="H74" i="15"/>
  <c r="D74" i="15"/>
  <c r="B74" i="15"/>
  <c r="T73" i="15"/>
  <c r="Z73" i="15" s="1"/>
  <c r="P73" i="15"/>
  <c r="X73" i="15" s="1"/>
  <c r="L73" i="15"/>
  <c r="N73" i="15" s="1"/>
  <c r="H73" i="15"/>
  <c r="D73" i="15"/>
  <c r="B73" i="15"/>
  <c r="T72" i="15"/>
  <c r="P72" i="15"/>
  <c r="L72" i="15"/>
  <c r="H72" i="15"/>
  <c r="N72" i="15" s="1"/>
  <c r="D72" i="15"/>
  <c r="B72" i="15"/>
  <c r="X71" i="15"/>
  <c r="T71" i="15"/>
  <c r="P71" i="15"/>
  <c r="L71" i="15"/>
  <c r="N71" i="15" s="1"/>
  <c r="H71" i="15"/>
  <c r="D71" i="15"/>
  <c r="B71" i="15"/>
  <c r="T70" i="15"/>
  <c r="P70" i="15"/>
  <c r="L70" i="15"/>
  <c r="N70" i="15" s="1"/>
  <c r="H70" i="15"/>
  <c r="D70" i="15"/>
  <c r="B70" i="15"/>
  <c r="T69" i="15"/>
  <c r="Z69" i="15" s="1"/>
  <c r="P69" i="15"/>
  <c r="X69" i="15" s="1"/>
  <c r="H69" i="15"/>
  <c r="D69" i="15"/>
  <c r="L69" i="15" s="1"/>
  <c r="N69" i="15" s="1"/>
  <c r="B69" i="15"/>
  <c r="T68" i="15"/>
  <c r="P68" i="15"/>
  <c r="L68" i="15"/>
  <c r="H68" i="15"/>
  <c r="N68" i="15" s="1"/>
  <c r="D68" i="15"/>
  <c r="B68" i="15"/>
  <c r="X67" i="15"/>
  <c r="T67" i="15"/>
  <c r="P67" i="15"/>
  <c r="L67" i="15"/>
  <c r="N67" i="15" s="1"/>
  <c r="H67" i="15"/>
  <c r="D67" i="15"/>
  <c r="B67" i="15"/>
  <c r="T66" i="15"/>
  <c r="P66" i="15"/>
  <c r="L66" i="15"/>
  <c r="N66" i="15" s="1"/>
  <c r="H66" i="15"/>
  <c r="D66" i="15"/>
  <c r="B66" i="15"/>
  <c r="T65" i="15"/>
  <c r="P65" i="15"/>
  <c r="X65" i="15" s="1"/>
  <c r="H65" i="15"/>
  <c r="D65" i="15"/>
  <c r="L65" i="15" s="1"/>
  <c r="N65" i="15" s="1"/>
  <c r="B65" i="15"/>
  <c r="T64" i="15"/>
  <c r="P64" i="15"/>
  <c r="L64" i="15"/>
  <c r="H64" i="15"/>
  <c r="N64" i="15" s="1"/>
  <c r="D64" i="15"/>
  <c r="B64" i="15"/>
  <c r="T63" i="15"/>
  <c r="P63" i="15"/>
  <c r="L63" i="15"/>
  <c r="N63" i="15" s="1"/>
  <c r="H63" i="15"/>
  <c r="D63" i="15"/>
  <c r="B63" i="15"/>
  <c r="T62" i="15"/>
  <c r="P62" i="15"/>
  <c r="L62" i="15"/>
  <c r="N62" i="15" s="1"/>
  <c r="H62" i="15"/>
  <c r="D62" i="15"/>
  <c r="B62" i="15"/>
  <c r="T61" i="15"/>
  <c r="P61" i="15"/>
  <c r="X61" i="15" s="1"/>
  <c r="L61" i="15"/>
  <c r="H61" i="15"/>
  <c r="D61" i="15"/>
  <c r="B61" i="15"/>
  <c r="T60" i="15"/>
  <c r="P60" i="15"/>
  <c r="L60" i="15"/>
  <c r="H60" i="15"/>
  <c r="N60" i="15" s="1"/>
  <c r="D60" i="15"/>
  <c r="B60" i="15"/>
  <c r="T59" i="15"/>
  <c r="P59" i="15"/>
  <c r="L59" i="15"/>
  <c r="N59" i="15" s="1"/>
  <c r="H59" i="15"/>
  <c r="D59" i="15"/>
  <c r="B59" i="15"/>
  <c r="T58" i="15"/>
  <c r="P58" i="15"/>
  <c r="N58" i="15"/>
  <c r="L58" i="15"/>
  <c r="H58" i="15"/>
  <c r="D58" i="15"/>
  <c r="B58" i="15"/>
  <c r="T57" i="15"/>
  <c r="Z57" i="15" s="1"/>
  <c r="P57" i="15"/>
  <c r="X57" i="15" s="1"/>
  <c r="H57" i="15"/>
  <c r="D57" i="15"/>
  <c r="L57" i="15" s="1"/>
  <c r="N57" i="15" s="1"/>
  <c r="B57" i="15"/>
  <c r="T56" i="15"/>
  <c r="P56" i="15"/>
  <c r="L56" i="15"/>
  <c r="H56" i="15"/>
  <c r="N56" i="15" s="1"/>
  <c r="D56" i="15"/>
  <c r="B56" i="15"/>
  <c r="X55" i="15"/>
  <c r="T55" i="15"/>
  <c r="P55" i="15"/>
  <c r="L55" i="15"/>
  <c r="N55" i="15" s="1"/>
  <c r="H55" i="15"/>
  <c r="D55" i="15"/>
  <c r="B55" i="15"/>
  <c r="T54" i="15"/>
  <c r="P54" i="15"/>
  <c r="N54" i="15"/>
  <c r="L54" i="15"/>
  <c r="H54" i="15"/>
  <c r="D54" i="15"/>
  <c r="B54" i="15"/>
  <c r="T53" i="15"/>
  <c r="Z53" i="15" s="1"/>
  <c r="P53" i="15"/>
  <c r="X53" i="15" s="1"/>
  <c r="L53" i="15"/>
  <c r="N53" i="15" s="1"/>
  <c r="H53" i="15"/>
  <c r="D53" i="15"/>
  <c r="B53" i="15"/>
  <c r="T52" i="15"/>
  <c r="P52" i="15"/>
  <c r="X52" i="15" s="1"/>
  <c r="L52" i="15"/>
  <c r="H52" i="15"/>
  <c r="N52" i="15" s="1"/>
  <c r="D52" i="15"/>
  <c r="B52" i="15"/>
  <c r="X51" i="15"/>
  <c r="T51" i="15"/>
  <c r="P51" i="15"/>
  <c r="L51" i="15"/>
  <c r="H51" i="15"/>
  <c r="N51" i="15" s="1"/>
  <c r="D51" i="15"/>
  <c r="B51" i="15"/>
  <c r="T50" i="15"/>
  <c r="P50" i="15"/>
  <c r="L50" i="15"/>
  <c r="N50" i="15" s="1"/>
  <c r="H50" i="15"/>
  <c r="D50" i="15"/>
  <c r="B50" i="15"/>
  <c r="T49" i="15"/>
  <c r="Z49" i="15" s="1"/>
  <c r="P49" i="15"/>
  <c r="X49" i="15" s="1"/>
  <c r="L49" i="15"/>
  <c r="N49" i="15" s="1"/>
  <c r="H49" i="15"/>
  <c r="D49" i="15"/>
  <c r="B49" i="15"/>
  <c r="T48" i="15"/>
  <c r="P48" i="15"/>
  <c r="L48" i="15"/>
  <c r="H48" i="15"/>
  <c r="N48" i="15" s="1"/>
  <c r="D48" i="15"/>
  <c r="B48" i="15"/>
  <c r="X47" i="15"/>
  <c r="T47" i="15"/>
  <c r="P47" i="15"/>
  <c r="L47" i="15"/>
  <c r="N47" i="15" s="1"/>
  <c r="H47" i="15"/>
  <c r="D47" i="15"/>
  <c r="B47" i="15"/>
  <c r="T46" i="15"/>
  <c r="P46" i="15"/>
  <c r="L46" i="15"/>
  <c r="N46" i="15" s="1"/>
  <c r="H46" i="15"/>
  <c r="D46" i="15"/>
  <c r="B46" i="15"/>
  <c r="T45" i="15"/>
  <c r="Z45" i="15" s="1"/>
  <c r="P45" i="15"/>
  <c r="X45" i="15" s="1"/>
  <c r="H45" i="15"/>
  <c r="D45" i="15"/>
  <c r="L45" i="15" s="1"/>
  <c r="N45" i="15" s="1"/>
  <c r="B45" i="15"/>
  <c r="T44" i="15"/>
  <c r="Z44" i="15" s="1"/>
  <c r="P44" i="15"/>
  <c r="X44" i="15" s="1"/>
  <c r="L44" i="15"/>
  <c r="H44" i="15"/>
  <c r="N44" i="15" s="1"/>
  <c r="D44" i="15"/>
  <c r="B44" i="15"/>
  <c r="X43" i="15"/>
  <c r="T43" i="15"/>
  <c r="P43" i="15"/>
  <c r="L43" i="15"/>
  <c r="N43" i="15" s="1"/>
  <c r="H43" i="15"/>
  <c r="D43" i="15"/>
  <c r="B43" i="15"/>
  <c r="T42" i="15"/>
  <c r="P42" i="15"/>
  <c r="L42" i="15"/>
  <c r="N42" i="15" s="1"/>
  <c r="H42" i="15"/>
  <c r="D42" i="15"/>
  <c r="B42" i="15"/>
  <c r="T41" i="15"/>
  <c r="P41" i="15"/>
  <c r="H41" i="15"/>
  <c r="D41" i="15"/>
  <c r="L41" i="15" s="1"/>
  <c r="N41" i="15" s="1"/>
  <c r="B41" i="15"/>
  <c r="T40" i="15"/>
  <c r="Z40" i="15" s="1"/>
  <c r="P40" i="15"/>
  <c r="L40" i="15"/>
  <c r="H40" i="15"/>
  <c r="N40" i="15" s="1"/>
  <c r="D40" i="15"/>
  <c r="B40" i="15"/>
  <c r="T39" i="15"/>
  <c r="P39" i="15"/>
  <c r="L39" i="15"/>
  <c r="N39" i="15" s="1"/>
  <c r="H39" i="15"/>
  <c r="D39" i="15"/>
  <c r="B39" i="15"/>
  <c r="T38" i="15"/>
  <c r="P38" i="15"/>
  <c r="X38" i="15" s="1"/>
  <c r="N38" i="15"/>
  <c r="L38" i="15"/>
  <c r="H38" i="15"/>
  <c r="D38" i="15"/>
  <c r="B38" i="15"/>
  <c r="T37" i="15"/>
  <c r="P37" i="15"/>
  <c r="X37" i="15" s="1"/>
  <c r="H37" i="15"/>
  <c r="D37" i="15"/>
  <c r="L37" i="15" s="1"/>
  <c r="N37" i="15" s="1"/>
  <c r="B37" i="15"/>
  <c r="T36" i="15"/>
  <c r="P36" i="15"/>
  <c r="L36" i="15"/>
  <c r="H36" i="15"/>
  <c r="N36" i="15" s="1"/>
  <c r="D36" i="15"/>
  <c r="B36" i="15"/>
  <c r="T35" i="15"/>
  <c r="P35" i="15"/>
  <c r="L35" i="15"/>
  <c r="H35" i="15"/>
  <c r="N35" i="15" s="1"/>
  <c r="D35" i="15"/>
  <c r="B35" i="15"/>
  <c r="T34" i="15"/>
  <c r="P34" i="15"/>
  <c r="N34" i="15"/>
  <c r="L34" i="15"/>
  <c r="H34" i="15"/>
  <c r="D34" i="15"/>
  <c r="B34" i="15"/>
  <c r="T33" i="15"/>
  <c r="Z33" i="15" s="1"/>
  <c r="P33" i="15"/>
  <c r="X33" i="15" s="1"/>
  <c r="H33" i="15"/>
  <c r="D33" i="15"/>
  <c r="L33" i="15" s="1"/>
  <c r="N33" i="15" s="1"/>
  <c r="B33" i="15"/>
  <c r="T32" i="15"/>
  <c r="P32" i="15"/>
  <c r="L32" i="15"/>
  <c r="N32" i="15" s="1"/>
  <c r="H32" i="15"/>
  <c r="D32" i="15"/>
  <c r="B32" i="15"/>
  <c r="X31" i="15"/>
  <c r="T31" i="15"/>
  <c r="P31" i="15"/>
  <c r="L31" i="15"/>
  <c r="N31" i="15" s="1"/>
  <c r="H31" i="15"/>
  <c r="D31" i="15"/>
  <c r="B31" i="15"/>
  <c r="T30" i="15"/>
  <c r="P30" i="15"/>
  <c r="N30" i="15"/>
  <c r="L30" i="15"/>
  <c r="H30" i="15"/>
  <c r="D30" i="15"/>
  <c r="B30" i="15"/>
  <c r="T29" i="15"/>
  <c r="Z29" i="15" s="1"/>
  <c r="P29" i="15"/>
  <c r="X29" i="15" s="1"/>
  <c r="L29" i="15"/>
  <c r="N29" i="15" s="1"/>
  <c r="H29" i="15"/>
  <c r="D29" i="15"/>
  <c r="B29" i="15"/>
  <c r="T28" i="15"/>
  <c r="P28" i="15"/>
  <c r="L28" i="15"/>
  <c r="H28" i="15"/>
  <c r="N28" i="15" s="1"/>
  <c r="D28" i="15"/>
  <c r="B28" i="15"/>
  <c r="X27" i="15"/>
  <c r="T27" i="15"/>
  <c r="P27" i="15"/>
  <c r="L27" i="15"/>
  <c r="N27" i="15" s="1"/>
  <c r="H27" i="15"/>
  <c r="D27" i="15"/>
  <c r="B27" i="15"/>
  <c r="T26" i="15"/>
  <c r="P26" i="15"/>
  <c r="L26" i="15"/>
  <c r="N26" i="15" s="1"/>
  <c r="H26" i="15"/>
  <c r="D26" i="15"/>
  <c r="B26" i="15"/>
  <c r="T25" i="15"/>
  <c r="Z25" i="15" s="1"/>
  <c r="P25" i="15"/>
  <c r="X25" i="15" s="1"/>
  <c r="L25" i="15"/>
  <c r="N25" i="15" s="1"/>
  <c r="H25" i="15"/>
  <c r="D25" i="15"/>
  <c r="B25" i="15"/>
  <c r="T24" i="15"/>
  <c r="P24" i="15"/>
  <c r="L24" i="15"/>
  <c r="H24" i="15"/>
  <c r="N24" i="15" s="1"/>
  <c r="D24" i="15"/>
  <c r="B24" i="15"/>
  <c r="X23" i="15"/>
  <c r="T23" i="15"/>
  <c r="P23" i="15"/>
  <c r="L23" i="15"/>
  <c r="N23" i="15" s="1"/>
  <c r="H23" i="15"/>
  <c r="D23" i="15"/>
  <c r="B23" i="15"/>
  <c r="T22" i="15"/>
  <c r="P22" i="15"/>
  <c r="L22" i="15"/>
  <c r="N22" i="15" s="1"/>
  <c r="H22" i="15"/>
  <c r="D22" i="15"/>
  <c r="B22" i="15"/>
  <c r="T21" i="15"/>
  <c r="P21" i="15"/>
  <c r="X21" i="15" s="1"/>
  <c r="H21" i="15"/>
  <c r="D21" i="15"/>
  <c r="L21" i="15" s="1"/>
  <c r="N21" i="15" s="1"/>
  <c r="B21" i="15"/>
  <c r="T20" i="15"/>
  <c r="P20" i="15"/>
  <c r="L20" i="15"/>
  <c r="H20" i="15"/>
  <c r="N20" i="15" s="1"/>
  <c r="D20" i="15"/>
  <c r="B20" i="15"/>
  <c r="T19" i="15"/>
  <c r="P19" i="15"/>
  <c r="L19" i="15"/>
  <c r="N19" i="15" s="1"/>
  <c r="H19" i="15"/>
  <c r="D19" i="15"/>
  <c r="B19" i="15"/>
  <c r="T18" i="15"/>
  <c r="P18" i="15"/>
  <c r="L18" i="15"/>
  <c r="N18" i="15" s="1"/>
  <c r="H18" i="15"/>
  <c r="D18" i="15"/>
  <c r="B18" i="15"/>
  <c r="T17" i="15"/>
  <c r="P17" i="15"/>
  <c r="X17" i="15" s="1"/>
  <c r="H17" i="15"/>
  <c r="D17" i="15"/>
  <c r="L17" i="15" s="1"/>
  <c r="N17" i="15" s="1"/>
  <c r="B17" i="15"/>
  <c r="T16" i="15"/>
  <c r="P16" i="15"/>
  <c r="L16" i="15"/>
  <c r="H16" i="15"/>
  <c r="N16" i="15" s="1"/>
  <c r="D16" i="15"/>
  <c r="B16" i="15"/>
  <c r="T15" i="15"/>
  <c r="P15" i="15"/>
  <c r="L15" i="15"/>
  <c r="N15" i="15" s="1"/>
  <c r="H15" i="15"/>
  <c r="D15" i="15"/>
  <c r="B15" i="15"/>
  <c r="T14" i="15"/>
  <c r="P14" i="15"/>
  <c r="N14" i="15"/>
  <c r="L14" i="15"/>
  <c r="H14" i="15"/>
  <c r="D14" i="15"/>
  <c r="B14" i="15"/>
  <c r="T13" i="15"/>
  <c r="P13" i="15"/>
  <c r="X13" i="15" s="1"/>
  <c r="H13" i="15"/>
  <c r="D13" i="15"/>
  <c r="B13" i="15"/>
  <c r="P12" i="15"/>
  <c r="H12" i="15"/>
  <c r="D4" i="15"/>
  <c r="Z237" i="12"/>
  <c r="X237" i="12"/>
  <c r="N237" i="12"/>
  <c r="L237" i="12"/>
  <c r="X233" i="12"/>
  <c r="T233" i="12"/>
  <c r="P233" i="12"/>
  <c r="H233" i="12"/>
  <c r="D233" i="12"/>
  <c r="L233" i="12" s="1"/>
  <c r="B233" i="12"/>
  <c r="T232" i="12"/>
  <c r="T228" i="12" s="1"/>
  <c r="P232" i="12"/>
  <c r="H232" i="12"/>
  <c r="D232" i="12"/>
  <c r="L232" i="12" s="1"/>
  <c r="B232" i="12"/>
  <c r="X231" i="12"/>
  <c r="T231" i="12"/>
  <c r="Z231" i="12" s="1"/>
  <c r="P231" i="12"/>
  <c r="H231" i="12"/>
  <c r="D231" i="12"/>
  <c r="B231" i="12"/>
  <c r="Z230" i="12"/>
  <c r="X230" i="12"/>
  <c r="T230" i="12"/>
  <c r="P230" i="12"/>
  <c r="L230" i="12"/>
  <c r="H230" i="12"/>
  <c r="N230" i="12" s="1"/>
  <c r="D230" i="12"/>
  <c r="B230" i="12"/>
  <c r="Z229" i="12"/>
  <c r="X229" i="12"/>
  <c r="T229" i="12"/>
  <c r="P229" i="12"/>
  <c r="H229" i="12"/>
  <c r="D229" i="12"/>
  <c r="B229" i="12"/>
  <c r="P228" i="12"/>
  <c r="Z226" i="12"/>
  <c r="X226" i="12"/>
  <c r="L226" i="12"/>
  <c r="N226" i="12" s="1"/>
  <c r="B226" i="12"/>
  <c r="X225" i="12"/>
  <c r="Z225" i="12" s="1"/>
  <c r="T225" i="12"/>
  <c r="P225" i="12"/>
  <c r="H225" i="12"/>
  <c r="D225" i="12"/>
  <c r="L225" i="12" s="1"/>
  <c r="B225" i="12"/>
  <c r="X224" i="12"/>
  <c r="Z224" i="12" s="1"/>
  <c r="N224" i="12"/>
  <c r="L224" i="12"/>
  <c r="B224" i="12"/>
  <c r="X223" i="12"/>
  <c r="Z223" i="12" s="1"/>
  <c r="N223" i="12"/>
  <c r="L223" i="12"/>
  <c r="B223" i="12"/>
  <c r="X222" i="12"/>
  <c r="Z222" i="12" s="1"/>
  <c r="N222" i="12"/>
  <c r="L222" i="12"/>
  <c r="B222" i="12"/>
  <c r="T221" i="12"/>
  <c r="P221" i="12"/>
  <c r="X221" i="12" s="1"/>
  <c r="L221" i="12"/>
  <c r="H221" i="12"/>
  <c r="D221" i="12"/>
  <c r="B221" i="12"/>
  <c r="X220" i="12"/>
  <c r="Z220" i="12" s="1"/>
  <c r="N220" i="12"/>
  <c r="L220" i="12"/>
  <c r="B220" i="12"/>
  <c r="Z219" i="12"/>
  <c r="X219" i="12"/>
  <c r="T219" i="12"/>
  <c r="P219" i="12"/>
  <c r="H219" i="12"/>
  <c r="D219" i="12"/>
  <c r="B219" i="12"/>
  <c r="X218" i="12"/>
  <c r="Z218" i="12" s="1"/>
  <c r="L218" i="12"/>
  <c r="N218" i="12" s="1"/>
  <c r="B218" i="12"/>
  <c r="Z217" i="12"/>
  <c r="X217" i="12"/>
  <c r="N217" i="12"/>
  <c r="L217" i="12"/>
  <c r="B217" i="12"/>
  <c r="T216" i="12"/>
  <c r="P216" i="12"/>
  <c r="X216" i="12" s="1"/>
  <c r="Z216" i="12" s="1"/>
  <c r="H216" i="12"/>
  <c r="D216" i="12"/>
  <c r="L216" i="12" s="1"/>
  <c r="N216" i="12" s="1"/>
  <c r="B216" i="12"/>
  <c r="X215" i="12"/>
  <c r="Z215" i="12" s="1"/>
  <c r="N215" i="12"/>
  <c r="L215" i="12"/>
  <c r="B215" i="12"/>
  <c r="X214" i="12"/>
  <c r="Z214" i="12" s="1"/>
  <c r="N214" i="12"/>
  <c r="L214" i="12"/>
  <c r="B214" i="12"/>
  <c r="Z213" i="12"/>
  <c r="X213" i="12"/>
  <c r="N213" i="12"/>
  <c r="L213" i="12"/>
  <c r="B213" i="12"/>
  <c r="Z212" i="12"/>
  <c r="X212" i="12"/>
  <c r="L212" i="12"/>
  <c r="N212" i="12" s="1"/>
  <c r="B212" i="12"/>
  <c r="X211" i="12"/>
  <c r="Z211" i="12" s="1"/>
  <c r="N211" i="12"/>
  <c r="L211" i="12"/>
  <c r="B211" i="12"/>
  <c r="X210" i="12"/>
  <c r="Z210" i="12" s="1"/>
  <c r="N210" i="12"/>
  <c r="L210" i="12"/>
  <c r="B210" i="12"/>
  <c r="T209" i="12"/>
  <c r="P209" i="12"/>
  <c r="X209" i="12" s="1"/>
  <c r="Z209" i="12" s="1"/>
  <c r="L209" i="12"/>
  <c r="H209" i="12"/>
  <c r="D209" i="12"/>
  <c r="B209" i="12"/>
  <c r="Z208" i="12"/>
  <c r="X208" i="12"/>
  <c r="N208" i="12"/>
  <c r="L208" i="12"/>
  <c r="B208" i="12"/>
  <c r="Z207" i="12"/>
  <c r="X207" i="12"/>
  <c r="N207" i="12"/>
  <c r="L207" i="12"/>
  <c r="B207" i="12"/>
  <c r="Z206" i="12"/>
  <c r="T206" i="12"/>
  <c r="P206" i="12"/>
  <c r="X206" i="12" s="1"/>
  <c r="H206" i="12"/>
  <c r="D206" i="12"/>
  <c r="L206" i="12" s="1"/>
  <c r="B206" i="12"/>
  <c r="X205" i="12"/>
  <c r="Z205" i="12" s="1"/>
  <c r="N205" i="12"/>
  <c r="L205" i="12"/>
  <c r="B205" i="12"/>
  <c r="Z204" i="12"/>
  <c r="X204" i="12"/>
  <c r="N204" i="12"/>
  <c r="L204" i="12"/>
  <c r="B204" i="12"/>
  <c r="X203" i="12"/>
  <c r="Z203" i="12" s="1"/>
  <c r="L203" i="12"/>
  <c r="N203" i="12" s="1"/>
  <c r="B203" i="12"/>
  <c r="X202" i="12"/>
  <c r="Z202" i="12" s="1"/>
  <c r="L202" i="12"/>
  <c r="N202" i="12" s="1"/>
  <c r="B202" i="12"/>
  <c r="X201" i="12"/>
  <c r="Z201" i="12" s="1"/>
  <c r="N201" i="12"/>
  <c r="L201" i="12"/>
  <c r="B201" i="12"/>
  <c r="T200" i="12"/>
  <c r="P200" i="12"/>
  <c r="X200" i="12" s="1"/>
  <c r="Z200" i="12" s="1"/>
  <c r="H200" i="12"/>
  <c r="D200" i="12"/>
  <c r="L200" i="12" s="1"/>
  <c r="N200" i="12" s="1"/>
  <c r="B200" i="12"/>
  <c r="X199" i="12"/>
  <c r="Z199" i="12" s="1"/>
  <c r="N199" i="12"/>
  <c r="L199" i="12"/>
  <c r="B199" i="12"/>
  <c r="X198" i="12"/>
  <c r="Z198" i="12" s="1"/>
  <c r="N198" i="12"/>
  <c r="L198" i="12"/>
  <c r="B198" i="12"/>
  <c r="Z197" i="12"/>
  <c r="X197" i="12"/>
  <c r="N197" i="12"/>
  <c r="L197" i="12"/>
  <c r="B197" i="12"/>
  <c r="Z196" i="12"/>
  <c r="X196" i="12"/>
  <c r="T196" i="12"/>
  <c r="P196" i="12"/>
  <c r="L196" i="12"/>
  <c r="H196" i="12"/>
  <c r="N196" i="12" s="1"/>
  <c r="D196" i="12"/>
  <c r="B196" i="12"/>
  <c r="Z195" i="12"/>
  <c r="X195" i="12"/>
  <c r="N195" i="12"/>
  <c r="L195" i="12"/>
  <c r="B195" i="12"/>
  <c r="Z194" i="12"/>
  <c r="X194" i="12"/>
  <c r="V194" i="12"/>
  <c r="N194" i="12"/>
  <c r="L194" i="12"/>
  <c r="B194" i="12"/>
  <c r="Z193" i="12"/>
  <c r="X193" i="12"/>
  <c r="L193" i="12"/>
  <c r="N193" i="12" s="1"/>
  <c r="B193" i="12"/>
  <c r="T192" i="12"/>
  <c r="P192" i="12"/>
  <c r="X192" i="12" s="1"/>
  <c r="H192" i="12"/>
  <c r="D192" i="12"/>
  <c r="B192" i="12"/>
  <c r="X191" i="12"/>
  <c r="Z191" i="12" s="1"/>
  <c r="L191" i="12"/>
  <c r="N191" i="12" s="1"/>
  <c r="B191" i="12"/>
  <c r="T190" i="12"/>
  <c r="Z190" i="12" s="1"/>
  <c r="P190" i="12"/>
  <c r="X190" i="12" s="1"/>
  <c r="H190" i="12"/>
  <c r="D190" i="12"/>
  <c r="L190" i="12" s="1"/>
  <c r="N190" i="12" s="1"/>
  <c r="B190" i="12"/>
  <c r="Z189" i="12"/>
  <c r="X189" i="12"/>
  <c r="N189" i="12"/>
  <c r="L189" i="12"/>
  <c r="B189" i="12"/>
  <c r="X188" i="12"/>
  <c r="Z188" i="12" s="1"/>
  <c r="T188" i="12"/>
  <c r="P188" i="12"/>
  <c r="L188" i="12"/>
  <c r="H188" i="12"/>
  <c r="D188" i="12"/>
  <c r="B188" i="12"/>
  <c r="Z187" i="12"/>
  <c r="X187" i="12"/>
  <c r="L187" i="12"/>
  <c r="N187" i="12" s="1"/>
  <c r="B187" i="12"/>
  <c r="T186" i="12"/>
  <c r="P186" i="12"/>
  <c r="X186" i="12" s="1"/>
  <c r="Z186" i="12" s="1"/>
  <c r="H186" i="12"/>
  <c r="D186" i="12"/>
  <c r="L186" i="12" s="1"/>
  <c r="B186" i="12"/>
  <c r="Z185" i="12"/>
  <c r="X185" i="12"/>
  <c r="N185" i="12"/>
  <c r="L185" i="12"/>
  <c r="B185" i="12"/>
  <c r="T184" i="12"/>
  <c r="P184" i="12"/>
  <c r="X184" i="12" s="1"/>
  <c r="L184" i="12"/>
  <c r="H184" i="12"/>
  <c r="N184" i="12" s="1"/>
  <c r="D184" i="12"/>
  <c r="B184" i="12"/>
  <c r="X183" i="12"/>
  <c r="Z183" i="12" s="1"/>
  <c r="N183" i="12"/>
  <c r="L183" i="12"/>
  <c r="B183" i="12"/>
  <c r="T182" i="12"/>
  <c r="P182" i="12"/>
  <c r="X182" i="12" s="1"/>
  <c r="Z182" i="12" s="1"/>
  <c r="L182" i="12"/>
  <c r="N182" i="12" s="1"/>
  <c r="H182" i="12"/>
  <c r="D182" i="12"/>
  <c r="B182" i="12"/>
  <c r="Z181" i="12"/>
  <c r="X181" i="12"/>
  <c r="N181" i="12"/>
  <c r="L181" i="12"/>
  <c r="B181" i="12"/>
  <c r="T180" i="12"/>
  <c r="X180" i="12" s="1"/>
  <c r="Z180" i="12" s="1"/>
  <c r="P180" i="12"/>
  <c r="H180" i="12"/>
  <c r="D180" i="12"/>
  <c r="B180" i="12"/>
  <c r="X179" i="12"/>
  <c r="Z179" i="12" s="1"/>
  <c r="N179" i="12"/>
  <c r="L179" i="12"/>
  <c r="B179" i="12"/>
  <c r="Z178" i="12"/>
  <c r="X178" i="12"/>
  <c r="V178" i="12"/>
  <c r="N178" i="12"/>
  <c r="L178" i="12"/>
  <c r="B178" i="12"/>
  <c r="T177" i="12"/>
  <c r="P177" i="12"/>
  <c r="X177" i="12" s="1"/>
  <c r="L177" i="12"/>
  <c r="N177" i="12" s="1"/>
  <c r="H177" i="12"/>
  <c r="D177" i="12"/>
  <c r="B177" i="12"/>
  <c r="X176" i="12"/>
  <c r="Z176" i="12" s="1"/>
  <c r="N176" i="12"/>
  <c r="L176" i="12"/>
  <c r="B176" i="12"/>
  <c r="T175" i="12"/>
  <c r="P175" i="12"/>
  <c r="X175" i="12" s="1"/>
  <c r="L175" i="12"/>
  <c r="H175" i="12"/>
  <c r="N175" i="12" s="1"/>
  <c r="D175" i="12"/>
  <c r="B175" i="12"/>
  <c r="X174" i="12"/>
  <c r="Z174" i="12" s="1"/>
  <c r="N174" i="12"/>
  <c r="L174" i="12"/>
  <c r="B174" i="12"/>
  <c r="T173" i="12"/>
  <c r="P173" i="12"/>
  <c r="X173" i="12" s="1"/>
  <c r="Z173" i="12" s="1"/>
  <c r="H173" i="12"/>
  <c r="D173" i="12"/>
  <c r="B173" i="12"/>
  <c r="X172" i="12"/>
  <c r="Z172" i="12" s="1"/>
  <c r="L172" i="12"/>
  <c r="N172" i="12" s="1"/>
  <c r="B172" i="12"/>
  <c r="X171" i="12"/>
  <c r="Z171" i="12" s="1"/>
  <c r="T171" i="12"/>
  <c r="P171" i="12"/>
  <c r="H171" i="12"/>
  <c r="D171" i="12"/>
  <c r="L171" i="12" s="1"/>
  <c r="B171" i="12"/>
  <c r="Z170" i="12"/>
  <c r="X170" i="12"/>
  <c r="L170" i="12"/>
  <c r="N170" i="12" s="1"/>
  <c r="B170" i="12"/>
  <c r="X169" i="12"/>
  <c r="Z169" i="12" s="1"/>
  <c r="N169" i="12"/>
  <c r="L169" i="12"/>
  <c r="B169" i="12"/>
  <c r="X168" i="12"/>
  <c r="Z168" i="12" s="1"/>
  <c r="T168" i="12"/>
  <c r="P168" i="12"/>
  <c r="H168" i="12"/>
  <c r="D168" i="12"/>
  <c r="L168" i="12" s="1"/>
  <c r="N168" i="12" s="1"/>
  <c r="B168" i="12"/>
  <c r="X167" i="12"/>
  <c r="Z167" i="12" s="1"/>
  <c r="L167" i="12"/>
  <c r="N167" i="12" s="1"/>
  <c r="B167" i="12"/>
  <c r="X166" i="12"/>
  <c r="Z166" i="12" s="1"/>
  <c r="N166" i="12"/>
  <c r="L166" i="12"/>
  <c r="B166" i="12"/>
  <c r="T165" i="12"/>
  <c r="P165" i="12"/>
  <c r="X165" i="12" s="1"/>
  <c r="Z165" i="12" s="1"/>
  <c r="H165" i="12"/>
  <c r="D165" i="12"/>
  <c r="B165" i="12"/>
  <c r="X164" i="12"/>
  <c r="Z164" i="12" s="1"/>
  <c r="L164" i="12"/>
  <c r="N164" i="12" s="1"/>
  <c r="B164" i="12"/>
  <c r="X163" i="12"/>
  <c r="Z163" i="12" s="1"/>
  <c r="T163" i="12"/>
  <c r="P163" i="12"/>
  <c r="H163" i="12"/>
  <c r="D163" i="12"/>
  <c r="L163" i="12" s="1"/>
  <c r="B163" i="12"/>
  <c r="Z162" i="12"/>
  <c r="X162" i="12"/>
  <c r="L162" i="12"/>
  <c r="N162" i="12" s="1"/>
  <c r="B162" i="12"/>
  <c r="X161" i="12"/>
  <c r="T161" i="12"/>
  <c r="Z161" i="12" s="1"/>
  <c r="P161" i="12"/>
  <c r="H161" i="12"/>
  <c r="D161" i="12"/>
  <c r="L161" i="12" s="1"/>
  <c r="B161" i="12"/>
  <c r="Z160" i="12"/>
  <c r="X160" i="12"/>
  <c r="L160" i="12"/>
  <c r="N160" i="12" s="1"/>
  <c r="B160" i="12"/>
  <c r="T159" i="12"/>
  <c r="P159" i="12"/>
  <c r="H159" i="12"/>
  <c r="D159" i="12"/>
  <c r="L159" i="12" s="1"/>
  <c r="N159" i="12" s="1"/>
  <c r="B159" i="12"/>
  <c r="Z158" i="12"/>
  <c r="X158" i="12"/>
  <c r="V158" i="12"/>
  <c r="N158" i="12"/>
  <c r="L158" i="12"/>
  <c r="B158" i="12"/>
  <c r="Z157" i="12"/>
  <c r="X157" i="12"/>
  <c r="L157" i="12"/>
  <c r="N157" i="12" s="1"/>
  <c r="B157" i="12"/>
  <c r="X156" i="12"/>
  <c r="Z156" i="12" s="1"/>
  <c r="L156" i="12"/>
  <c r="N156" i="12" s="1"/>
  <c r="B156" i="12"/>
  <c r="X155" i="12"/>
  <c r="Z155" i="12" s="1"/>
  <c r="N155" i="12"/>
  <c r="L155" i="12"/>
  <c r="B155" i="12"/>
  <c r="Z154" i="12"/>
  <c r="X154" i="12"/>
  <c r="V154" i="12"/>
  <c r="N154" i="12"/>
  <c r="L154" i="12"/>
  <c r="B154" i="12"/>
  <c r="Z153" i="12"/>
  <c r="X153" i="12"/>
  <c r="L153" i="12"/>
  <c r="N153" i="12" s="1"/>
  <c r="B153" i="12"/>
  <c r="X152" i="12"/>
  <c r="Z152" i="12" s="1"/>
  <c r="L152" i="12"/>
  <c r="N152" i="12" s="1"/>
  <c r="B152" i="12"/>
  <c r="X151" i="12"/>
  <c r="Z151" i="12" s="1"/>
  <c r="T151" i="12"/>
  <c r="P151" i="12"/>
  <c r="H151" i="12"/>
  <c r="D151" i="12"/>
  <c r="L151" i="12" s="1"/>
  <c r="B151" i="12"/>
  <c r="Z150" i="12"/>
  <c r="X150" i="12"/>
  <c r="L150" i="12"/>
  <c r="N150" i="12" s="1"/>
  <c r="B150" i="12"/>
  <c r="X149" i="12"/>
  <c r="Z149" i="12" s="1"/>
  <c r="N149" i="12"/>
  <c r="L149" i="12"/>
  <c r="B149" i="12"/>
  <c r="X148" i="12"/>
  <c r="Z148" i="12" s="1"/>
  <c r="N148" i="12"/>
  <c r="L148" i="12"/>
  <c r="B148" i="12"/>
  <c r="X147" i="12"/>
  <c r="Z147" i="12" s="1"/>
  <c r="L147" i="12"/>
  <c r="N147" i="12" s="1"/>
  <c r="B147" i="12"/>
  <c r="Z146" i="12"/>
  <c r="X146" i="12"/>
  <c r="L146" i="12"/>
  <c r="N146" i="12" s="1"/>
  <c r="B146" i="12"/>
  <c r="X145" i="12"/>
  <c r="Z145" i="12" s="1"/>
  <c r="N145" i="12"/>
  <c r="L145" i="12"/>
  <c r="B145" i="12"/>
  <c r="X144" i="12"/>
  <c r="Z144" i="12" s="1"/>
  <c r="N144" i="12"/>
  <c r="L144" i="12"/>
  <c r="B144" i="12"/>
  <c r="X143" i="12"/>
  <c r="Z143" i="12" s="1"/>
  <c r="L143" i="12"/>
  <c r="N143" i="12" s="1"/>
  <c r="B143" i="12"/>
  <c r="Z142" i="12"/>
  <c r="X142" i="12"/>
  <c r="L142" i="12"/>
  <c r="N142" i="12" s="1"/>
  <c r="B142" i="12"/>
  <c r="X141" i="12"/>
  <c r="T141" i="12"/>
  <c r="P141" i="12"/>
  <c r="H141" i="12"/>
  <c r="N141" i="12" s="1"/>
  <c r="D141" i="12"/>
  <c r="L141" i="12" s="1"/>
  <c r="B141" i="12"/>
  <c r="T140" i="12"/>
  <c r="X140" i="12" s="1"/>
  <c r="Z140" i="12" s="1"/>
  <c r="P140" i="12"/>
  <c r="H140" i="12"/>
  <c r="D140" i="12"/>
  <c r="Z136" i="12"/>
  <c r="X136" i="12"/>
  <c r="L136" i="12"/>
  <c r="N136" i="12" s="1"/>
  <c r="B136" i="12"/>
  <c r="X135" i="12"/>
  <c r="Z135" i="12" s="1"/>
  <c r="N135" i="12"/>
  <c r="L135" i="12"/>
  <c r="B135" i="12"/>
  <c r="X134" i="12"/>
  <c r="Z134" i="12" s="1"/>
  <c r="N134" i="12"/>
  <c r="L134" i="12"/>
  <c r="B134" i="12"/>
  <c r="Z133" i="12"/>
  <c r="X133" i="12"/>
  <c r="N133" i="12"/>
  <c r="L133" i="12"/>
  <c r="B133" i="12"/>
  <c r="Z132" i="12"/>
  <c r="X132" i="12"/>
  <c r="L132" i="12"/>
  <c r="N132" i="12" s="1"/>
  <c r="B132" i="12"/>
  <c r="X131" i="12"/>
  <c r="Z131" i="12" s="1"/>
  <c r="L131" i="12"/>
  <c r="N131" i="12" s="1"/>
  <c r="B131" i="12"/>
  <c r="X130" i="12"/>
  <c r="Z130" i="12" s="1"/>
  <c r="N130" i="12"/>
  <c r="L130" i="12"/>
  <c r="B130" i="12"/>
  <c r="Z129" i="12"/>
  <c r="X129" i="12"/>
  <c r="N129" i="12"/>
  <c r="L129" i="12"/>
  <c r="B129" i="12"/>
  <c r="Z128" i="12"/>
  <c r="X128" i="12"/>
  <c r="L128" i="12"/>
  <c r="N128" i="12" s="1"/>
  <c r="B128" i="12"/>
  <c r="X127" i="12"/>
  <c r="Z127" i="12" s="1"/>
  <c r="L127" i="12"/>
  <c r="N127" i="12" s="1"/>
  <c r="B127" i="12"/>
  <c r="X126" i="12"/>
  <c r="Z126" i="12" s="1"/>
  <c r="N126" i="12"/>
  <c r="L126" i="12"/>
  <c r="B126" i="12"/>
  <c r="Z125" i="12"/>
  <c r="X125" i="12"/>
  <c r="N125" i="12"/>
  <c r="L125" i="12"/>
  <c r="B125" i="12"/>
  <c r="Z124" i="12"/>
  <c r="X124" i="12"/>
  <c r="N124" i="12"/>
  <c r="L124" i="12"/>
  <c r="B124" i="12"/>
  <c r="X123" i="12"/>
  <c r="Z123" i="12" s="1"/>
  <c r="L123" i="12"/>
  <c r="N123" i="12" s="1"/>
  <c r="B123" i="12"/>
  <c r="X122" i="12"/>
  <c r="Z122" i="12" s="1"/>
  <c r="N122" i="12"/>
  <c r="L122" i="12"/>
  <c r="B122" i="12"/>
  <c r="Z121" i="12"/>
  <c r="X121" i="12"/>
  <c r="N121" i="12"/>
  <c r="L121" i="12"/>
  <c r="B121" i="12"/>
  <c r="Z120" i="12"/>
  <c r="X120" i="12"/>
  <c r="L120" i="12"/>
  <c r="N120" i="12" s="1"/>
  <c r="B120" i="12"/>
  <c r="X119" i="12"/>
  <c r="Z119" i="12" s="1"/>
  <c r="L119" i="12"/>
  <c r="N119" i="12" s="1"/>
  <c r="B119" i="12"/>
  <c r="X118" i="12"/>
  <c r="Z118" i="12" s="1"/>
  <c r="N118" i="12"/>
  <c r="L118" i="12"/>
  <c r="B118" i="12"/>
  <c r="Z117" i="12"/>
  <c r="X117" i="12"/>
  <c r="N117" i="12"/>
  <c r="L117" i="12"/>
  <c r="B117" i="12"/>
  <c r="Z116" i="12"/>
  <c r="X116" i="12"/>
  <c r="L116" i="12"/>
  <c r="N116" i="12" s="1"/>
  <c r="B116" i="12"/>
  <c r="X115" i="12"/>
  <c r="Z115" i="12" s="1"/>
  <c r="L115" i="12"/>
  <c r="N115" i="12" s="1"/>
  <c r="B115" i="12"/>
  <c r="X114" i="12"/>
  <c r="Z114" i="12" s="1"/>
  <c r="N114" i="12"/>
  <c r="L114" i="12"/>
  <c r="B114" i="12"/>
  <c r="Z113" i="12"/>
  <c r="X113" i="12"/>
  <c r="L113" i="12"/>
  <c r="N113" i="12" s="1"/>
  <c r="B113" i="12"/>
  <c r="Z112" i="12"/>
  <c r="X112" i="12"/>
  <c r="L112" i="12"/>
  <c r="N112" i="12" s="1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L109" i="12"/>
  <c r="N109" i="12" s="1"/>
  <c r="B109" i="12"/>
  <c r="Z108" i="12"/>
  <c r="X108" i="12"/>
  <c r="N108" i="12"/>
  <c r="L108" i="12"/>
  <c r="B108" i="12"/>
  <c r="X107" i="12"/>
  <c r="Z107" i="12" s="1"/>
  <c r="L107" i="12"/>
  <c r="N107" i="12" s="1"/>
  <c r="B107" i="12"/>
  <c r="X106" i="12"/>
  <c r="Z106" i="12" s="1"/>
  <c r="N106" i="12"/>
  <c r="L106" i="12"/>
  <c r="B106" i="12"/>
  <c r="Z105" i="12"/>
  <c r="X105" i="12"/>
  <c r="L105" i="12"/>
  <c r="N105" i="12" s="1"/>
  <c r="B105" i="12"/>
  <c r="Z104" i="12"/>
  <c r="X104" i="12"/>
  <c r="L104" i="12"/>
  <c r="N104" i="12" s="1"/>
  <c r="B104" i="12"/>
  <c r="X103" i="12"/>
  <c r="Z103" i="12" s="1"/>
  <c r="L103" i="12"/>
  <c r="N103" i="12" s="1"/>
  <c r="B103" i="12"/>
  <c r="X102" i="12"/>
  <c r="Z102" i="12" s="1"/>
  <c r="N102" i="12"/>
  <c r="L102" i="12"/>
  <c r="B102" i="12"/>
  <c r="Z101" i="12"/>
  <c r="X101" i="12"/>
  <c r="L101" i="12"/>
  <c r="N101" i="12" s="1"/>
  <c r="B101" i="12"/>
  <c r="Z100" i="12"/>
  <c r="X100" i="12"/>
  <c r="L100" i="12"/>
  <c r="N100" i="12" s="1"/>
  <c r="B100" i="12"/>
  <c r="X99" i="12"/>
  <c r="Z99" i="12" s="1"/>
  <c r="L99" i="12"/>
  <c r="N99" i="12" s="1"/>
  <c r="B99" i="12"/>
  <c r="X98" i="12"/>
  <c r="Z98" i="12" s="1"/>
  <c r="N98" i="12"/>
  <c r="L98" i="12"/>
  <c r="B98" i="12"/>
  <c r="Z97" i="12"/>
  <c r="X97" i="12"/>
  <c r="L97" i="12"/>
  <c r="N97" i="12" s="1"/>
  <c r="B97" i="12"/>
  <c r="Z96" i="12"/>
  <c r="X96" i="12"/>
  <c r="L96" i="12"/>
  <c r="N96" i="12" s="1"/>
  <c r="B96" i="12"/>
  <c r="X95" i="12"/>
  <c r="Z95" i="12" s="1"/>
  <c r="L95" i="12"/>
  <c r="N95" i="12" s="1"/>
  <c r="B95" i="12"/>
  <c r="T94" i="12"/>
  <c r="P94" i="12"/>
  <c r="X94" i="12" s="1"/>
  <c r="H94" i="12"/>
  <c r="D94" i="12"/>
  <c r="L94" i="12" s="1"/>
  <c r="N94" i="12" s="1"/>
  <c r="T92" i="12"/>
  <c r="Z92" i="12" s="1"/>
  <c r="P92" i="12"/>
  <c r="X92" i="12" s="1"/>
  <c r="H92" i="12"/>
  <c r="D92" i="12"/>
  <c r="B92" i="12"/>
  <c r="T91" i="12"/>
  <c r="P91" i="12"/>
  <c r="H91" i="12"/>
  <c r="D91" i="12"/>
  <c r="L91" i="12" s="1"/>
  <c r="B91" i="12"/>
  <c r="Z90" i="12"/>
  <c r="T90" i="12"/>
  <c r="P90" i="12"/>
  <c r="X90" i="12" s="1"/>
  <c r="L90" i="12"/>
  <c r="N90" i="12" s="1"/>
  <c r="H90" i="12"/>
  <c r="D90" i="12"/>
  <c r="B90" i="12"/>
  <c r="T89" i="12"/>
  <c r="P89" i="12"/>
  <c r="X89" i="12" s="1"/>
  <c r="Z89" i="12" s="1"/>
  <c r="L89" i="12"/>
  <c r="H89" i="12"/>
  <c r="N89" i="12" s="1"/>
  <c r="D89" i="12"/>
  <c r="B89" i="12"/>
  <c r="T88" i="12"/>
  <c r="Z88" i="12" s="1"/>
  <c r="P88" i="12"/>
  <c r="X88" i="12" s="1"/>
  <c r="H88" i="12"/>
  <c r="D88" i="12"/>
  <c r="B88" i="12"/>
  <c r="T87" i="12"/>
  <c r="P87" i="12"/>
  <c r="H87" i="12"/>
  <c r="N87" i="12" s="1"/>
  <c r="D87" i="12"/>
  <c r="L87" i="12" s="1"/>
  <c r="B87" i="12"/>
  <c r="T86" i="12"/>
  <c r="P86" i="12"/>
  <c r="X86" i="12" s="1"/>
  <c r="Z86" i="12" s="1"/>
  <c r="L86" i="12"/>
  <c r="N86" i="12" s="1"/>
  <c r="H86" i="12"/>
  <c r="D86" i="12"/>
  <c r="B86" i="12"/>
  <c r="T85" i="12"/>
  <c r="P85" i="12"/>
  <c r="X85" i="12" s="1"/>
  <c r="Z85" i="12" s="1"/>
  <c r="L85" i="12"/>
  <c r="H85" i="12"/>
  <c r="N85" i="12" s="1"/>
  <c r="D85" i="12"/>
  <c r="B85" i="12"/>
  <c r="T84" i="12"/>
  <c r="Z84" i="12" s="1"/>
  <c r="P84" i="12"/>
  <c r="X84" i="12" s="1"/>
  <c r="H84" i="12"/>
  <c r="D84" i="12"/>
  <c r="B84" i="12"/>
  <c r="T83" i="12"/>
  <c r="P83" i="12"/>
  <c r="H83" i="12"/>
  <c r="N83" i="12" s="1"/>
  <c r="D83" i="12"/>
  <c r="L83" i="12" s="1"/>
  <c r="B83" i="12"/>
  <c r="Z82" i="12"/>
  <c r="T82" i="12"/>
  <c r="P82" i="12"/>
  <c r="X82" i="12" s="1"/>
  <c r="L82" i="12"/>
  <c r="N82" i="12" s="1"/>
  <c r="H82" i="12"/>
  <c r="D82" i="12"/>
  <c r="B82" i="12"/>
  <c r="T81" i="12"/>
  <c r="P81" i="12"/>
  <c r="X81" i="12" s="1"/>
  <c r="Z81" i="12" s="1"/>
  <c r="L81" i="12"/>
  <c r="H81" i="12"/>
  <c r="N81" i="12" s="1"/>
  <c r="D81" i="12"/>
  <c r="B81" i="12"/>
  <c r="T80" i="12"/>
  <c r="P80" i="12"/>
  <c r="X80" i="12" s="1"/>
  <c r="H80" i="12"/>
  <c r="D80" i="12"/>
  <c r="B80" i="12"/>
  <c r="T79" i="12"/>
  <c r="P79" i="12"/>
  <c r="H79" i="12"/>
  <c r="D79" i="12"/>
  <c r="L79" i="12" s="1"/>
  <c r="B79" i="12"/>
  <c r="Z78" i="12"/>
  <c r="T78" i="12"/>
  <c r="P78" i="12"/>
  <c r="X78" i="12" s="1"/>
  <c r="L78" i="12"/>
  <c r="N78" i="12" s="1"/>
  <c r="H78" i="12"/>
  <c r="D78" i="12"/>
  <c r="B78" i="12"/>
  <c r="T77" i="12"/>
  <c r="P77" i="12"/>
  <c r="X77" i="12" s="1"/>
  <c r="Z77" i="12" s="1"/>
  <c r="L77" i="12"/>
  <c r="H77" i="12"/>
  <c r="N77" i="12" s="1"/>
  <c r="D77" i="12"/>
  <c r="B77" i="12"/>
  <c r="T76" i="12"/>
  <c r="Z76" i="12" s="1"/>
  <c r="P76" i="12"/>
  <c r="X76" i="12" s="1"/>
  <c r="H76" i="12"/>
  <c r="D76" i="12"/>
  <c r="B76" i="12"/>
  <c r="T75" i="12"/>
  <c r="P75" i="12"/>
  <c r="H75" i="12"/>
  <c r="N75" i="12" s="1"/>
  <c r="D75" i="12"/>
  <c r="L75" i="12" s="1"/>
  <c r="B75" i="12"/>
  <c r="Z74" i="12"/>
  <c r="T74" i="12"/>
  <c r="P74" i="12"/>
  <c r="X74" i="12" s="1"/>
  <c r="L74" i="12"/>
  <c r="N74" i="12" s="1"/>
  <c r="H74" i="12"/>
  <c r="D74" i="12"/>
  <c r="B74" i="12"/>
  <c r="T73" i="12"/>
  <c r="P73" i="12"/>
  <c r="X73" i="12" s="1"/>
  <c r="Z73" i="12" s="1"/>
  <c r="L73" i="12"/>
  <c r="H73" i="12"/>
  <c r="N73" i="12" s="1"/>
  <c r="D73" i="12"/>
  <c r="B73" i="12"/>
  <c r="T72" i="12"/>
  <c r="P72" i="12"/>
  <c r="X72" i="12" s="1"/>
  <c r="H72" i="12"/>
  <c r="D72" i="12"/>
  <c r="B72" i="12"/>
  <c r="T71" i="12"/>
  <c r="P71" i="12"/>
  <c r="H71" i="12"/>
  <c r="D71" i="12"/>
  <c r="L71" i="12" s="1"/>
  <c r="B71" i="12"/>
  <c r="Z70" i="12"/>
  <c r="T70" i="12"/>
  <c r="P70" i="12"/>
  <c r="X70" i="12" s="1"/>
  <c r="L70" i="12"/>
  <c r="N70" i="12" s="1"/>
  <c r="H70" i="12"/>
  <c r="D70" i="12"/>
  <c r="B70" i="12"/>
  <c r="T69" i="12"/>
  <c r="P69" i="12"/>
  <c r="X69" i="12" s="1"/>
  <c r="L69" i="12"/>
  <c r="H69" i="12"/>
  <c r="N69" i="12" s="1"/>
  <c r="D69" i="12"/>
  <c r="B69" i="12"/>
  <c r="T68" i="12"/>
  <c r="Z68" i="12" s="1"/>
  <c r="P68" i="12"/>
  <c r="X68" i="12" s="1"/>
  <c r="H68" i="12"/>
  <c r="D68" i="12"/>
  <c r="B68" i="12"/>
  <c r="T67" i="12"/>
  <c r="P67" i="12"/>
  <c r="H67" i="12"/>
  <c r="N67" i="12" s="1"/>
  <c r="D67" i="12"/>
  <c r="L67" i="12" s="1"/>
  <c r="B67" i="12"/>
  <c r="T66" i="12"/>
  <c r="P66" i="12"/>
  <c r="X66" i="12" s="1"/>
  <c r="Z66" i="12" s="1"/>
  <c r="L66" i="12"/>
  <c r="N66" i="12" s="1"/>
  <c r="H66" i="12"/>
  <c r="D66" i="12"/>
  <c r="B66" i="12"/>
  <c r="T65" i="12"/>
  <c r="Z65" i="12" s="1"/>
  <c r="P65" i="12"/>
  <c r="X65" i="12" s="1"/>
  <c r="L65" i="12"/>
  <c r="H65" i="12"/>
  <c r="N65" i="12" s="1"/>
  <c r="D65" i="12"/>
  <c r="B65" i="12"/>
  <c r="T64" i="12"/>
  <c r="Z64" i="12" s="1"/>
  <c r="P64" i="12"/>
  <c r="X64" i="12" s="1"/>
  <c r="H64" i="12"/>
  <c r="D64" i="12"/>
  <c r="B64" i="12"/>
  <c r="T63" i="12"/>
  <c r="P63" i="12"/>
  <c r="H63" i="12"/>
  <c r="D63" i="12"/>
  <c r="L63" i="12" s="1"/>
  <c r="B63" i="12"/>
  <c r="T62" i="12"/>
  <c r="P62" i="12"/>
  <c r="X62" i="12" s="1"/>
  <c r="Z62" i="12" s="1"/>
  <c r="L62" i="12"/>
  <c r="N62" i="12" s="1"/>
  <c r="H62" i="12"/>
  <c r="D62" i="12"/>
  <c r="B62" i="12"/>
  <c r="T61" i="12"/>
  <c r="P61" i="12"/>
  <c r="X61" i="12" s="1"/>
  <c r="L61" i="12"/>
  <c r="H61" i="12"/>
  <c r="N61" i="12" s="1"/>
  <c r="D61" i="12"/>
  <c r="B61" i="12"/>
  <c r="T60" i="12"/>
  <c r="P60" i="12"/>
  <c r="X60" i="12" s="1"/>
  <c r="H60" i="12"/>
  <c r="D60" i="12"/>
  <c r="B60" i="12"/>
  <c r="T59" i="12"/>
  <c r="P59" i="12"/>
  <c r="H59" i="12"/>
  <c r="N59" i="12" s="1"/>
  <c r="D59" i="12"/>
  <c r="L59" i="12" s="1"/>
  <c r="B59" i="12"/>
  <c r="T58" i="12"/>
  <c r="P58" i="12"/>
  <c r="X58" i="12" s="1"/>
  <c r="Z58" i="12" s="1"/>
  <c r="L58" i="12"/>
  <c r="N58" i="12" s="1"/>
  <c r="H58" i="12"/>
  <c r="D58" i="12"/>
  <c r="B58" i="12"/>
  <c r="T57" i="12"/>
  <c r="P57" i="12"/>
  <c r="X57" i="12" s="1"/>
  <c r="L57" i="12"/>
  <c r="H57" i="12"/>
  <c r="N57" i="12" s="1"/>
  <c r="D57" i="12"/>
  <c r="B57" i="12"/>
  <c r="T56" i="12"/>
  <c r="Z56" i="12" s="1"/>
  <c r="P56" i="12"/>
  <c r="X56" i="12" s="1"/>
  <c r="H56" i="12"/>
  <c r="D56" i="12"/>
  <c r="B56" i="12"/>
  <c r="T55" i="12"/>
  <c r="P55" i="12"/>
  <c r="H55" i="12"/>
  <c r="D55" i="12"/>
  <c r="L55" i="12" s="1"/>
  <c r="B55" i="12"/>
  <c r="T54" i="12"/>
  <c r="P54" i="12"/>
  <c r="X54" i="12" s="1"/>
  <c r="Z54" i="12" s="1"/>
  <c r="L54" i="12"/>
  <c r="N54" i="12" s="1"/>
  <c r="H54" i="12"/>
  <c r="D54" i="12"/>
  <c r="B54" i="12"/>
  <c r="T53" i="12"/>
  <c r="Z53" i="12" s="1"/>
  <c r="P53" i="12"/>
  <c r="X53" i="12" s="1"/>
  <c r="L53" i="12"/>
  <c r="H53" i="12"/>
  <c r="N53" i="12" s="1"/>
  <c r="D53" i="12"/>
  <c r="B53" i="12"/>
  <c r="T52" i="12"/>
  <c r="P52" i="12"/>
  <c r="X52" i="12" s="1"/>
  <c r="H52" i="12"/>
  <c r="D52" i="12"/>
  <c r="B52" i="12"/>
  <c r="T51" i="12"/>
  <c r="P51" i="12"/>
  <c r="H51" i="12"/>
  <c r="D51" i="12"/>
  <c r="L51" i="12" s="1"/>
  <c r="B51" i="12"/>
  <c r="Z50" i="12"/>
  <c r="T50" i="12"/>
  <c r="P50" i="12"/>
  <c r="X50" i="12" s="1"/>
  <c r="L50" i="12"/>
  <c r="N50" i="12" s="1"/>
  <c r="H50" i="12"/>
  <c r="D50" i="12"/>
  <c r="B50" i="12"/>
  <c r="T49" i="12"/>
  <c r="P49" i="12"/>
  <c r="X49" i="12" s="1"/>
  <c r="L49" i="12"/>
  <c r="H49" i="12"/>
  <c r="N49" i="12" s="1"/>
  <c r="D49" i="12"/>
  <c r="B49" i="12"/>
  <c r="T48" i="12"/>
  <c r="Z48" i="12" s="1"/>
  <c r="P48" i="12"/>
  <c r="X48" i="12" s="1"/>
  <c r="H48" i="12"/>
  <c r="D48" i="12"/>
  <c r="B48" i="12"/>
  <c r="T47" i="12"/>
  <c r="P47" i="12"/>
  <c r="H47" i="12"/>
  <c r="N47" i="12" s="1"/>
  <c r="D47" i="12"/>
  <c r="L47" i="12" s="1"/>
  <c r="B47" i="12"/>
  <c r="Z46" i="12"/>
  <c r="T46" i="12"/>
  <c r="P46" i="12"/>
  <c r="X46" i="12" s="1"/>
  <c r="L46" i="12"/>
  <c r="N46" i="12" s="1"/>
  <c r="H46" i="12"/>
  <c r="D46" i="12"/>
  <c r="B46" i="12"/>
  <c r="T45" i="12"/>
  <c r="Z45" i="12" s="1"/>
  <c r="P45" i="12"/>
  <c r="X45" i="12" s="1"/>
  <c r="L45" i="12"/>
  <c r="H45" i="12"/>
  <c r="N45" i="12" s="1"/>
  <c r="D45" i="12"/>
  <c r="B45" i="12"/>
  <c r="T44" i="12"/>
  <c r="P44" i="12"/>
  <c r="X44" i="12" s="1"/>
  <c r="H44" i="12"/>
  <c r="D44" i="12"/>
  <c r="B44" i="12"/>
  <c r="T43" i="12"/>
  <c r="P43" i="12"/>
  <c r="H43" i="12"/>
  <c r="D43" i="12"/>
  <c r="L43" i="12" s="1"/>
  <c r="B43" i="12"/>
  <c r="T42" i="12"/>
  <c r="P42" i="12"/>
  <c r="X42" i="12" s="1"/>
  <c r="Z42" i="12" s="1"/>
  <c r="L42" i="12"/>
  <c r="N42" i="12" s="1"/>
  <c r="H42" i="12"/>
  <c r="D42" i="12"/>
  <c r="B42" i="12"/>
  <c r="T41" i="12"/>
  <c r="Z41" i="12" s="1"/>
  <c r="P41" i="12"/>
  <c r="X41" i="12" s="1"/>
  <c r="L41" i="12"/>
  <c r="H41" i="12"/>
  <c r="N41" i="12" s="1"/>
  <c r="D41" i="12"/>
  <c r="B41" i="12"/>
  <c r="T40" i="12"/>
  <c r="Z40" i="12" s="1"/>
  <c r="P40" i="12"/>
  <c r="X40" i="12" s="1"/>
  <c r="H40" i="12"/>
  <c r="D40" i="12"/>
  <c r="B40" i="12"/>
  <c r="T39" i="12"/>
  <c r="P39" i="12"/>
  <c r="H39" i="12"/>
  <c r="N39" i="12" s="1"/>
  <c r="D39" i="12"/>
  <c r="L39" i="12" s="1"/>
  <c r="B39" i="12"/>
  <c r="T38" i="12"/>
  <c r="P38" i="12"/>
  <c r="X38" i="12" s="1"/>
  <c r="Z38" i="12" s="1"/>
  <c r="L38" i="12"/>
  <c r="N38" i="12" s="1"/>
  <c r="H38" i="12"/>
  <c r="D38" i="12"/>
  <c r="B38" i="12"/>
  <c r="T37" i="12"/>
  <c r="P37" i="12"/>
  <c r="X37" i="12" s="1"/>
  <c r="L37" i="12"/>
  <c r="H37" i="12"/>
  <c r="N37" i="12" s="1"/>
  <c r="D37" i="12"/>
  <c r="B37" i="12"/>
  <c r="T36" i="12"/>
  <c r="P36" i="12"/>
  <c r="X36" i="12" s="1"/>
  <c r="H36" i="12"/>
  <c r="D36" i="12"/>
  <c r="B36" i="12"/>
  <c r="T35" i="12"/>
  <c r="P35" i="12"/>
  <c r="H35" i="12"/>
  <c r="N35" i="12" s="1"/>
  <c r="D35" i="12"/>
  <c r="L35" i="12" s="1"/>
  <c r="B35" i="12"/>
  <c r="Z34" i="12"/>
  <c r="T34" i="12"/>
  <c r="P34" i="12"/>
  <c r="X34" i="12" s="1"/>
  <c r="L34" i="12"/>
  <c r="N34" i="12" s="1"/>
  <c r="H34" i="12"/>
  <c r="D34" i="12"/>
  <c r="B34" i="12"/>
  <c r="T33" i="12"/>
  <c r="Z33" i="12" s="1"/>
  <c r="P33" i="12"/>
  <c r="X33" i="12" s="1"/>
  <c r="L33" i="12"/>
  <c r="H33" i="12"/>
  <c r="N33" i="12" s="1"/>
  <c r="D33" i="12"/>
  <c r="B33" i="12"/>
  <c r="T32" i="12"/>
  <c r="P32" i="12"/>
  <c r="X32" i="12" s="1"/>
  <c r="H32" i="12"/>
  <c r="D32" i="12"/>
  <c r="B32" i="12"/>
  <c r="T31" i="12"/>
  <c r="P31" i="12"/>
  <c r="H31" i="12"/>
  <c r="D31" i="12"/>
  <c r="L31" i="12" s="1"/>
  <c r="B31" i="12"/>
  <c r="Z30" i="12"/>
  <c r="T30" i="12"/>
  <c r="P30" i="12"/>
  <c r="X30" i="12" s="1"/>
  <c r="L30" i="12"/>
  <c r="N30" i="12" s="1"/>
  <c r="H30" i="12"/>
  <c r="D30" i="12"/>
  <c r="B30" i="12"/>
  <c r="T29" i="12"/>
  <c r="P29" i="12"/>
  <c r="X29" i="12" s="1"/>
  <c r="L29" i="12"/>
  <c r="H29" i="12"/>
  <c r="N29" i="12" s="1"/>
  <c r="D29" i="12"/>
  <c r="B29" i="12"/>
  <c r="T28" i="12"/>
  <c r="Z28" i="12" s="1"/>
  <c r="P28" i="12"/>
  <c r="X28" i="12" s="1"/>
  <c r="H28" i="12"/>
  <c r="D28" i="12"/>
  <c r="B28" i="12"/>
  <c r="T27" i="12"/>
  <c r="P27" i="12"/>
  <c r="H27" i="12"/>
  <c r="N27" i="12" s="1"/>
  <c r="D27" i="12"/>
  <c r="L27" i="12" s="1"/>
  <c r="B27" i="12"/>
  <c r="Z26" i="12"/>
  <c r="T26" i="12"/>
  <c r="P26" i="12"/>
  <c r="X26" i="12" s="1"/>
  <c r="L26" i="12"/>
  <c r="N26" i="12" s="1"/>
  <c r="H26" i="12"/>
  <c r="D26" i="12"/>
  <c r="B26" i="12"/>
  <c r="T25" i="12"/>
  <c r="Z25" i="12" s="1"/>
  <c r="P25" i="12"/>
  <c r="X25" i="12" s="1"/>
  <c r="L25" i="12"/>
  <c r="H25" i="12"/>
  <c r="N25" i="12" s="1"/>
  <c r="D25" i="12"/>
  <c r="B25" i="12"/>
  <c r="T24" i="12"/>
  <c r="P24" i="12"/>
  <c r="X24" i="12" s="1"/>
  <c r="H24" i="12"/>
  <c r="D24" i="12"/>
  <c r="B24" i="12"/>
  <c r="T23" i="12"/>
  <c r="P23" i="12"/>
  <c r="H23" i="12"/>
  <c r="D23" i="12"/>
  <c r="L23" i="12" s="1"/>
  <c r="B23" i="12"/>
  <c r="Z22" i="12"/>
  <c r="T22" i="12"/>
  <c r="P22" i="12"/>
  <c r="X22" i="12" s="1"/>
  <c r="L22" i="12"/>
  <c r="N22" i="12" s="1"/>
  <c r="H22" i="12"/>
  <c r="D22" i="12"/>
  <c r="B22" i="12"/>
  <c r="T21" i="12"/>
  <c r="Z21" i="12" s="1"/>
  <c r="P21" i="12"/>
  <c r="X21" i="12" s="1"/>
  <c r="L21" i="12"/>
  <c r="H21" i="12"/>
  <c r="N21" i="12" s="1"/>
  <c r="D21" i="12"/>
  <c r="B21" i="12"/>
  <c r="T20" i="12"/>
  <c r="Z20" i="12" s="1"/>
  <c r="P20" i="12"/>
  <c r="X20" i="12" s="1"/>
  <c r="H20" i="12"/>
  <c r="D20" i="12"/>
  <c r="B20" i="12"/>
  <c r="T19" i="12"/>
  <c r="P19" i="12"/>
  <c r="H19" i="12"/>
  <c r="N19" i="12" s="1"/>
  <c r="D19" i="12"/>
  <c r="L19" i="12" s="1"/>
  <c r="B19" i="12"/>
  <c r="T18" i="12"/>
  <c r="P18" i="12"/>
  <c r="X18" i="12" s="1"/>
  <c r="Z18" i="12" s="1"/>
  <c r="L18" i="12"/>
  <c r="N18" i="12" s="1"/>
  <c r="H18" i="12"/>
  <c r="D18" i="12"/>
  <c r="B18" i="12"/>
  <c r="T17" i="12"/>
  <c r="P17" i="12"/>
  <c r="X17" i="12" s="1"/>
  <c r="L17" i="12"/>
  <c r="H17" i="12"/>
  <c r="N17" i="12" s="1"/>
  <c r="D17" i="12"/>
  <c r="B17" i="12"/>
  <c r="T16" i="12"/>
  <c r="Z16" i="12" s="1"/>
  <c r="P16" i="12"/>
  <c r="X16" i="12" s="1"/>
  <c r="H16" i="12"/>
  <c r="D16" i="12"/>
  <c r="B16" i="12"/>
  <c r="T15" i="12"/>
  <c r="P15" i="12"/>
  <c r="H15" i="12"/>
  <c r="N15" i="12" s="1"/>
  <c r="D15" i="12"/>
  <c r="L15" i="12" s="1"/>
  <c r="B15" i="12"/>
  <c r="T14" i="12"/>
  <c r="P14" i="12"/>
  <c r="X14" i="12" s="1"/>
  <c r="Z14" i="12" s="1"/>
  <c r="L14" i="12"/>
  <c r="N14" i="12" s="1"/>
  <c r="H14" i="12"/>
  <c r="D14" i="12"/>
  <c r="D12" i="12" s="1"/>
  <c r="F209" i="12" s="1"/>
  <c r="B14" i="12"/>
  <c r="T13" i="12"/>
  <c r="P13" i="12"/>
  <c r="L13" i="12"/>
  <c r="H13" i="12"/>
  <c r="N13" i="12" s="1"/>
  <c r="D13" i="12"/>
  <c r="B13" i="12"/>
  <c r="T12" i="12"/>
  <c r="V184" i="12" s="1"/>
  <c r="H12" i="12"/>
  <c r="D4" i="12"/>
  <c r="Z91" i="9"/>
  <c r="X91" i="9"/>
  <c r="N91" i="9"/>
  <c r="L91" i="9"/>
  <c r="J91" i="9"/>
  <c r="F91" i="9"/>
  <c r="F89" i="9"/>
  <c r="X87" i="9"/>
  <c r="T87" i="9"/>
  <c r="Z87" i="9" s="1"/>
  <c r="P87" i="9"/>
  <c r="H87" i="9"/>
  <c r="N87" i="9" s="1"/>
  <c r="F87" i="9"/>
  <c r="D87" i="9"/>
  <c r="L87" i="9" s="1"/>
  <c r="X85" i="9"/>
  <c r="Z85" i="9" s="1"/>
  <c r="N85" i="9"/>
  <c r="L85" i="9"/>
  <c r="F85" i="9"/>
  <c r="B85" i="9"/>
  <c r="Z84" i="9"/>
  <c r="X84" i="9"/>
  <c r="V84" i="9"/>
  <c r="N84" i="9"/>
  <c r="L84" i="9"/>
  <c r="B84" i="9"/>
  <c r="T83" i="9"/>
  <c r="Z83" i="9" s="1"/>
  <c r="P83" i="9"/>
  <c r="X83" i="9" s="1"/>
  <c r="L83" i="9"/>
  <c r="H83" i="9"/>
  <c r="N83" i="9" s="1"/>
  <c r="D83" i="9"/>
  <c r="B83" i="9"/>
  <c r="Z82" i="9"/>
  <c r="X82" i="9"/>
  <c r="N82" i="9"/>
  <c r="L82" i="9"/>
  <c r="B82" i="9"/>
  <c r="T81" i="9"/>
  <c r="Z81" i="9" s="1"/>
  <c r="P81" i="9"/>
  <c r="X81" i="9" s="1"/>
  <c r="L81" i="9"/>
  <c r="N81" i="9" s="1"/>
  <c r="H81" i="9"/>
  <c r="D81" i="9"/>
  <c r="B81" i="9"/>
  <c r="X80" i="9"/>
  <c r="Z80" i="9" s="1"/>
  <c r="N80" i="9"/>
  <c r="L80" i="9"/>
  <c r="J80" i="9"/>
  <c r="B80" i="9"/>
  <c r="Z79" i="9"/>
  <c r="X79" i="9"/>
  <c r="L79" i="9"/>
  <c r="N79" i="9" s="1"/>
  <c r="F79" i="9"/>
  <c r="B79" i="9"/>
  <c r="T78" i="9"/>
  <c r="P78" i="9"/>
  <c r="X78" i="9" s="1"/>
  <c r="Z78" i="9" s="1"/>
  <c r="J78" i="9"/>
  <c r="H78" i="9"/>
  <c r="F78" i="9"/>
  <c r="D78" i="9"/>
  <c r="L78" i="9" s="1"/>
  <c r="B78" i="9"/>
  <c r="X77" i="9"/>
  <c r="Z77" i="9" s="1"/>
  <c r="N77" i="9"/>
  <c r="L77" i="9"/>
  <c r="F77" i="9"/>
  <c r="B77" i="9"/>
  <c r="Z76" i="9"/>
  <c r="X76" i="9"/>
  <c r="V76" i="9"/>
  <c r="N76" i="9"/>
  <c r="L76" i="9"/>
  <c r="B76" i="9"/>
  <c r="X75" i="9"/>
  <c r="Z75" i="9" s="1"/>
  <c r="R75" i="9"/>
  <c r="L75" i="9"/>
  <c r="N75" i="9" s="1"/>
  <c r="F75" i="9"/>
  <c r="B75" i="9"/>
  <c r="X74" i="9"/>
  <c r="Z74" i="9" s="1"/>
  <c r="N74" i="9"/>
  <c r="L74" i="9"/>
  <c r="J74" i="9"/>
  <c r="F74" i="9"/>
  <c r="B74" i="9"/>
  <c r="X73" i="9"/>
  <c r="T73" i="9"/>
  <c r="Z73" i="9" s="1"/>
  <c r="P73" i="9"/>
  <c r="H73" i="9"/>
  <c r="N73" i="9" s="1"/>
  <c r="F73" i="9"/>
  <c r="D73" i="9"/>
  <c r="L73" i="9" s="1"/>
  <c r="B73" i="9"/>
  <c r="Z72" i="9"/>
  <c r="X72" i="9"/>
  <c r="N72" i="9"/>
  <c r="L72" i="9"/>
  <c r="J72" i="9"/>
  <c r="B72" i="9"/>
  <c r="Z71" i="9"/>
  <c r="X71" i="9"/>
  <c r="T71" i="9"/>
  <c r="P71" i="9"/>
  <c r="H71" i="9"/>
  <c r="N71" i="9" s="1"/>
  <c r="D71" i="9"/>
  <c r="L71" i="9" s="1"/>
  <c r="B71" i="9"/>
  <c r="Z70" i="9"/>
  <c r="X70" i="9"/>
  <c r="L70" i="9"/>
  <c r="N70" i="9" s="1"/>
  <c r="B70" i="9"/>
  <c r="X69" i="9"/>
  <c r="Z69" i="9" s="1"/>
  <c r="R69" i="9"/>
  <c r="L69" i="9"/>
  <c r="N69" i="9" s="1"/>
  <c r="B69" i="9"/>
  <c r="T68" i="9"/>
  <c r="Z68" i="9" s="1"/>
  <c r="R68" i="9"/>
  <c r="P68" i="9"/>
  <c r="X68" i="9" s="1"/>
  <c r="J68" i="9"/>
  <c r="H68" i="9"/>
  <c r="D68" i="9"/>
  <c r="L68" i="9" s="1"/>
  <c r="N68" i="9" s="1"/>
  <c r="B68" i="9"/>
  <c r="X67" i="9"/>
  <c r="Z67" i="9" s="1"/>
  <c r="R67" i="9"/>
  <c r="L67" i="9"/>
  <c r="N67" i="9" s="1"/>
  <c r="F67" i="9"/>
  <c r="B67" i="9"/>
  <c r="X66" i="9"/>
  <c r="Z66" i="9" s="1"/>
  <c r="N66" i="9"/>
  <c r="L66" i="9"/>
  <c r="J66" i="9"/>
  <c r="F66" i="9"/>
  <c r="B66" i="9"/>
  <c r="X65" i="9"/>
  <c r="Z65" i="9" s="1"/>
  <c r="N65" i="9"/>
  <c r="L65" i="9"/>
  <c r="F65" i="9"/>
  <c r="B65" i="9"/>
  <c r="Z64" i="9"/>
  <c r="X64" i="9"/>
  <c r="V64" i="9"/>
  <c r="T64" i="9"/>
  <c r="R64" i="9"/>
  <c r="P64" i="9"/>
  <c r="L64" i="9"/>
  <c r="H64" i="9"/>
  <c r="N64" i="9" s="1"/>
  <c r="F64" i="9"/>
  <c r="D64" i="9"/>
  <c r="B64" i="9"/>
  <c r="X63" i="9"/>
  <c r="Z63" i="9" s="1"/>
  <c r="R63" i="9"/>
  <c r="N63" i="9"/>
  <c r="L63" i="9"/>
  <c r="J63" i="9"/>
  <c r="B63" i="9"/>
  <c r="Z62" i="9"/>
  <c r="X62" i="9"/>
  <c r="V62" i="9"/>
  <c r="R62" i="9"/>
  <c r="N62" i="9"/>
  <c r="L62" i="9"/>
  <c r="J62" i="9"/>
  <c r="B62" i="9"/>
  <c r="Z61" i="9"/>
  <c r="X61" i="9"/>
  <c r="R61" i="9"/>
  <c r="N61" i="9"/>
  <c r="L61" i="9"/>
  <c r="J61" i="9"/>
  <c r="F61" i="9"/>
  <c r="B61" i="9"/>
  <c r="Z60" i="9"/>
  <c r="X60" i="9"/>
  <c r="L60" i="9"/>
  <c r="N60" i="9" s="1"/>
  <c r="J60" i="9"/>
  <c r="B60" i="9"/>
  <c r="X59" i="9"/>
  <c r="Z59" i="9" s="1"/>
  <c r="T59" i="9"/>
  <c r="P59" i="9"/>
  <c r="H59" i="9"/>
  <c r="D59" i="9"/>
  <c r="L59" i="9" s="1"/>
  <c r="B59" i="9"/>
  <c r="Z58" i="9"/>
  <c r="X58" i="9"/>
  <c r="L58" i="9"/>
  <c r="N58" i="9" s="1"/>
  <c r="B58" i="9"/>
  <c r="T57" i="9"/>
  <c r="P57" i="9"/>
  <c r="J57" i="9"/>
  <c r="H57" i="9"/>
  <c r="D57" i="9"/>
  <c r="L57" i="9" s="1"/>
  <c r="N57" i="9" s="1"/>
  <c r="B57" i="9"/>
  <c r="Z56" i="9"/>
  <c r="X56" i="9"/>
  <c r="V56" i="9"/>
  <c r="N56" i="9"/>
  <c r="L56" i="9"/>
  <c r="F56" i="9"/>
  <c r="B56" i="9"/>
  <c r="T55" i="9"/>
  <c r="Z55" i="9" s="1"/>
  <c r="R55" i="9"/>
  <c r="P55" i="9"/>
  <c r="X55" i="9" s="1"/>
  <c r="L55" i="9"/>
  <c r="H55" i="9"/>
  <c r="N55" i="9" s="1"/>
  <c r="F55" i="9"/>
  <c r="D55" i="9"/>
  <c r="B55" i="9"/>
  <c r="Z54" i="9"/>
  <c r="X54" i="9"/>
  <c r="V54" i="9"/>
  <c r="R54" i="9"/>
  <c r="N54" i="9"/>
  <c r="L54" i="9"/>
  <c r="J54" i="9"/>
  <c r="B54" i="9"/>
  <c r="T53" i="9"/>
  <c r="P53" i="9"/>
  <c r="X53" i="9" s="1"/>
  <c r="L53" i="9"/>
  <c r="N53" i="9" s="1"/>
  <c r="H53" i="9"/>
  <c r="D53" i="9"/>
  <c r="B53" i="9"/>
  <c r="X52" i="9"/>
  <c r="Z52" i="9" s="1"/>
  <c r="N52" i="9"/>
  <c r="L52" i="9"/>
  <c r="J52" i="9"/>
  <c r="B52" i="9"/>
  <c r="T51" i="9"/>
  <c r="P51" i="9"/>
  <c r="X51" i="9" s="1"/>
  <c r="Z51" i="9" s="1"/>
  <c r="J51" i="9"/>
  <c r="H51" i="9"/>
  <c r="D51" i="9"/>
  <c r="B51" i="9"/>
  <c r="X50" i="9"/>
  <c r="Z50" i="9" s="1"/>
  <c r="N50" i="9"/>
  <c r="L50" i="9"/>
  <c r="J50" i="9"/>
  <c r="F50" i="9"/>
  <c r="B50" i="9"/>
  <c r="X49" i="9"/>
  <c r="T49" i="9"/>
  <c r="Z49" i="9" s="1"/>
  <c r="R49" i="9"/>
  <c r="P49" i="9"/>
  <c r="J49" i="9"/>
  <c r="H49" i="9"/>
  <c r="F49" i="9"/>
  <c r="D49" i="9"/>
  <c r="L49" i="9" s="1"/>
  <c r="B49" i="9"/>
  <c r="Z48" i="9"/>
  <c r="X48" i="9"/>
  <c r="R48" i="9"/>
  <c r="L48" i="9"/>
  <c r="N48" i="9" s="1"/>
  <c r="J48" i="9"/>
  <c r="F48" i="9"/>
  <c r="B48" i="9"/>
  <c r="X47" i="9"/>
  <c r="Z47" i="9" s="1"/>
  <c r="T47" i="9"/>
  <c r="P47" i="9"/>
  <c r="H47" i="9"/>
  <c r="N47" i="9" s="1"/>
  <c r="F47" i="9"/>
  <c r="D47" i="9"/>
  <c r="L47" i="9" s="1"/>
  <c r="B47" i="9"/>
  <c r="Z46" i="9"/>
  <c r="X46" i="9"/>
  <c r="L46" i="9"/>
  <c r="N46" i="9" s="1"/>
  <c r="B46" i="9"/>
  <c r="X45" i="9"/>
  <c r="Z45" i="9" s="1"/>
  <c r="R45" i="9"/>
  <c r="L45" i="9"/>
  <c r="N45" i="9" s="1"/>
  <c r="B45" i="9"/>
  <c r="T44" i="9"/>
  <c r="Z44" i="9" s="1"/>
  <c r="R44" i="9"/>
  <c r="P44" i="9"/>
  <c r="X44" i="9" s="1"/>
  <c r="J44" i="9"/>
  <c r="H44" i="9"/>
  <c r="D44" i="9"/>
  <c r="L44" i="9" s="1"/>
  <c r="N44" i="9" s="1"/>
  <c r="B44" i="9"/>
  <c r="X43" i="9"/>
  <c r="Z43" i="9" s="1"/>
  <c r="R43" i="9"/>
  <c r="L43" i="9"/>
  <c r="N43" i="9" s="1"/>
  <c r="F43" i="9"/>
  <c r="B43" i="9"/>
  <c r="X42" i="9"/>
  <c r="T42" i="9"/>
  <c r="Z42" i="9" s="1"/>
  <c r="R42" i="9"/>
  <c r="P42" i="9"/>
  <c r="N42" i="9"/>
  <c r="L42" i="9"/>
  <c r="J42" i="9"/>
  <c r="H42" i="9"/>
  <c r="F42" i="9"/>
  <c r="D42" i="9"/>
  <c r="B42" i="9"/>
  <c r="Z41" i="9"/>
  <c r="X41" i="9"/>
  <c r="R41" i="9"/>
  <c r="L41" i="9"/>
  <c r="N41" i="9" s="1"/>
  <c r="J41" i="9"/>
  <c r="F41" i="9"/>
  <c r="B41" i="9"/>
  <c r="T40" i="9"/>
  <c r="P40" i="9"/>
  <c r="X40" i="9" s="1"/>
  <c r="Z40" i="9" s="1"/>
  <c r="J40" i="9"/>
  <c r="H40" i="9"/>
  <c r="L40" i="9" s="1"/>
  <c r="N40" i="9" s="1"/>
  <c r="F40" i="9"/>
  <c r="D40" i="9"/>
  <c r="B40" i="9"/>
  <c r="X39" i="9"/>
  <c r="Z39" i="9" s="1"/>
  <c r="L39" i="9"/>
  <c r="N39" i="9" s="1"/>
  <c r="J39" i="9"/>
  <c r="F39" i="9"/>
  <c r="B39" i="9"/>
  <c r="T38" i="9"/>
  <c r="P38" i="9"/>
  <c r="X38" i="9" s="1"/>
  <c r="Z38" i="9" s="1"/>
  <c r="J38" i="9"/>
  <c r="H38" i="9"/>
  <c r="N38" i="9" s="1"/>
  <c r="F38" i="9"/>
  <c r="D38" i="9"/>
  <c r="L38" i="9" s="1"/>
  <c r="B38" i="9"/>
  <c r="Z37" i="9"/>
  <c r="X37" i="9"/>
  <c r="N37" i="9"/>
  <c r="L37" i="9"/>
  <c r="F37" i="9"/>
  <c r="B37" i="9"/>
  <c r="Z36" i="9"/>
  <c r="X36" i="9"/>
  <c r="V36" i="9"/>
  <c r="N36" i="9"/>
  <c r="L36" i="9"/>
  <c r="F36" i="9"/>
  <c r="B36" i="9"/>
  <c r="X35" i="9"/>
  <c r="Z35" i="9" s="1"/>
  <c r="R35" i="9"/>
  <c r="L35" i="9"/>
  <c r="N35" i="9" s="1"/>
  <c r="F35" i="9"/>
  <c r="B35" i="9"/>
  <c r="X34" i="9"/>
  <c r="Z34" i="9" s="1"/>
  <c r="N34" i="9"/>
  <c r="L34" i="9"/>
  <c r="J34" i="9"/>
  <c r="F34" i="9"/>
  <c r="B34" i="9"/>
  <c r="X33" i="9"/>
  <c r="Z33" i="9" s="1"/>
  <c r="N33" i="9"/>
  <c r="L33" i="9"/>
  <c r="F33" i="9"/>
  <c r="B33" i="9"/>
  <c r="Z32" i="9"/>
  <c r="X32" i="9"/>
  <c r="V32" i="9"/>
  <c r="N32" i="9"/>
  <c r="L32" i="9"/>
  <c r="F32" i="9"/>
  <c r="B32" i="9"/>
  <c r="X31" i="9"/>
  <c r="Z31" i="9" s="1"/>
  <c r="R31" i="9"/>
  <c r="L31" i="9"/>
  <c r="N31" i="9" s="1"/>
  <c r="F31" i="9"/>
  <c r="B31" i="9"/>
  <c r="X30" i="9"/>
  <c r="Z30" i="9" s="1"/>
  <c r="T30" i="9"/>
  <c r="R30" i="9"/>
  <c r="P30" i="9"/>
  <c r="N30" i="9"/>
  <c r="L30" i="9"/>
  <c r="J30" i="9"/>
  <c r="H30" i="9"/>
  <c r="F30" i="9"/>
  <c r="D30" i="9"/>
  <c r="B30" i="9"/>
  <c r="Z29" i="9"/>
  <c r="X29" i="9"/>
  <c r="R29" i="9"/>
  <c r="L29" i="9"/>
  <c r="N29" i="9" s="1"/>
  <c r="J29" i="9"/>
  <c r="F29" i="9"/>
  <c r="B29" i="9"/>
  <c r="Z28" i="9"/>
  <c r="X28" i="9"/>
  <c r="R28" i="9"/>
  <c r="L28" i="9"/>
  <c r="N28" i="9" s="1"/>
  <c r="J28" i="9"/>
  <c r="F28" i="9"/>
  <c r="B28" i="9"/>
  <c r="X27" i="9"/>
  <c r="Z27" i="9" s="1"/>
  <c r="R27" i="9"/>
  <c r="L27" i="9"/>
  <c r="N27" i="9" s="1"/>
  <c r="J27" i="9"/>
  <c r="B27" i="9"/>
  <c r="Z26" i="9"/>
  <c r="X26" i="9"/>
  <c r="V26" i="9"/>
  <c r="R26" i="9"/>
  <c r="N26" i="9"/>
  <c r="L26" i="9"/>
  <c r="J26" i="9"/>
  <c r="B26" i="9"/>
  <c r="Z25" i="9"/>
  <c r="X25" i="9"/>
  <c r="R25" i="9"/>
  <c r="L25" i="9"/>
  <c r="N25" i="9" s="1"/>
  <c r="J25" i="9"/>
  <c r="F25" i="9"/>
  <c r="B25" i="9"/>
  <c r="Z24" i="9"/>
  <c r="X24" i="9"/>
  <c r="R24" i="9"/>
  <c r="L24" i="9"/>
  <c r="N24" i="9" s="1"/>
  <c r="J24" i="9"/>
  <c r="F24" i="9"/>
  <c r="B24" i="9"/>
  <c r="X23" i="9"/>
  <c r="Z23" i="9" s="1"/>
  <c r="R23" i="9"/>
  <c r="L23" i="9"/>
  <c r="N23" i="9" s="1"/>
  <c r="J23" i="9"/>
  <c r="B23" i="9"/>
  <c r="Z22" i="9"/>
  <c r="X22" i="9"/>
  <c r="V22" i="9"/>
  <c r="R22" i="9"/>
  <c r="N22" i="9"/>
  <c r="L22" i="9"/>
  <c r="J22" i="9"/>
  <c r="B22" i="9"/>
  <c r="Z21" i="9"/>
  <c r="X21" i="9"/>
  <c r="R21" i="9"/>
  <c r="L21" i="9"/>
  <c r="N21" i="9" s="1"/>
  <c r="J21" i="9"/>
  <c r="F21" i="9"/>
  <c r="B21" i="9"/>
  <c r="Z20" i="9"/>
  <c r="X20" i="9"/>
  <c r="R20" i="9"/>
  <c r="L20" i="9"/>
  <c r="N20" i="9" s="1"/>
  <c r="J20" i="9"/>
  <c r="F20" i="9"/>
  <c r="B20" i="9"/>
  <c r="X19" i="9"/>
  <c r="Z19" i="9" s="1"/>
  <c r="T19" i="9"/>
  <c r="P19" i="9"/>
  <c r="J19" i="9"/>
  <c r="H19" i="9"/>
  <c r="F19" i="9"/>
  <c r="D19" i="9"/>
  <c r="L19" i="9" s="1"/>
  <c r="B19" i="9"/>
  <c r="Z18" i="9"/>
  <c r="T18" i="9"/>
  <c r="P18" i="9"/>
  <c r="X18" i="9" s="1"/>
  <c r="J18" i="9"/>
  <c r="H18" i="9"/>
  <c r="F18" i="9"/>
  <c r="D18" i="9"/>
  <c r="L18" i="9" s="1"/>
  <c r="J16" i="9"/>
  <c r="F16" i="9"/>
  <c r="Z14" i="9"/>
  <c r="T14" i="9"/>
  <c r="P14" i="9"/>
  <c r="X14" i="9" s="1"/>
  <c r="J14" i="9"/>
  <c r="H14" i="9"/>
  <c r="N14" i="9" s="1"/>
  <c r="F14" i="9"/>
  <c r="D14" i="9"/>
  <c r="L14" i="9" s="1"/>
  <c r="Z12" i="9"/>
  <c r="T12" i="9"/>
  <c r="V71" i="9" s="1"/>
  <c r="P12" i="9"/>
  <c r="R84" i="9" s="1"/>
  <c r="N12" i="9"/>
  <c r="L12" i="9"/>
  <c r="H12" i="9"/>
  <c r="J96" i="9" s="1"/>
  <c r="D12" i="9"/>
  <c r="F80" i="9" s="1"/>
  <c r="D4" i="9"/>
  <c r="X29" i="6"/>
  <c r="Z29" i="6" s="1"/>
  <c r="T29" i="6"/>
  <c r="P29" i="6"/>
  <c r="H29" i="6"/>
  <c r="N29" i="6" s="1"/>
  <c r="D29" i="6"/>
  <c r="L29" i="6" s="1"/>
  <c r="X28" i="6"/>
  <c r="Z28" i="6" s="1"/>
  <c r="T28" i="6"/>
  <c r="P28" i="6"/>
  <c r="H28" i="6"/>
  <c r="N28" i="6" s="1"/>
  <c r="D28" i="6"/>
  <c r="L28" i="6" s="1"/>
  <c r="Z24" i="6"/>
  <c r="X24" i="6"/>
  <c r="N24" i="6"/>
  <c r="L24" i="6"/>
  <c r="J24" i="6"/>
  <c r="J22" i="6"/>
  <c r="F22" i="6"/>
  <c r="T20" i="6"/>
  <c r="Z20" i="6" s="1"/>
  <c r="P20" i="6"/>
  <c r="L20" i="6"/>
  <c r="J20" i="6"/>
  <c r="H20" i="6"/>
  <c r="N20" i="6" s="1"/>
  <c r="F20" i="6"/>
  <c r="D20" i="6"/>
  <c r="T18" i="6"/>
  <c r="Z18" i="6" s="1"/>
  <c r="P18" i="6"/>
  <c r="L18" i="6"/>
  <c r="J18" i="6"/>
  <c r="H18" i="6"/>
  <c r="N18" i="6" s="1"/>
  <c r="F18" i="6"/>
  <c r="D18" i="6"/>
  <c r="T16" i="6"/>
  <c r="Z16" i="6" s="1"/>
  <c r="J16" i="6"/>
  <c r="F16" i="6"/>
  <c r="T14" i="6"/>
  <c r="Z14" i="6" s="1"/>
  <c r="P14" i="6"/>
  <c r="L14" i="6"/>
  <c r="J14" i="6"/>
  <c r="H14" i="6"/>
  <c r="N14" i="6" s="1"/>
  <c r="F14" i="6"/>
  <c r="D14" i="6"/>
  <c r="T12" i="6"/>
  <c r="V31" i="6" s="1"/>
  <c r="P12" i="6"/>
  <c r="P16" i="6" s="1"/>
  <c r="N12" i="6"/>
  <c r="L12" i="6"/>
  <c r="H12" i="6"/>
  <c r="J31" i="6" s="1"/>
  <c r="D12" i="6"/>
  <c r="F24" i="6" s="1"/>
  <c r="D4" i="6"/>
  <c r="T278" i="3"/>
  <c r="Z278" i="3" s="1"/>
  <c r="P278" i="3"/>
  <c r="X278" i="3" s="1"/>
  <c r="N278" i="3"/>
  <c r="H278" i="3"/>
  <c r="D278" i="3"/>
  <c r="L278" i="3" s="1"/>
  <c r="T277" i="3"/>
  <c r="P277" i="3"/>
  <c r="X277" i="3" s="1"/>
  <c r="N277" i="3"/>
  <c r="H277" i="3"/>
  <c r="D277" i="3"/>
  <c r="L277" i="3" s="1"/>
  <c r="X273" i="3"/>
  <c r="Z273" i="3" s="1"/>
  <c r="N273" i="3"/>
  <c r="L273" i="3"/>
  <c r="T269" i="3"/>
  <c r="Z269" i="3" s="1"/>
  <c r="P269" i="3"/>
  <c r="X269" i="3" s="1"/>
  <c r="H269" i="3"/>
  <c r="D269" i="3"/>
  <c r="B269" i="3"/>
  <c r="T268" i="3"/>
  <c r="Z268" i="3" s="1"/>
  <c r="P268" i="3"/>
  <c r="X268" i="3" s="1"/>
  <c r="H268" i="3"/>
  <c r="L268" i="3" s="1"/>
  <c r="D268" i="3"/>
  <c r="B268" i="3"/>
  <c r="X267" i="3"/>
  <c r="T267" i="3"/>
  <c r="Z267" i="3" s="1"/>
  <c r="P267" i="3"/>
  <c r="L267" i="3"/>
  <c r="N267" i="3" s="1"/>
  <c r="H267" i="3"/>
  <c r="D267" i="3"/>
  <c r="B267" i="3"/>
  <c r="T266" i="3"/>
  <c r="Z266" i="3" s="1"/>
  <c r="P266" i="3"/>
  <c r="X266" i="3" s="1"/>
  <c r="L266" i="3"/>
  <c r="N266" i="3" s="1"/>
  <c r="H266" i="3"/>
  <c r="D266" i="3"/>
  <c r="B266" i="3"/>
  <c r="T265" i="3"/>
  <c r="Z265" i="3" s="1"/>
  <c r="P265" i="3"/>
  <c r="X265" i="3" s="1"/>
  <c r="H265" i="3"/>
  <c r="D265" i="3"/>
  <c r="L265" i="3" s="1"/>
  <c r="N265" i="3" s="1"/>
  <c r="B265" i="3"/>
  <c r="T264" i="3"/>
  <c r="Z264" i="3" s="1"/>
  <c r="P264" i="3"/>
  <c r="L264" i="3"/>
  <c r="H264" i="3"/>
  <c r="N264" i="3" s="1"/>
  <c r="D264" i="3"/>
  <c r="B264" i="3"/>
  <c r="T263" i="3"/>
  <c r="P263" i="3"/>
  <c r="H263" i="3"/>
  <c r="N263" i="3" s="1"/>
  <c r="D263" i="3"/>
  <c r="L263" i="3" s="1"/>
  <c r="B263" i="3"/>
  <c r="T262" i="3"/>
  <c r="P262" i="3"/>
  <c r="H262" i="3"/>
  <c r="D262" i="3"/>
  <c r="L262" i="3" s="1"/>
  <c r="N262" i="3" s="1"/>
  <c r="B262" i="3"/>
  <c r="Z261" i="3"/>
  <c r="X261" i="3"/>
  <c r="T261" i="3"/>
  <c r="P261" i="3"/>
  <c r="L261" i="3"/>
  <c r="H261" i="3"/>
  <c r="N261" i="3" s="1"/>
  <c r="D261" i="3"/>
  <c r="B261" i="3"/>
  <c r="D260" i="3"/>
  <c r="X258" i="3"/>
  <c r="Z258" i="3" s="1"/>
  <c r="L258" i="3"/>
  <c r="N258" i="3" s="1"/>
  <c r="B258" i="3"/>
  <c r="T257" i="3"/>
  <c r="P257" i="3"/>
  <c r="H257" i="3"/>
  <c r="N257" i="3" s="1"/>
  <c r="D257" i="3"/>
  <c r="L257" i="3" s="1"/>
  <c r="B257" i="3"/>
  <c r="X256" i="3"/>
  <c r="Z256" i="3" s="1"/>
  <c r="R256" i="3"/>
  <c r="L256" i="3"/>
  <c r="N256" i="3" s="1"/>
  <c r="B256" i="3"/>
  <c r="X255" i="3"/>
  <c r="Z255" i="3" s="1"/>
  <c r="L255" i="3"/>
  <c r="N255" i="3" s="1"/>
  <c r="B255" i="3"/>
  <c r="X254" i="3"/>
  <c r="Z254" i="3" s="1"/>
  <c r="L254" i="3"/>
  <c r="N254" i="3" s="1"/>
  <c r="B254" i="3"/>
  <c r="Z253" i="3"/>
  <c r="T253" i="3"/>
  <c r="P253" i="3"/>
  <c r="X253" i="3" s="1"/>
  <c r="H253" i="3"/>
  <c r="D253" i="3"/>
  <c r="L253" i="3" s="1"/>
  <c r="B253" i="3"/>
  <c r="X252" i="3"/>
  <c r="Z252" i="3" s="1"/>
  <c r="N252" i="3"/>
  <c r="L252" i="3"/>
  <c r="B252" i="3"/>
  <c r="Z251" i="3"/>
  <c r="X251" i="3"/>
  <c r="T251" i="3"/>
  <c r="P251" i="3"/>
  <c r="L251" i="3"/>
  <c r="H251" i="3"/>
  <c r="N251" i="3" s="1"/>
  <c r="D251" i="3"/>
  <c r="B251" i="3"/>
  <c r="X250" i="3"/>
  <c r="Z250" i="3" s="1"/>
  <c r="L250" i="3"/>
  <c r="N250" i="3" s="1"/>
  <c r="B250" i="3"/>
  <c r="Z249" i="3"/>
  <c r="X249" i="3"/>
  <c r="N249" i="3"/>
  <c r="L249" i="3"/>
  <c r="B249" i="3"/>
  <c r="T248" i="3"/>
  <c r="P248" i="3"/>
  <c r="N248" i="3"/>
  <c r="L248" i="3"/>
  <c r="H248" i="3"/>
  <c r="D248" i="3"/>
  <c r="B248" i="3"/>
  <c r="X247" i="3"/>
  <c r="Z247" i="3" s="1"/>
  <c r="N247" i="3"/>
  <c r="L247" i="3"/>
  <c r="B247" i="3"/>
  <c r="X246" i="3"/>
  <c r="Z246" i="3" s="1"/>
  <c r="L246" i="3"/>
  <c r="N246" i="3" s="1"/>
  <c r="B246" i="3"/>
  <c r="Z245" i="3"/>
  <c r="X245" i="3"/>
  <c r="L245" i="3"/>
  <c r="N245" i="3" s="1"/>
  <c r="B245" i="3"/>
  <c r="Z244" i="3"/>
  <c r="X244" i="3"/>
  <c r="L244" i="3"/>
  <c r="N244" i="3" s="1"/>
  <c r="B244" i="3"/>
  <c r="X243" i="3"/>
  <c r="Z243" i="3" s="1"/>
  <c r="L243" i="3"/>
  <c r="N243" i="3" s="1"/>
  <c r="B243" i="3"/>
  <c r="X242" i="3"/>
  <c r="Z242" i="3" s="1"/>
  <c r="L242" i="3"/>
  <c r="N242" i="3" s="1"/>
  <c r="B242" i="3"/>
  <c r="Z241" i="3"/>
  <c r="X241" i="3"/>
  <c r="L241" i="3"/>
  <c r="N241" i="3" s="1"/>
  <c r="B241" i="3"/>
  <c r="Z240" i="3"/>
  <c r="X240" i="3"/>
  <c r="L240" i="3"/>
  <c r="N240" i="3" s="1"/>
  <c r="B240" i="3"/>
  <c r="T239" i="3"/>
  <c r="P239" i="3"/>
  <c r="H239" i="3"/>
  <c r="D239" i="3"/>
  <c r="L239" i="3" s="1"/>
  <c r="N239" i="3" s="1"/>
  <c r="B239" i="3"/>
  <c r="X238" i="3"/>
  <c r="Z238" i="3" s="1"/>
  <c r="N238" i="3"/>
  <c r="L238" i="3"/>
  <c r="B238" i="3"/>
  <c r="X237" i="3"/>
  <c r="Z237" i="3" s="1"/>
  <c r="L237" i="3"/>
  <c r="N237" i="3" s="1"/>
  <c r="B237" i="3"/>
  <c r="X236" i="3"/>
  <c r="T236" i="3"/>
  <c r="Z236" i="3" s="1"/>
  <c r="P236" i="3"/>
  <c r="L236" i="3"/>
  <c r="H236" i="3"/>
  <c r="D236" i="3"/>
  <c r="B236" i="3"/>
  <c r="Z235" i="3"/>
  <c r="X235" i="3"/>
  <c r="L235" i="3"/>
  <c r="N235" i="3" s="1"/>
  <c r="F235" i="3"/>
  <c r="B235" i="3"/>
  <c r="X234" i="3"/>
  <c r="Z234" i="3" s="1"/>
  <c r="L234" i="3"/>
  <c r="N234" i="3" s="1"/>
  <c r="B234" i="3"/>
  <c r="Z233" i="3"/>
  <c r="X233" i="3"/>
  <c r="N233" i="3"/>
  <c r="L233" i="3"/>
  <c r="B233" i="3"/>
  <c r="Z232" i="3"/>
  <c r="X232" i="3"/>
  <c r="L232" i="3"/>
  <c r="N232" i="3" s="1"/>
  <c r="B232" i="3"/>
  <c r="Z231" i="3"/>
  <c r="X231" i="3"/>
  <c r="R231" i="3"/>
  <c r="L231" i="3"/>
  <c r="N231" i="3" s="1"/>
  <c r="B231" i="3"/>
  <c r="X230" i="3"/>
  <c r="Z230" i="3" s="1"/>
  <c r="T230" i="3"/>
  <c r="P230" i="3"/>
  <c r="H230" i="3"/>
  <c r="N230" i="3" s="1"/>
  <c r="D230" i="3"/>
  <c r="L230" i="3" s="1"/>
  <c r="B230" i="3"/>
  <c r="Z229" i="3"/>
  <c r="X229" i="3"/>
  <c r="L229" i="3"/>
  <c r="N229" i="3" s="1"/>
  <c r="B229" i="3"/>
  <c r="Z228" i="3"/>
  <c r="X228" i="3"/>
  <c r="L228" i="3"/>
  <c r="N228" i="3" s="1"/>
  <c r="B228" i="3"/>
  <c r="X227" i="3"/>
  <c r="Z227" i="3" s="1"/>
  <c r="L227" i="3"/>
  <c r="N227" i="3" s="1"/>
  <c r="B227" i="3"/>
  <c r="T226" i="3"/>
  <c r="P226" i="3"/>
  <c r="X226" i="3" s="1"/>
  <c r="Z226" i="3" s="1"/>
  <c r="L226" i="3"/>
  <c r="H226" i="3"/>
  <c r="N226" i="3" s="1"/>
  <c r="D226" i="3"/>
  <c r="B226" i="3"/>
  <c r="X225" i="3"/>
  <c r="Z225" i="3" s="1"/>
  <c r="L225" i="3"/>
  <c r="N225" i="3" s="1"/>
  <c r="B225" i="3"/>
  <c r="X224" i="3"/>
  <c r="Z224" i="3" s="1"/>
  <c r="N224" i="3"/>
  <c r="L224" i="3"/>
  <c r="B224" i="3"/>
  <c r="X223" i="3"/>
  <c r="Z223" i="3" s="1"/>
  <c r="N223" i="3"/>
  <c r="L223" i="3"/>
  <c r="B223" i="3"/>
  <c r="T222" i="3"/>
  <c r="P222" i="3"/>
  <c r="X222" i="3" s="1"/>
  <c r="L222" i="3"/>
  <c r="H222" i="3"/>
  <c r="N222" i="3" s="1"/>
  <c r="D222" i="3"/>
  <c r="B222" i="3"/>
  <c r="X221" i="3"/>
  <c r="Z221" i="3" s="1"/>
  <c r="R221" i="3"/>
  <c r="N221" i="3"/>
  <c r="L221" i="3"/>
  <c r="B221" i="3"/>
  <c r="T220" i="3"/>
  <c r="P220" i="3"/>
  <c r="L220" i="3"/>
  <c r="H220" i="3"/>
  <c r="N220" i="3" s="1"/>
  <c r="D220" i="3"/>
  <c r="B220" i="3"/>
  <c r="X219" i="3"/>
  <c r="Z219" i="3" s="1"/>
  <c r="L219" i="3"/>
  <c r="N219" i="3" s="1"/>
  <c r="B219" i="3"/>
  <c r="T218" i="3"/>
  <c r="Z218" i="3" s="1"/>
  <c r="P218" i="3"/>
  <c r="X218" i="3" s="1"/>
  <c r="N218" i="3"/>
  <c r="L218" i="3"/>
  <c r="H218" i="3"/>
  <c r="D218" i="3"/>
  <c r="B218" i="3"/>
  <c r="X217" i="3"/>
  <c r="Z217" i="3" s="1"/>
  <c r="N217" i="3"/>
  <c r="L217" i="3"/>
  <c r="B217" i="3"/>
  <c r="X216" i="3"/>
  <c r="T216" i="3"/>
  <c r="P216" i="3"/>
  <c r="H216" i="3"/>
  <c r="D216" i="3"/>
  <c r="L216" i="3" s="1"/>
  <c r="B216" i="3"/>
  <c r="Z215" i="3"/>
  <c r="X215" i="3"/>
  <c r="R215" i="3"/>
  <c r="L215" i="3"/>
  <c r="N215" i="3" s="1"/>
  <c r="B215" i="3"/>
  <c r="T214" i="3"/>
  <c r="P214" i="3"/>
  <c r="H214" i="3"/>
  <c r="N214" i="3" s="1"/>
  <c r="D214" i="3"/>
  <c r="L214" i="3" s="1"/>
  <c r="B214" i="3"/>
  <c r="Z213" i="3"/>
  <c r="X213" i="3"/>
  <c r="L213" i="3"/>
  <c r="N213" i="3" s="1"/>
  <c r="B213" i="3"/>
  <c r="T212" i="3"/>
  <c r="P212" i="3"/>
  <c r="H212" i="3"/>
  <c r="D212" i="3"/>
  <c r="L212" i="3" s="1"/>
  <c r="B212" i="3"/>
  <c r="X211" i="3"/>
  <c r="Z211" i="3" s="1"/>
  <c r="N211" i="3"/>
  <c r="L211" i="3"/>
  <c r="B211" i="3"/>
  <c r="T210" i="3"/>
  <c r="P210" i="3"/>
  <c r="X210" i="3" s="1"/>
  <c r="L210" i="3"/>
  <c r="H210" i="3"/>
  <c r="N210" i="3" s="1"/>
  <c r="D210" i="3"/>
  <c r="B210" i="3"/>
  <c r="X209" i="3"/>
  <c r="Z209" i="3" s="1"/>
  <c r="R209" i="3"/>
  <c r="N209" i="3"/>
  <c r="L209" i="3"/>
  <c r="B209" i="3"/>
  <c r="T208" i="3"/>
  <c r="P208" i="3"/>
  <c r="L208" i="3"/>
  <c r="H208" i="3"/>
  <c r="N208" i="3" s="1"/>
  <c r="D208" i="3"/>
  <c r="B208" i="3"/>
  <c r="Z207" i="3"/>
  <c r="X207" i="3"/>
  <c r="L207" i="3"/>
  <c r="N207" i="3" s="1"/>
  <c r="B207" i="3"/>
  <c r="X206" i="3"/>
  <c r="Z206" i="3" s="1"/>
  <c r="L206" i="3"/>
  <c r="N206" i="3" s="1"/>
  <c r="B206" i="3"/>
  <c r="T205" i="3"/>
  <c r="P205" i="3"/>
  <c r="X205" i="3" s="1"/>
  <c r="Z205" i="3" s="1"/>
  <c r="H205" i="3"/>
  <c r="D205" i="3"/>
  <c r="L205" i="3" s="1"/>
  <c r="B205" i="3"/>
  <c r="X204" i="3"/>
  <c r="Z204" i="3" s="1"/>
  <c r="N204" i="3"/>
  <c r="L204" i="3"/>
  <c r="B204" i="3"/>
  <c r="X203" i="3"/>
  <c r="Z203" i="3" s="1"/>
  <c r="T203" i="3"/>
  <c r="P203" i="3"/>
  <c r="L203" i="3"/>
  <c r="N203" i="3" s="1"/>
  <c r="H203" i="3"/>
  <c r="D203" i="3"/>
  <c r="B203" i="3"/>
  <c r="X202" i="3"/>
  <c r="Z202" i="3" s="1"/>
  <c r="L202" i="3"/>
  <c r="N202" i="3" s="1"/>
  <c r="B202" i="3"/>
  <c r="X201" i="3"/>
  <c r="Z201" i="3" s="1"/>
  <c r="T201" i="3"/>
  <c r="P201" i="3"/>
  <c r="H201" i="3"/>
  <c r="N201" i="3" s="1"/>
  <c r="D201" i="3"/>
  <c r="L201" i="3" s="1"/>
  <c r="B201" i="3"/>
  <c r="X200" i="3"/>
  <c r="Z200" i="3" s="1"/>
  <c r="R200" i="3"/>
  <c r="L200" i="3"/>
  <c r="N200" i="3" s="1"/>
  <c r="B200" i="3"/>
  <c r="T199" i="3"/>
  <c r="P199" i="3"/>
  <c r="X199" i="3" s="1"/>
  <c r="H199" i="3"/>
  <c r="D199" i="3"/>
  <c r="L199" i="3" s="1"/>
  <c r="N199" i="3" s="1"/>
  <c r="B199" i="3"/>
  <c r="X198" i="3"/>
  <c r="Z198" i="3" s="1"/>
  <c r="N198" i="3"/>
  <c r="L198" i="3"/>
  <c r="B198" i="3"/>
  <c r="X197" i="3"/>
  <c r="Z197" i="3" s="1"/>
  <c r="N197" i="3"/>
  <c r="L197" i="3"/>
  <c r="B197" i="3"/>
  <c r="X196" i="3"/>
  <c r="T196" i="3"/>
  <c r="P196" i="3"/>
  <c r="H196" i="3"/>
  <c r="D196" i="3"/>
  <c r="B196" i="3"/>
  <c r="Z195" i="3"/>
  <c r="X195" i="3"/>
  <c r="L195" i="3"/>
  <c r="N195" i="3" s="1"/>
  <c r="B195" i="3"/>
  <c r="Z194" i="3"/>
  <c r="X194" i="3"/>
  <c r="L194" i="3"/>
  <c r="N194" i="3" s="1"/>
  <c r="B194" i="3"/>
  <c r="Z193" i="3"/>
  <c r="X193" i="3"/>
  <c r="N193" i="3"/>
  <c r="L193" i="3"/>
  <c r="B193" i="3"/>
  <c r="T192" i="3"/>
  <c r="Z192" i="3" s="1"/>
  <c r="R192" i="3"/>
  <c r="P192" i="3"/>
  <c r="X192" i="3" s="1"/>
  <c r="L192" i="3"/>
  <c r="N192" i="3" s="1"/>
  <c r="H192" i="3"/>
  <c r="D192" i="3"/>
  <c r="B192" i="3"/>
  <c r="X191" i="3"/>
  <c r="Z191" i="3" s="1"/>
  <c r="N191" i="3"/>
  <c r="L191" i="3"/>
  <c r="B191" i="3"/>
  <c r="T190" i="3"/>
  <c r="P190" i="3"/>
  <c r="X190" i="3" s="1"/>
  <c r="H190" i="3"/>
  <c r="D190" i="3"/>
  <c r="B190" i="3"/>
  <c r="Z189" i="3"/>
  <c r="X189" i="3"/>
  <c r="L189" i="3"/>
  <c r="N189" i="3" s="1"/>
  <c r="B189" i="3"/>
  <c r="T188" i="3"/>
  <c r="X188" i="3" s="1"/>
  <c r="P188" i="3"/>
  <c r="H188" i="3"/>
  <c r="D188" i="3"/>
  <c r="L188" i="3" s="1"/>
  <c r="B188" i="3"/>
  <c r="Z187" i="3"/>
  <c r="X187" i="3"/>
  <c r="L187" i="3"/>
  <c r="N187" i="3" s="1"/>
  <c r="B187" i="3"/>
  <c r="T186" i="3"/>
  <c r="Z186" i="3" s="1"/>
  <c r="P186" i="3"/>
  <c r="X186" i="3" s="1"/>
  <c r="H186" i="3"/>
  <c r="D186" i="3"/>
  <c r="L186" i="3" s="1"/>
  <c r="N186" i="3" s="1"/>
  <c r="B186" i="3"/>
  <c r="Z185" i="3"/>
  <c r="X185" i="3"/>
  <c r="N185" i="3"/>
  <c r="L185" i="3"/>
  <c r="B185" i="3"/>
  <c r="X184" i="3"/>
  <c r="Z184" i="3" s="1"/>
  <c r="L184" i="3"/>
  <c r="N184" i="3" s="1"/>
  <c r="F184" i="3"/>
  <c r="B184" i="3"/>
  <c r="X183" i="3"/>
  <c r="Z183" i="3" s="1"/>
  <c r="L183" i="3"/>
  <c r="N183" i="3" s="1"/>
  <c r="B183" i="3"/>
  <c r="X182" i="3"/>
  <c r="Z182" i="3" s="1"/>
  <c r="N182" i="3"/>
  <c r="L182" i="3"/>
  <c r="B182" i="3"/>
  <c r="Z181" i="3"/>
  <c r="X181" i="3"/>
  <c r="N181" i="3"/>
  <c r="L181" i="3"/>
  <c r="B181" i="3"/>
  <c r="X180" i="3"/>
  <c r="Z180" i="3" s="1"/>
  <c r="L180" i="3"/>
  <c r="N180" i="3" s="1"/>
  <c r="F180" i="3"/>
  <c r="B180" i="3"/>
  <c r="X179" i="3"/>
  <c r="Z179" i="3" s="1"/>
  <c r="L179" i="3"/>
  <c r="N179" i="3" s="1"/>
  <c r="B179" i="3"/>
  <c r="X178" i="3"/>
  <c r="T178" i="3"/>
  <c r="Z178" i="3" s="1"/>
  <c r="P178" i="3"/>
  <c r="H178" i="3"/>
  <c r="N178" i="3" s="1"/>
  <c r="D178" i="3"/>
  <c r="L178" i="3" s="1"/>
  <c r="B178" i="3"/>
  <c r="Z177" i="3"/>
  <c r="X177" i="3"/>
  <c r="N177" i="3"/>
  <c r="L177" i="3"/>
  <c r="B177" i="3"/>
  <c r="X176" i="3"/>
  <c r="Z176" i="3" s="1"/>
  <c r="R176" i="3"/>
  <c r="N176" i="3"/>
  <c r="L176" i="3"/>
  <c r="B176" i="3"/>
  <c r="X175" i="3"/>
  <c r="Z175" i="3" s="1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X172" i="3"/>
  <c r="Z172" i="3" s="1"/>
  <c r="R172" i="3"/>
  <c r="N172" i="3"/>
  <c r="L172" i="3"/>
  <c r="B172" i="3"/>
  <c r="X171" i="3"/>
  <c r="Z171" i="3" s="1"/>
  <c r="N171" i="3"/>
  <c r="L171" i="3"/>
  <c r="B171" i="3"/>
  <c r="Z170" i="3"/>
  <c r="X170" i="3"/>
  <c r="N170" i="3"/>
  <c r="L170" i="3"/>
  <c r="B170" i="3"/>
  <c r="Z169" i="3"/>
  <c r="X169" i="3"/>
  <c r="L169" i="3"/>
  <c r="N169" i="3" s="1"/>
  <c r="B169" i="3"/>
  <c r="T168" i="3"/>
  <c r="P168" i="3"/>
  <c r="H168" i="3"/>
  <c r="D168" i="3"/>
  <c r="L168" i="3" s="1"/>
  <c r="B168" i="3"/>
  <c r="T167" i="3"/>
  <c r="P167" i="3"/>
  <c r="X167" i="3" s="1"/>
  <c r="Z167" i="3" s="1"/>
  <c r="H167" i="3"/>
  <c r="D167" i="3"/>
  <c r="Z163" i="3"/>
  <c r="X163" i="3"/>
  <c r="L163" i="3"/>
  <c r="N163" i="3" s="1"/>
  <c r="B163" i="3"/>
  <c r="Z162" i="3"/>
  <c r="X162" i="3"/>
  <c r="L162" i="3"/>
  <c r="N162" i="3" s="1"/>
  <c r="B162" i="3"/>
  <c r="Z161" i="3"/>
  <c r="X161" i="3"/>
  <c r="N161" i="3"/>
  <c r="L161" i="3"/>
  <c r="B161" i="3"/>
  <c r="Z160" i="3"/>
  <c r="X160" i="3"/>
  <c r="L160" i="3"/>
  <c r="N160" i="3" s="1"/>
  <c r="B160" i="3"/>
  <c r="Z159" i="3"/>
  <c r="X159" i="3"/>
  <c r="L159" i="3"/>
  <c r="N159" i="3" s="1"/>
  <c r="B159" i="3"/>
  <c r="Z158" i="3"/>
  <c r="X158" i="3"/>
  <c r="N158" i="3"/>
  <c r="L158" i="3"/>
  <c r="B158" i="3"/>
  <c r="X157" i="3"/>
  <c r="Z157" i="3" s="1"/>
  <c r="L157" i="3"/>
  <c r="N157" i="3" s="1"/>
  <c r="B157" i="3"/>
  <c r="Z156" i="3"/>
  <c r="X156" i="3"/>
  <c r="L156" i="3"/>
  <c r="N156" i="3" s="1"/>
  <c r="B156" i="3"/>
  <c r="Z155" i="3"/>
  <c r="X155" i="3"/>
  <c r="L155" i="3"/>
  <c r="N155" i="3" s="1"/>
  <c r="B155" i="3"/>
  <c r="Z154" i="3"/>
  <c r="X154" i="3"/>
  <c r="L154" i="3"/>
  <c r="N154" i="3" s="1"/>
  <c r="B154" i="3"/>
  <c r="X153" i="3"/>
  <c r="Z153" i="3" s="1"/>
  <c r="L153" i="3"/>
  <c r="N153" i="3" s="1"/>
  <c r="B153" i="3"/>
  <c r="Z152" i="3"/>
  <c r="X152" i="3"/>
  <c r="L152" i="3"/>
  <c r="N152" i="3" s="1"/>
  <c r="B152" i="3"/>
  <c r="Z151" i="3"/>
  <c r="X151" i="3"/>
  <c r="L151" i="3"/>
  <c r="N151" i="3" s="1"/>
  <c r="B151" i="3"/>
  <c r="Z150" i="3"/>
  <c r="X150" i="3"/>
  <c r="L150" i="3"/>
  <c r="N150" i="3" s="1"/>
  <c r="B150" i="3"/>
  <c r="Z149" i="3"/>
  <c r="X149" i="3"/>
  <c r="N149" i="3"/>
  <c r="L149" i="3"/>
  <c r="B149" i="3"/>
  <c r="Z148" i="3"/>
  <c r="X148" i="3"/>
  <c r="L148" i="3"/>
  <c r="N148" i="3" s="1"/>
  <c r="B148" i="3"/>
  <c r="Z147" i="3"/>
  <c r="X147" i="3"/>
  <c r="L147" i="3"/>
  <c r="N147" i="3" s="1"/>
  <c r="B147" i="3"/>
  <c r="Z146" i="3"/>
  <c r="X146" i="3"/>
  <c r="N146" i="3"/>
  <c r="L146" i="3"/>
  <c r="B146" i="3"/>
  <c r="X145" i="3"/>
  <c r="Z145" i="3" s="1"/>
  <c r="L145" i="3"/>
  <c r="N145" i="3" s="1"/>
  <c r="B145" i="3"/>
  <c r="Z144" i="3"/>
  <c r="X144" i="3"/>
  <c r="L144" i="3"/>
  <c r="N144" i="3" s="1"/>
  <c r="B144" i="3"/>
  <c r="Z143" i="3"/>
  <c r="X143" i="3"/>
  <c r="L143" i="3"/>
  <c r="N143" i="3" s="1"/>
  <c r="B143" i="3"/>
  <c r="Z142" i="3"/>
  <c r="X142" i="3"/>
  <c r="L142" i="3"/>
  <c r="N142" i="3" s="1"/>
  <c r="B142" i="3"/>
  <c r="X141" i="3"/>
  <c r="Z141" i="3" s="1"/>
  <c r="L141" i="3"/>
  <c r="N141" i="3" s="1"/>
  <c r="B141" i="3"/>
  <c r="Z140" i="3"/>
  <c r="X140" i="3"/>
  <c r="L140" i="3"/>
  <c r="N140" i="3" s="1"/>
  <c r="B140" i="3"/>
  <c r="Z139" i="3"/>
  <c r="X139" i="3"/>
  <c r="L139" i="3"/>
  <c r="N139" i="3" s="1"/>
  <c r="B139" i="3"/>
  <c r="Z138" i="3"/>
  <c r="X138" i="3"/>
  <c r="L138" i="3"/>
  <c r="N138" i="3" s="1"/>
  <c r="B138" i="3"/>
  <c r="X137" i="3"/>
  <c r="Z137" i="3" s="1"/>
  <c r="L137" i="3"/>
  <c r="N137" i="3" s="1"/>
  <c r="B137" i="3"/>
  <c r="Z136" i="3"/>
  <c r="X136" i="3"/>
  <c r="L136" i="3"/>
  <c r="N136" i="3" s="1"/>
  <c r="B136" i="3"/>
  <c r="Z135" i="3"/>
  <c r="X135" i="3"/>
  <c r="L135" i="3"/>
  <c r="N135" i="3" s="1"/>
  <c r="B135" i="3"/>
  <c r="Z134" i="3"/>
  <c r="X134" i="3"/>
  <c r="L134" i="3"/>
  <c r="N134" i="3" s="1"/>
  <c r="B134" i="3"/>
  <c r="X133" i="3"/>
  <c r="Z133" i="3" s="1"/>
  <c r="L133" i="3"/>
  <c r="N133" i="3" s="1"/>
  <c r="B133" i="3"/>
  <c r="Z132" i="3"/>
  <c r="X132" i="3"/>
  <c r="L132" i="3"/>
  <c r="N132" i="3" s="1"/>
  <c r="B132" i="3"/>
  <c r="Z131" i="3"/>
  <c r="X131" i="3"/>
  <c r="N131" i="3"/>
  <c r="L131" i="3"/>
  <c r="B131" i="3"/>
  <c r="Z130" i="3"/>
  <c r="X130" i="3"/>
  <c r="N130" i="3"/>
  <c r="L130" i="3"/>
  <c r="B130" i="3"/>
  <c r="X129" i="3"/>
  <c r="Z129" i="3" s="1"/>
  <c r="L129" i="3"/>
  <c r="N129" i="3" s="1"/>
  <c r="B129" i="3"/>
  <c r="Z128" i="3"/>
  <c r="X128" i="3"/>
  <c r="N128" i="3"/>
  <c r="L128" i="3"/>
  <c r="B128" i="3"/>
  <c r="Z127" i="3"/>
  <c r="X127" i="3"/>
  <c r="L127" i="3"/>
  <c r="N127" i="3" s="1"/>
  <c r="B127" i="3"/>
  <c r="Z126" i="3"/>
  <c r="X126" i="3"/>
  <c r="L126" i="3"/>
  <c r="N126" i="3" s="1"/>
  <c r="B126" i="3"/>
  <c r="X125" i="3"/>
  <c r="Z125" i="3" s="1"/>
  <c r="L125" i="3"/>
  <c r="N125" i="3" s="1"/>
  <c r="B125" i="3"/>
  <c r="Z124" i="3"/>
  <c r="X124" i="3"/>
  <c r="L124" i="3"/>
  <c r="N124" i="3" s="1"/>
  <c r="B124" i="3"/>
  <c r="Z123" i="3"/>
  <c r="X123" i="3"/>
  <c r="L123" i="3"/>
  <c r="N123" i="3" s="1"/>
  <c r="B123" i="3"/>
  <c r="Z122" i="3"/>
  <c r="X122" i="3"/>
  <c r="L122" i="3"/>
  <c r="N122" i="3" s="1"/>
  <c r="B122" i="3"/>
  <c r="X121" i="3"/>
  <c r="Z121" i="3" s="1"/>
  <c r="L121" i="3"/>
  <c r="N121" i="3" s="1"/>
  <c r="B121" i="3"/>
  <c r="Z120" i="3"/>
  <c r="X120" i="3"/>
  <c r="L120" i="3"/>
  <c r="N120" i="3" s="1"/>
  <c r="B120" i="3"/>
  <c r="Z119" i="3"/>
  <c r="X119" i="3"/>
  <c r="L119" i="3"/>
  <c r="N119" i="3" s="1"/>
  <c r="B119" i="3"/>
  <c r="Z118" i="3"/>
  <c r="X118" i="3"/>
  <c r="L118" i="3"/>
  <c r="N118" i="3" s="1"/>
  <c r="B118" i="3"/>
  <c r="X117" i="3"/>
  <c r="Z117" i="3" s="1"/>
  <c r="L117" i="3"/>
  <c r="N117" i="3" s="1"/>
  <c r="B117" i="3"/>
  <c r="Z116" i="3"/>
  <c r="X116" i="3"/>
  <c r="L116" i="3"/>
  <c r="N116" i="3" s="1"/>
  <c r="B116" i="3"/>
  <c r="Z115" i="3"/>
  <c r="X115" i="3"/>
  <c r="L115" i="3"/>
  <c r="N115" i="3" s="1"/>
  <c r="B115" i="3"/>
  <c r="T114" i="3"/>
  <c r="P114" i="3"/>
  <c r="X114" i="3" s="1"/>
  <c r="H114" i="3"/>
  <c r="D114" i="3"/>
  <c r="L114" i="3" s="1"/>
  <c r="N114" i="3" s="1"/>
  <c r="T112" i="3"/>
  <c r="Z112" i="3" s="1"/>
  <c r="P112" i="3"/>
  <c r="X112" i="3" s="1"/>
  <c r="L112" i="3"/>
  <c r="H112" i="3"/>
  <c r="N112" i="3" s="1"/>
  <c r="D112" i="3"/>
  <c r="B112" i="3"/>
  <c r="T111" i="3"/>
  <c r="P111" i="3"/>
  <c r="X111" i="3" s="1"/>
  <c r="H111" i="3"/>
  <c r="D111" i="3"/>
  <c r="B111" i="3"/>
  <c r="T110" i="3"/>
  <c r="X110" i="3" s="1"/>
  <c r="Z110" i="3" s="1"/>
  <c r="P110" i="3"/>
  <c r="H110" i="3"/>
  <c r="D110" i="3"/>
  <c r="B110" i="3"/>
  <c r="T109" i="3"/>
  <c r="Z109" i="3" s="1"/>
  <c r="P109" i="3"/>
  <c r="X109" i="3" s="1"/>
  <c r="L109" i="3"/>
  <c r="N109" i="3" s="1"/>
  <c r="H109" i="3"/>
  <c r="D109" i="3"/>
  <c r="B109" i="3"/>
  <c r="T108" i="3"/>
  <c r="P108" i="3"/>
  <c r="X108" i="3" s="1"/>
  <c r="L108" i="3"/>
  <c r="H108" i="3"/>
  <c r="N108" i="3" s="1"/>
  <c r="D108" i="3"/>
  <c r="B108" i="3"/>
  <c r="T107" i="3"/>
  <c r="Z107" i="3" s="1"/>
  <c r="P107" i="3"/>
  <c r="X107" i="3" s="1"/>
  <c r="H107" i="3"/>
  <c r="D107" i="3"/>
  <c r="B107" i="3"/>
  <c r="T106" i="3"/>
  <c r="X106" i="3" s="1"/>
  <c r="Z106" i="3" s="1"/>
  <c r="P106" i="3"/>
  <c r="H106" i="3"/>
  <c r="D106" i="3"/>
  <c r="B106" i="3"/>
  <c r="T105" i="3"/>
  <c r="Z105" i="3" s="1"/>
  <c r="P105" i="3"/>
  <c r="X105" i="3" s="1"/>
  <c r="L105" i="3"/>
  <c r="N105" i="3" s="1"/>
  <c r="H105" i="3"/>
  <c r="D105" i="3"/>
  <c r="B105" i="3"/>
  <c r="T104" i="3"/>
  <c r="Z104" i="3" s="1"/>
  <c r="P104" i="3"/>
  <c r="X104" i="3" s="1"/>
  <c r="L104" i="3"/>
  <c r="H104" i="3"/>
  <c r="N104" i="3" s="1"/>
  <c r="D104" i="3"/>
  <c r="B104" i="3"/>
  <c r="T103" i="3"/>
  <c r="Z103" i="3" s="1"/>
  <c r="P103" i="3"/>
  <c r="X103" i="3" s="1"/>
  <c r="H103" i="3"/>
  <c r="D103" i="3"/>
  <c r="B103" i="3"/>
  <c r="T102" i="3"/>
  <c r="X102" i="3" s="1"/>
  <c r="Z102" i="3" s="1"/>
  <c r="P102" i="3"/>
  <c r="H102" i="3"/>
  <c r="D102" i="3"/>
  <c r="B102" i="3"/>
  <c r="T101" i="3"/>
  <c r="P101" i="3"/>
  <c r="X101" i="3" s="1"/>
  <c r="L101" i="3"/>
  <c r="N101" i="3" s="1"/>
  <c r="H101" i="3"/>
  <c r="D101" i="3"/>
  <c r="B101" i="3"/>
  <c r="T100" i="3"/>
  <c r="P100" i="3"/>
  <c r="X100" i="3" s="1"/>
  <c r="L100" i="3"/>
  <c r="H100" i="3"/>
  <c r="N100" i="3" s="1"/>
  <c r="D100" i="3"/>
  <c r="B100" i="3"/>
  <c r="T99" i="3"/>
  <c r="P99" i="3"/>
  <c r="X99" i="3" s="1"/>
  <c r="H99" i="3"/>
  <c r="D99" i="3"/>
  <c r="B99" i="3"/>
  <c r="T98" i="3"/>
  <c r="X98" i="3" s="1"/>
  <c r="Z98" i="3" s="1"/>
  <c r="P98" i="3"/>
  <c r="H98" i="3"/>
  <c r="D98" i="3"/>
  <c r="B98" i="3"/>
  <c r="T97" i="3"/>
  <c r="P97" i="3"/>
  <c r="X97" i="3" s="1"/>
  <c r="L97" i="3"/>
  <c r="N97" i="3" s="1"/>
  <c r="H97" i="3"/>
  <c r="D97" i="3"/>
  <c r="B97" i="3"/>
  <c r="T96" i="3"/>
  <c r="Z96" i="3" s="1"/>
  <c r="P96" i="3"/>
  <c r="X96" i="3" s="1"/>
  <c r="L96" i="3"/>
  <c r="H96" i="3"/>
  <c r="N96" i="3" s="1"/>
  <c r="D96" i="3"/>
  <c r="B96" i="3"/>
  <c r="T95" i="3"/>
  <c r="P95" i="3"/>
  <c r="X95" i="3" s="1"/>
  <c r="H95" i="3"/>
  <c r="D95" i="3"/>
  <c r="B95" i="3"/>
  <c r="T94" i="3"/>
  <c r="P94" i="3"/>
  <c r="X94" i="3" s="1"/>
  <c r="Z94" i="3" s="1"/>
  <c r="H94" i="3"/>
  <c r="D94" i="3"/>
  <c r="B94" i="3"/>
  <c r="T93" i="3"/>
  <c r="P93" i="3"/>
  <c r="X93" i="3" s="1"/>
  <c r="L93" i="3"/>
  <c r="H93" i="3"/>
  <c r="N93" i="3" s="1"/>
  <c r="D93" i="3"/>
  <c r="B93" i="3"/>
  <c r="T92" i="3"/>
  <c r="Z92" i="3" s="1"/>
  <c r="P92" i="3"/>
  <c r="X92" i="3" s="1"/>
  <c r="L92" i="3"/>
  <c r="H92" i="3"/>
  <c r="N92" i="3" s="1"/>
  <c r="D92" i="3"/>
  <c r="B92" i="3"/>
  <c r="T91" i="3"/>
  <c r="P91" i="3"/>
  <c r="X91" i="3" s="1"/>
  <c r="H91" i="3"/>
  <c r="D91" i="3"/>
  <c r="B91" i="3"/>
  <c r="T90" i="3"/>
  <c r="P90" i="3"/>
  <c r="X90" i="3" s="1"/>
  <c r="Z90" i="3" s="1"/>
  <c r="H90" i="3"/>
  <c r="D90" i="3"/>
  <c r="B90" i="3"/>
  <c r="T89" i="3"/>
  <c r="P89" i="3"/>
  <c r="X89" i="3" s="1"/>
  <c r="L89" i="3"/>
  <c r="H89" i="3"/>
  <c r="N89" i="3" s="1"/>
  <c r="D89" i="3"/>
  <c r="B89" i="3"/>
  <c r="T88" i="3"/>
  <c r="P88" i="3"/>
  <c r="X88" i="3" s="1"/>
  <c r="L88" i="3"/>
  <c r="H88" i="3"/>
  <c r="N88" i="3" s="1"/>
  <c r="D88" i="3"/>
  <c r="B88" i="3"/>
  <c r="T87" i="3"/>
  <c r="P87" i="3"/>
  <c r="X87" i="3" s="1"/>
  <c r="H87" i="3"/>
  <c r="D87" i="3"/>
  <c r="B87" i="3"/>
  <c r="T86" i="3"/>
  <c r="P86" i="3"/>
  <c r="X86" i="3" s="1"/>
  <c r="Z86" i="3" s="1"/>
  <c r="H86" i="3"/>
  <c r="D86" i="3"/>
  <c r="B86" i="3"/>
  <c r="T85" i="3"/>
  <c r="Z85" i="3" s="1"/>
  <c r="P85" i="3"/>
  <c r="X85" i="3" s="1"/>
  <c r="L85" i="3"/>
  <c r="H85" i="3"/>
  <c r="N85" i="3" s="1"/>
  <c r="D85" i="3"/>
  <c r="B85" i="3"/>
  <c r="T84" i="3"/>
  <c r="P84" i="3"/>
  <c r="X84" i="3" s="1"/>
  <c r="L84" i="3"/>
  <c r="H84" i="3"/>
  <c r="N84" i="3" s="1"/>
  <c r="D84" i="3"/>
  <c r="B84" i="3"/>
  <c r="T83" i="3"/>
  <c r="Z83" i="3" s="1"/>
  <c r="P83" i="3"/>
  <c r="X83" i="3" s="1"/>
  <c r="H83" i="3"/>
  <c r="D83" i="3"/>
  <c r="B83" i="3"/>
  <c r="T82" i="3"/>
  <c r="Z82" i="3" s="1"/>
  <c r="P82" i="3"/>
  <c r="X82" i="3" s="1"/>
  <c r="H82" i="3"/>
  <c r="D82" i="3"/>
  <c r="B82" i="3"/>
  <c r="T81" i="3"/>
  <c r="Z81" i="3" s="1"/>
  <c r="P81" i="3"/>
  <c r="X81" i="3" s="1"/>
  <c r="L81" i="3"/>
  <c r="H81" i="3"/>
  <c r="N81" i="3" s="1"/>
  <c r="D81" i="3"/>
  <c r="B81" i="3"/>
  <c r="T80" i="3"/>
  <c r="P80" i="3"/>
  <c r="X80" i="3" s="1"/>
  <c r="L80" i="3"/>
  <c r="H80" i="3"/>
  <c r="N80" i="3" s="1"/>
  <c r="D80" i="3"/>
  <c r="B80" i="3"/>
  <c r="T79" i="3"/>
  <c r="Z79" i="3" s="1"/>
  <c r="P79" i="3"/>
  <c r="X79" i="3" s="1"/>
  <c r="H79" i="3"/>
  <c r="D79" i="3"/>
  <c r="B79" i="3"/>
  <c r="T78" i="3"/>
  <c r="Z78" i="3" s="1"/>
  <c r="P78" i="3"/>
  <c r="X78" i="3" s="1"/>
  <c r="H78" i="3"/>
  <c r="D78" i="3"/>
  <c r="B78" i="3"/>
  <c r="T77" i="3"/>
  <c r="P77" i="3"/>
  <c r="X77" i="3" s="1"/>
  <c r="L77" i="3"/>
  <c r="H77" i="3"/>
  <c r="N77" i="3" s="1"/>
  <c r="D77" i="3"/>
  <c r="B77" i="3"/>
  <c r="T76" i="3"/>
  <c r="P76" i="3"/>
  <c r="X76" i="3" s="1"/>
  <c r="L76" i="3"/>
  <c r="H76" i="3"/>
  <c r="N76" i="3" s="1"/>
  <c r="D76" i="3"/>
  <c r="B76" i="3"/>
  <c r="T75" i="3"/>
  <c r="P75" i="3"/>
  <c r="X75" i="3" s="1"/>
  <c r="H75" i="3"/>
  <c r="D75" i="3"/>
  <c r="B75" i="3"/>
  <c r="T74" i="3"/>
  <c r="Z74" i="3" s="1"/>
  <c r="P74" i="3"/>
  <c r="X74" i="3" s="1"/>
  <c r="L74" i="3"/>
  <c r="H74" i="3"/>
  <c r="N74" i="3" s="1"/>
  <c r="D74" i="3"/>
  <c r="B74" i="3"/>
  <c r="T73" i="3"/>
  <c r="P73" i="3"/>
  <c r="X73" i="3" s="1"/>
  <c r="L73" i="3"/>
  <c r="H73" i="3"/>
  <c r="N73" i="3" s="1"/>
  <c r="D73" i="3"/>
  <c r="B73" i="3"/>
  <c r="T72" i="3"/>
  <c r="Z72" i="3" s="1"/>
  <c r="P72" i="3"/>
  <c r="X72" i="3" s="1"/>
  <c r="L72" i="3"/>
  <c r="H72" i="3"/>
  <c r="N72" i="3" s="1"/>
  <c r="D72" i="3"/>
  <c r="B72" i="3"/>
  <c r="T71" i="3"/>
  <c r="P71" i="3"/>
  <c r="X71" i="3" s="1"/>
  <c r="H71" i="3"/>
  <c r="D71" i="3"/>
  <c r="B71" i="3"/>
  <c r="T70" i="3"/>
  <c r="P70" i="3"/>
  <c r="X70" i="3" s="1"/>
  <c r="H70" i="3"/>
  <c r="D70" i="3"/>
  <c r="B70" i="3"/>
  <c r="T69" i="3"/>
  <c r="Z69" i="3" s="1"/>
  <c r="P69" i="3"/>
  <c r="X69" i="3" s="1"/>
  <c r="L69" i="3"/>
  <c r="H69" i="3"/>
  <c r="N69" i="3" s="1"/>
  <c r="D69" i="3"/>
  <c r="B69" i="3"/>
  <c r="T68" i="3"/>
  <c r="P68" i="3"/>
  <c r="X68" i="3" s="1"/>
  <c r="L68" i="3"/>
  <c r="H68" i="3"/>
  <c r="N68" i="3" s="1"/>
  <c r="D68" i="3"/>
  <c r="B68" i="3"/>
  <c r="T67" i="3"/>
  <c r="Z67" i="3" s="1"/>
  <c r="P67" i="3"/>
  <c r="X67" i="3" s="1"/>
  <c r="H67" i="3"/>
  <c r="D67" i="3"/>
  <c r="B67" i="3"/>
  <c r="T66" i="3"/>
  <c r="P66" i="3"/>
  <c r="X66" i="3" s="1"/>
  <c r="L66" i="3"/>
  <c r="H66" i="3"/>
  <c r="N66" i="3" s="1"/>
  <c r="D66" i="3"/>
  <c r="B66" i="3"/>
  <c r="T65" i="3"/>
  <c r="P65" i="3"/>
  <c r="X65" i="3" s="1"/>
  <c r="L65" i="3"/>
  <c r="H65" i="3"/>
  <c r="N65" i="3" s="1"/>
  <c r="D65" i="3"/>
  <c r="B65" i="3"/>
  <c r="T64" i="3"/>
  <c r="P64" i="3"/>
  <c r="X64" i="3" s="1"/>
  <c r="L64" i="3"/>
  <c r="H64" i="3"/>
  <c r="N64" i="3" s="1"/>
  <c r="D64" i="3"/>
  <c r="B64" i="3"/>
  <c r="T63" i="3"/>
  <c r="P63" i="3"/>
  <c r="X63" i="3" s="1"/>
  <c r="H63" i="3"/>
  <c r="D63" i="3"/>
  <c r="B63" i="3"/>
  <c r="T62" i="3"/>
  <c r="P62" i="3"/>
  <c r="X62" i="3" s="1"/>
  <c r="L62" i="3"/>
  <c r="H62" i="3"/>
  <c r="N62" i="3" s="1"/>
  <c r="D62" i="3"/>
  <c r="B62" i="3"/>
  <c r="T61" i="3"/>
  <c r="Z61" i="3" s="1"/>
  <c r="P61" i="3"/>
  <c r="X61" i="3" s="1"/>
  <c r="L61" i="3"/>
  <c r="H61" i="3"/>
  <c r="N61" i="3" s="1"/>
  <c r="D61" i="3"/>
  <c r="B61" i="3"/>
  <c r="T60" i="3"/>
  <c r="P60" i="3"/>
  <c r="X60" i="3" s="1"/>
  <c r="L60" i="3"/>
  <c r="H60" i="3"/>
  <c r="N60" i="3" s="1"/>
  <c r="D60" i="3"/>
  <c r="B60" i="3"/>
  <c r="T59" i="3"/>
  <c r="Z59" i="3" s="1"/>
  <c r="P59" i="3"/>
  <c r="X59" i="3" s="1"/>
  <c r="H59" i="3"/>
  <c r="D59" i="3"/>
  <c r="B59" i="3"/>
  <c r="T58" i="3"/>
  <c r="Z58" i="3" s="1"/>
  <c r="P58" i="3"/>
  <c r="X58" i="3" s="1"/>
  <c r="L58" i="3"/>
  <c r="H58" i="3"/>
  <c r="N58" i="3" s="1"/>
  <c r="D58" i="3"/>
  <c r="B58" i="3"/>
  <c r="T57" i="3"/>
  <c r="P57" i="3"/>
  <c r="X57" i="3" s="1"/>
  <c r="L57" i="3"/>
  <c r="H57" i="3"/>
  <c r="N57" i="3" s="1"/>
  <c r="D57" i="3"/>
  <c r="B57" i="3"/>
  <c r="T56" i="3"/>
  <c r="Z56" i="3" s="1"/>
  <c r="P56" i="3"/>
  <c r="X56" i="3" s="1"/>
  <c r="L56" i="3"/>
  <c r="H56" i="3"/>
  <c r="N56" i="3" s="1"/>
  <c r="D56" i="3"/>
  <c r="B56" i="3"/>
  <c r="T55" i="3"/>
  <c r="P55" i="3"/>
  <c r="X55" i="3" s="1"/>
  <c r="H55" i="3"/>
  <c r="D55" i="3"/>
  <c r="B55" i="3"/>
  <c r="T54" i="3"/>
  <c r="P54" i="3"/>
  <c r="X54" i="3" s="1"/>
  <c r="L54" i="3"/>
  <c r="H54" i="3"/>
  <c r="N54" i="3" s="1"/>
  <c r="D54" i="3"/>
  <c r="B54" i="3"/>
  <c r="T53" i="3"/>
  <c r="Z53" i="3" s="1"/>
  <c r="P53" i="3"/>
  <c r="X53" i="3" s="1"/>
  <c r="L53" i="3"/>
  <c r="H53" i="3"/>
  <c r="N53" i="3" s="1"/>
  <c r="D53" i="3"/>
  <c r="B53" i="3"/>
  <c r="T52" i="3"/>
  <c r="P52" i="3"/>
  <c r="X52" i="3" s="1"/>
  <c r="L52" i="3"/>
  <c r="H52" i="3"/>
  <c r="N52" i="3" s="1"/>
  <c r="D52" i="3"/>
  <c r="B52" i="3"/>
  <c r="T51" i="3"/>
  <c r="P51" i="3"/>
  <c r="X51" i="3" s="1"/>
  <c r="H51" i="3"/>
  <c r="D51" i="3"/>
  <c r="B51" i="3"/>
  <c r="T50" i="3"/>
  <c r="P50" i="3"/>
  <c r="L50" i="3"/>
  <c r="H50" i="3"/>
  <c r="N50" i="3" s="1"/>
  <c r="D50" i="3"/>
  <c r="B50" i="3"/>
  <c r="T49" i="3"/>
  <c r="P49" i="3"/>
  <c r="X49" i="3" s="1"/>
  <c r="L49" i="3"/>
  <c r="H49" i="3"/>
  <c r="N49" i="3" s="1"/>
  <c r="D49" i="3"/>
  <c r="B49" i="3"/>
  <c r="T48" i="3"/>
  <c r="P48" i="3"/>
  <c r="X48" i="3" s="1"/>
  <c r="L48" i="3"/>
  <c r="H48" i="3"/>
  <c r="N48" i="3" s="1"/>
  <c r="D48" i="3"/>
  <c r="B48" i="3"/>
  <c r="T47" i="3"/>
  <c r="P47" i="3"/>
  <c r="X47" i="3" s="1"/>
  <c r="H47" i="3"/>
  <c r="L47" i="3" s="1"/>
  <c r="D47" i="3"/>
  <c r="B47" i="3"/>
  <c r="T46" i="3"/>
  <c r="P46" i="3"/>
  <c r="L46" i="3"/>
  <c r="H46" i="3"/>
  <c r="N46" i="3" s="1"/>
  <c r="D46" i="3"/>
  <c r="B46" i="3"/>
  <c r="T45" i="3"/>
  <c r="P45" i="3"/>
  <c r="X45" i="3" s="1"/>
  <c r="L45" i="3"/>
  <c r="N45" i="3" s="1"/>
  <c r="H45" i="3"/>
  <c r="D45" i="3"/>
  <c r="B45" i="3"/>
  <c r="T44" i="3"/>
  <c r="P44" i="3"/>
  <c r="X44" i="3" s="1"/>
  <c r="L44" i="3"/>
  <c r="H44" i="3"/>
  <c r="N44" i="3" s="1"/>
  <c r="D44" i="3"/>
  <c r="B44" i="3"/>
  <c r="T43" i="3"/>
  <c r="P43" i="3"/>
  <c r="X43" i="3" s="1"/>
  <c r="H43" i="3"/>
  <c r="D43" i="3"/>
  <c r="B43" i="3"/>
  <c r="T42" i="3"/>
  <c r="P42" i="3"/>
  <c r="L42" i="3"/>
  <c r="H42" i="3"/>
  <c r="N42" i="3" s="1"/>
  <c r="D42" i="3"/>
  <c r="B42" i="3"/>
  <c r="T41" i="3"/>
  <c r="P41" i="3"/>
  <c r="X41" i="3" s="1"/>
  <c r="L41" i="3"/>
  <c r="N41" i="3" s="1"/>
  <c r="H41" i="3"/>
  <c r="D41" i="3"/>
  <c r="B41" i="3"/>
  <c r="T40" i="3"/>
  <c r="P40" i="3"/>
  <c r="X40" i="3" s="1"/>
  <c r="L40" i="3"/>
  <c r="H40" i="3"/>
  <c r="N40" i="3" s="1"/>
  <c r="D40" i="3"/>
  <c r="B40" i="3"/>
  <c r="T39" i="3"/>
  <c r="Z39" i="3" s="1"/>
  <c r="P39" i="3"/>
  <c r="X39" i="3" s="1"/>
  <c r="H39" i="3"/>
  <c r="L39" i="3" s="1"/>
  <c r="D39" i="3"/>
  <c r="B39" i="3"/>
  <c r="T38" i="3"/>
  <c r="P38" i="3"/>
  <c r="L38" i="3"/>
  <c r="H38" i="3"/>
  <c r="N38" i="3" s="1"/>
  <c r="D38" i="3"/>
  <c r="B38" i="3"/>
  <c r="T37" i="3"/>
  <c r="P37" i="3"/>
  <c r="X37" i="3" s="1"/>
  <c r="L37" i="3"/>
  <c r="N37" i="3" s="1"/>
  <c r="H37" i="3"/>
  <c r="D37" i="3"/>
  <c r="B37" i="3"/>
  <c r="T36" i="3"/>
  <c r="Z36" i="3" s="1"/>
  <c r="P36" i="3"/>
  <c r="X36" i="3" s="1"/>
  <c r="L36" i="3"/>
  <c r="H36" i="3"/>
  <c r="N36" i="3" s="1"/>
  <c r="D36" i="3"/>
  <c r="B36" i="3"/>
  <c r="T35" i="3"/>
  <c r="P35" i="3"/>
  <c r="X35" i="3" s="1"/>
  <c r="H35" i="3"/>
  <c r="D35" i="3"/>
  <c r="B35" i="3"/>
  <c r="T34" i="3"/>
  <c r="P34" i="3"/>
  <c r="L34" i="3"/>
  <c r="H34" i="3"/>
  <c r="N34" i="3" s="1"/>
  <c r="D34" i="3"/>
  <c r="B34" i="3"/>
  <c r="T33" i="3"/>
  <c r="P33" i="3"/>
  <c r="X33" i="3" s="1"/>
  <c r="L33" i="3"/>
  <c r="N33" i="3" s="1"/>
  <c r="H33" i="3"/>
  <c r="D33" i="3"/>
  <c r="B33" i="3"/>
  <c r="T32" i="3"/>
  <c r="P32" i="3"/>
  <c r="X32" i="3" s="1"/>
  <c r="L32" i="3"/>
  <c r="H32" i="3"/>
  <c r="N32" i="3" s="1"/>
  <c r="D32" i="3"/>
  <c r="B32" i="3"/>
  <c r="T31" i="3"/>
  <c r="P31" i="3"/>
  <c r="X31" i="3" s="1"/>
  <c r="H31" i="3"/>
  <c r="L31" i="3" s="1"/>
  <c r="D31" i="3"/>
  <c r="B31" i="3"/>
  <c r="T30" i="3"/>
  <c r="Z30" i="3" s="1"/>
  <c r="P30" i="3"/>
  <c r="X30" i="3" s="1"/>
  <c r="L30" i="3"/>
  <c r="H30" i="3"/>
  <c r="N30" i="3" s="1"/>
  <c r="D30" i="3"/>
  <c r="B30" i="3"/>
  <c r="T29" i="3"/>
  <c r="P29" i="3"/>
  <c r="X29" i="3" s="1"/>
  <c r="L29" i="3"/>
  <c r="N29" i="3" s="1"/>
  <c r="H29" i="3"/>
  <c r="D29" i="3"/>
  <c r="B29" i="3"/>
  <c r="T28" i="3"/>
  <c r="Z28" i="3" s="1"/>
  <c r="P28" i="3"/>
  <c r="X28" i="3" s="1"/>
  <c r="L28" i="3"/>
  <c r="H28" i="3"/>
  <c r="N28" i="3" s="1"/>
  <c r="D28" i="3"/>
  <c r="B28" i="3"/>
  <c r="T27" i="3"/>
  <c r="P27" i="3"/>
  <c r="X27" i="3" s="1"/>
  <c r="H27" i="3"/>
  <c r="D27" i="3"/>
  <c r="B27" i="3"/>
  <c r="T26" i="3"/>
  <c r="P26" i="3"/>
  <c r="L26" i="3"/>
  <c r="H26" i="3"/>
  <c r="N26" i="3" s="1"/>
  <c r="D26" i="3"/>
  <c r="B26" i="3"/>
  <c r="T25" i="3"/>
  <c r="P25" i="3"/>
  <c r="X25" i="3" s="1"/>
  <c r="L25" i="3"/>
  <c r="N25" i="3" s="1"/>
  <c r="H25" i="3"/>
  <c r="D25" i="3"/>
  <c r="B25" i="3"/>
  <c r="T24" i="3"/>
  <c r="P24" i="3"/>
  <c r="X24" i="3" s="1"/>
  <c r="L24" i="3"/>
  <c r="H24" i="3"/>
  <c r="N24" i="3" s="1"/>
  <c r="D24" i="3"/>
  <c r="B24" i="3"/>
  <c r="T23" i="3"/>
  <c r="P23" i="3"/>
  <c r="X23" i="3" s="1"/>
  <c r="H23" i="3"/>
  <c r="L23" i="3" s="1"/>
  <c r="D23" i="3"/>
  <c r="B23" i="3"/>
  <c r="T22" i="3"/>
  <c r="P22" i="3"/>
  <c r="L22" i="3"/>
  <c r="H22" i="3"/>
  <c r="N22" i="3" s="1"/>
  <c r="D22" i="3"/>
  <c r="B22" i="3"/>
  <c r="T21" i="3"/>
  <c r="P21" i="3"/>
  <c r="X21" i="3" s="1"/>
  <c r="L21" i="3"/>
  <c r="N21" i="3" s="1"/>
  <c r="H21" i="3"/>
  <c r="D21" i="3"/>
  <c r="B21" i="3"/>
  <c r="T20" i="3"/>
  <c r="Z20" i="3" s="1"/>
  <c r="P20" i="3"/>
  <c r="X20" i="3" s="1"/>
  <c r="L20" i="3"/>
  <c r="H20" i="3"/>
  <c r="N20" i="3" s="1"/>
  <c r="D20" i="3"/>
  <c r="B20" i="3"/>
  <c r="T19" i="3"/>
  <c r="P19" i="3"/>
  <c r="X19" i="3" s="1"/>
  <c r="H19" i="3"/>
  <c r="L19" i="3" s="1"/>
  <c r="D19" i="3"/>
  <c r="B19" i="3"/>
  <c r="T18" i="3"/>
  <c r="P18" i="3"/>
  <c r="L18" i="3"/>
  <c r="H18" i="3"/>
  <c r="N18" i="3" s="1"/>
  <c r="D18" i="3"/>
  <c r="B18" i="3"/>
  <c r="T17" i="3"/>
  <c r="Z17" i="3" s="1"/>
  <c r="P17" i="3"/>
  <c r="X17" i="3" s="1"/>
  <c r="L17" i="3"/>
  <c r="N17" i="3" s="1"/>
  <c r="H17" i="3"/>
  <c r="D17" i="3"/>
  <c r="B17" i="3"/>
  <c r="T16" i="3"/>
  <c r="Z16" i="3" s="1"/>
  <c r="P16" i="3"/>
  <c r="X16" i="3" s="1"/>
  <c r="L16" i="3"/>
  <c r="H16" i="3"/>
  <c r="N16" i="3" s="1"/>
  <c r="D16" i="3"/>
  <c r="B16" i="3"/>
  <c r="T15" i="3"/>
  <c r="P15" i="3"/>
  <c r="X15" i="3" s="1"/>
  <c r="H15" i="3"/>
  <c r="H12" i="3" s="1"/>
  <c r="D15" i="3"/>
  <c r="B15" i="3"/>
  <c r="T14" i="3"/>
  <c r="P14" i="3"/>
  <c r="L14" i="3"/>
  <c r="H14" i="3"/>
  <c r="N14" i="3" s="1"/>
  <c r="D14" i="3"/>
  <c r="B14" i="3"/>
  <c r="T13" i="3"/>
  <c r="T12" i="3" s="1"/>
  <c r="P13" i="3"/>
  <c r="X13" i="3" s="1"/>
  <c r="L13" i="3"/>
  <c r="N13" i="3" s="1"/>
  <c r="H13" i="3"/>
  <c r="D13" i="3"/>
  <c r="B13" i="3"/>
  <c r="P12" i="3"/>
  <c r="R222" i="3" s="1"/>
  <c r="D12" i="3"/>
  <c r="F231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16" i="113"/>
  <c r="P22" i="112"/>
  <c r="T13" i="112"/>
  <c r="H25" i="113"/>
  <c r="P13" i="112"/>
  <c r="P29" i="111"/>
  <c r="H34" i="113"/>
  <c r="P15" i="113"/>
  <c r="P21" i="112"/>
  <c r="H12" i="112"/>
  <c r="T20" i="112"/>
  <c r="H33" i="113"/>
  <c r="P25" i="111"/>
  <c r="D12" i="113"/>
  <c r="T24" i="111"/>
  <c r="D6" i="113"/>
  <c r="P34" i="111"/>
  <c r="P20" i="113"/>
  <c r="T16" i="112"/>
  <c r="T22" i="111"/>
  <c r="H29" i="113"/>
  <c r="T15" i="112"/>
  <c r="P33" i="111"/>
  <c r="T21" i="111"/>
  <c r="P24" i="112"/>
  <c r="P12" i="111"/>
  <c r="H34" i="53"/>
  <c r="H33" i="53"/>
  <c r="H29" i="53"/>
  <c r="H25" i="53"/>
  <c r="P15" i="53"/>
  <c r="D5" i="53"/>
  <c r="B39" i="53"/>
  <c r="H24" i="53"/>
  <c r="H22" i="53"/>
  <c r="H13" i="53"/>
  <c r="D4" i="53"/>
  <c r="H34" i="52"/>
  <c r="H33" i="52"/>
  <c r="B38" i="53"/>
  <c r="D34" i="53"/>
  <c r="D33" i="53"/>
  <c r="D29" i="53"/>
  <c r="D25" i="53"/>
  <c r="H21" i="53"/>
  <c r="D13" i="53"/>
  <c r="B39" i="52"/>
  <c r="B25" i="53"/>
  <c r="D24" i="53"/>
  <c r="D22" i="53"/>
  <c r="H20" i="53"/>
  <c r="H16" i="53"/>
  <c r="B13" i="53"/>
  <c r="B38" i="52"/>
  <c r="D34" i="52"/>
  <c r="D33" i="52"/>
  <c r="B21" i="53"/>
  <c r="D20" i="53"/>
  <c r="D16" i="53"/>
  <c r="P34" i="53"/>
  <c r="P33" i="53"/>
  <c r="P29" i="53"/>
  <c r="P25" i="53"/>
  <c r="T21" i="53"/>
  <c r="D21" i="53"/>
  <c r="H15" i="53"/>
  <c r="T24" i="52"/>
  <c r="T22" i="52"/>
  <c r="P12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P24" i="47"/>
  <c r="P22" i="47"/>
  <c r="T20" i="47"/>
  <c r="T16" i="47"/>
  <c r="T13" i="47"/>
  <c r="T33" i="53"/>
  <c r="T29" i="53"/>
  <c r="T25" i="53"/>
  <c r="D15" i="53"/>
  <c r="P29" i="52"/>
  <c r="P25" i="52"/>
  <c r="T21" i="52"/>
  <c r="B22" i="50"/>
  <c r="D21" i="50"/>
  <c r="H15" i="50"/>
  <c r="B25" i="49"/>
  <c r="D24" i="49"/>
  <c r="D22" i="49"/>
  <c r="H20" i="49"/>
  <c r="H16" i="49"/>
  <c r="B13" i="49"/>
  <c r="T22" i="53"/>
  <c r="T33" i="52"/>
  <c r="P24" i="52"/>
  <c r="P22" i="52"/>
  <c r="T20" i="52"/>
  <c r="T16" i="52"/>
  <c r="T13" i="52"/>
  <c r="B21" i="50"/>
  <c r="D20" i="50"/>
  <c r="D16" i="50"/>
  <c r="P22" i="53"/>
  <c r="T20" i="53"/>
  <c r="T16" i="53"/>
  <c r="T13" i="53"/>
  <c r="P21" i="52"/>
  <c r="T15" i="52"/>
  <c r="P13" i="52"/>
  <c r="H12" i="52"/>
  <c r="T34" i="50"/>
  <c r="T33" i="50"/>
  <c r="T29" i="50"/>
  <c r="T25" i="50"/>
  <c r="B16" i="50"/>
  <c r="D15" i="50"/>
  <c r="T12" i="50"/>
  <c r="B21" i="49"/>
  <c r="D20" i="49"/>
  <c r="D16" i="49"/>
  <c r="H34" i="47"/>
  <c r="H33" i="47"/>
  <c r="H29" i="47"/>
  <c r="P13" i="53"/>
  <c r="P33" i="52"/>
  <c r="P20" i="52"/>
  <c r="P16" i="52"/>
  <c r="D12" i="52"/>
  <c r="T24" i="50"/>
  <c r="T22" i="50"/>
  <c r="P12" i="50"/>
  <c r="T34" i="49"/>
  <c r="T33" i="49"/>
  <c r="T29" i="49"/>
  <c r="T25" i="49"/>
  <c r="B16" i="49"/>
  <c r="D15" i="49"/>
  <c r="T12" i="49"/>
  <c r="B39" i="47"/>
  <c r="H24" i="47"/>
  <c r="H22" i="47"/>
  <c r="P20" i="53"/>
  <c r="P16" i="53"/>
  <c r="H29" i="52"/>
  <c r="H25" i="52"/>
  <c r="P15" i="52"/>
  <c r="D5" i="52"/>
  <c r="P34" i="50"/>
  <c r="P33" i="50"/>
  <c r="P29" i="50"/>
  <c r="P25" i="50"/>
  <c r="T21" i="50"/>
  <c r="T24" i="49"/>
  <c r="T22" i="49"/>
  <c r="P12" i="49"/>
  <c r="B38" i="47"/>
  <c r="D34" i="47"/>
  <c r="D33" i="47"/>
  <c r="D29" i="47"/>
  <c r="D25" i="47"/>
  <c r="H21" i="47"/>
  <c r="B22" i="53"/>
  <c r="H24" i="52"/>
  <c r="H22" i="52"/>
  <c r="H13" i="52"/>
  <c r="D4" i="52"/>
  <c r="P24" i="50"/>
  <c r="P22" i="50"/>
  <c r="T20" i="50"/>
  <c r="T16" i="50"/>
  <c r="T13" i="50"/>
  <c r="P34" i="49"/>
  <c r="P33" i="49"/>
  <c r="P29" i="49"/>
  <c r="P25" i="49"/>
  <c r="T21" i="49"/>
  <c r="B25" i="47"/>
  <c r="D24" i="47"/>
  <c r="D22" i="47"/>
  <c r="H20" i="47"/>
  <c r="H16" i="47"/>
  <c r="T24" i="53"/>
  <c r="P12" i="53"/>
  <c r="T34" i="52"/>
  <c r="B25" i="52"/>
  <c r="D24" i="52"/>
  <c r="D22" i="52"/>
  <c r="H20" i="52"/>
  <c r="H16" i="52"/>
  <c r="B13" i="52"/>
  <c r="P20" i="50"/>
  <c r="P16" i="50"/>
  <c r="D12" i="50"/>
  <c r="P21" i="49"/>
  <c r="T15" i="49"/>
  <c r="P13" i="49"/>
  <c r="H12" i="49"/>
  <c r="B21" i="47"/>
  <c r="D20" i="47"/>
  <c r="P24" i="53"/>
  <c r="B22" i="52"/>
  <c r="P21" i="50"/>
  <c r="H12" i="50"/>
  <c r="H34" i="49"/>
  <c r="H22" i="49"/>
  <c r="P15" i="49"/>
  <c r="T22" i="47"/>
  <c r="D21" i="47"/>
  <c r="D12" i="47"/>
  <c r="P21" i="46"/>
  <c r="T15" i="46"/>
  <c r="P13" i="46"/>
  <c r="H12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T15" i="53"/>
  <c r="H25" i="50"/>
  <c r="D5" i="50"/>
  <c r="H25" i="49"/>
  <c r="B22" i="49"/>
  <c r="D5" i="47"/>
  <c r="P20" i="46"/>
  <c r="P16" i="46"/>
  <c r="D12" i="46"/>
  <c r="T25" i="52"/>
  <c r="T12" i="52"/>
  <c r="D4" i="50"/>
  <c r="H15" i="49"/>
  <c r="T34" i="47"/>
  <c r="H25" i="47"/>
  <c r="T15" i="47"/>
  <c r="H13" i="47"/>
  <c r="D4" i="47"/>
  <c r="H34" i="46"/>
  <c r="H33" i="46"/>
  <c r="H29" i="46"/>
  <c r="H25" i="46"/>
  <c r="P15" i="46"/>
  <c r="D5" i="46"/>
  <c r="D21" i="52"/>
  <c r="T15" i="50"/>
  <c r="P24" i="49"/>
  <c r="P34" i="47"/>
  <c r="P15" i="47"/>
  <c r="B13" i="47"/>
  <c r="B38" i="46"/>
  <c r="D34" i="46"/>
  <c r="D33" i="46"/>
  <c r="D29" i="46"/>
  <c r="D25" i="46"/>
  <c r="H21" i="46"/>
  <c r="D13" i="46"/>
  <c r="T24" i="44"/>
  <c r="T22" i="44"/>
  <c r="P12" i="44"/>
  <c r="T34" i="43"/>
  <c r="T33" i="43"/>
  <c r="T29" i="43"/>
  <c r="T25" i="43"/>
  <c r="P21" i="53"/>
  <c r="H12" i="53"/>
  <c r="B21" i="52"/>
  <c r="D16" i="52"/>
  <c r="H34" i="50"/>
  <c r="H29" i="50"/>
  <c r="P15" i="50"/>
  <c r="H33" i="49"/>
  <c r="T16" i="49"/>
  <c r="T24" i="47"/>
  <c r="B22" i="47"/>
  <c r="P20" i="47"/>
  <c r="B25" i="46"/>
  <c r="D24" i="46"/>
  <c r="D22" i="46"/>
  <c r="H20" i="46"/>
  <c r="H16" i="46"/>
  <c r="B13" i="46"/>
  <c r="P34" i="44"/>
  <c r="P33" i="44"/>
  <c r="P29" i="44"/>
  <c r="P25" i="44"/>
  <c r="T21" i="44"/>
  <c r="T24" i="43"/>
  <c r="T22" i="43"/>
  <c r="D12" i="53"/>
  <c r="T29" i="52"/>
  <c r="B16" i="52"/>
  <c r="H24" i="50"/>
  <c r="D21" i="49"/>
  <c r="P16" i="49"/>
  <c r="H13" i="49"/>
  <c r="D29" i="52"/>
  <c r="D34" i="50"/>
  <c r="D29" i="50"/>
  <c r="H24" i="49"/>
  <c r="T20" i="49"/>
  <c r="P16" i="47"/>
  <c r="T12" i="47"/>
  <c r="B21" i="46"/>
  <c r="D20" i="46"/>
  <c r="D16" i="46"/>
  <c r="P21" i="44"/>
  <c r="T15" i="44"/>
  <c r="P13" i="44"/>
  <c r="H12" i="44"/>
  <c r="D15" i="52"/>
  <c r="B39" i="50"/>
  <c r="H22" i="50"/>
  <c r="H13" i="50"/>
  <c r="D5" i="49"/>
  <c r="P33" i="47"/>
  <c r="P29" i="47"/>
  <c r="D16" i="47"/>
  <c r="P34" i="46"/>
  <c r="P33" i="46"/>
  <c r="P29" i="46"/>
  <c r="P25" i="46"/>
  <c r="T21" i="46"/>
  <c r="T34" i="53"/>
  <c r="B16" i="53"/>
  <c r="D13" i="52"/>
  <c r="B38" i="50"/>
  <c r="D33" i="50"/>
  <c r="D13" i="50"/>
  <c r="D4" i="49"/>
  <c r="P25" i="47"/>
  <c r="B16" i="47"/>
  <c r="P13" i="47"/>
  <c r="H12" i="47"/>
  <c r="P24" i="46"/>
  <c r="P22" i="46"/>
  <c r="T20" i="46"/>
  <c r="T16" i="46"/>
  <c r="T13" i="46"/>
  <c r="H33" i="50"/>
  <c r="P22" i="49"/>
  <c r="T22" i="46"/>
  <c r="D25" i="44"/>
  <c r="P22" i="44"/>
  <c r="H21" i="44"/>
  <c r="T13" i="44"/>
  <c r="B39" i="43"/>
  <c r="H24" i="43"/>
  <c r="D13" i="43"/>
  <c r="B21" i="41"/>
  <c r="D20" i="41"/>
  <c r="D16" i="41"/>
  <c r="B22" i="40"/>
  <c r="D21" i="40"/>
  <c r="H15" i="40"/>
  <c r="D25" i="52"/>
  <c r="B39" i="49"/>
  <c r="B39" i="46"/>
  <c r="H22" i="46"/>
  <c r="H13" i="46"/>
  <c r="D21" i="44"/>
  <c r="P34" i="43"/>
  <c r="D24" i="43"/>
  <c r="T21" i="43"/>
  <c r="P20" i="43"/>
  <c r="H16" i="43"/>
  <c r="B13" i="43"/>
  <c r="P20" i="49"/>
  <c r="T25" i="47"/>
  <c r="B22" i="46"/>
  <c r="H33" i="44"/>
  <c r="B21" i="44"/>
  <c r="D16" i="44"/>
  <c r="H33" i="43"/>
  <c r="H25" i="43"/>
  <c r="H15" i="43"/>
  <c r="T24" i="41"/>
  <c r="T22" i="41"/>
  <c r="P12" i="41"/>
  <c r="T34" i="40"/>
  <c r="T33" i="40"/>
  <c r="T29" i="40"/>
  <c r="T25" i="40"/>
  <c r="B16" i="40"/>
  <c r="D15" i="40"/>
  <c r="T12" i="40"/>
  <c r="T25" i="46"/>
  <c r="T12" i="46"/>
  <c r="B39" i="44"/>
  <c r="T34" i="44"/>
  <c r="T29" i="44"/>
  <c r="H22" i="44"/>
  <c r="B16" i="44"/>
  <c r="H13" i="44"/>
  <c r="P21" i="43"/>
  <c r="D16" i="43"/>
  <c r="P34" i="41"/>
  <c r="P33" i="41"/>
  <c r="P29" i="41"/>
  <c r="P25" i="41"/>
  <c r="T21" i="41"/>
  <c r="T24" i="40"/>
  <c r="T22" i="40"/>
  <c r="P12" i="40"/>
  <c r="H21" i="52"/>
  <c r="D25" i="50"/>
  <c r="P12" i="46"/>
  <c r="B38" i="44"/>
  <c r="D33" i="44"/>
  <c r="P24" i="44"/>
  <c r="T20" i="44"/>
  <c r="D13" i="44"/>
  <c r="P29" i="43"/>
  <c r="B25" i="43"/>
  <c r="B16" i="43"/>
  <c r="D15" i="43"/>
  <c r="T12" i="43"/>
  <c r="P24" i="41"/>
  <c r="P22" i="41"/>
  <c r="T20" i="41"/>
  <c r="T16" i="41"/>
  <c r="T13" i="41"/>
  <c r="P34" i="40"/>
  <c r="P33" i="40"/>
  <c r="P29" i="40"/>
  <c r="P25" i="40"/>
  <c r="T21" i="40"/>
  <c r="D4" i="46"/>
  <c r="B22" i="44"/>
  <c r="P20" i="44"/>
  <c r="H34" i="43"/>
  <c r="P22" i="43"/>
  <c r="H20" i="43"/>
  <c r="P12" i="43"/>
  <c r="P21" i="41"/>
  <c r="T15" i="41"/>
  <c r="P13" i="41"/>
  <c r="H12" i="41"/>
  <c r="P24" i="40"/>
  <c r="P22" i="40"/>
  <c r="T20" i="40"/>
  <c r="T16" i="40"/>
  <c r="T13" i="40"/>
  <c r="D20" i="52"/>
  <c r="H15" i="47"/>
  <c r="D21" i="46"/>
  <c r="H34" i="44"/>
  <c r="H29" i="44"/>
  <c r="P15" i="44"/>
  <c r="P20" i="41"/>
  <c r="P16" i="41"/>
  <c r="D12" i="41"/>
  <c r="P21" i="40"/>
  <c r="T15" i="40"/>
  <c r="P13" i="40"/>
  <c r="H12" i="40"/>
  <c r="P34" i="52"/>
  <c r="H15" i="52"/>
  <c r="P21" i="47"/>
  <c r="T24" i="46"/>
  <c r="D34" i="44"/>
  <c r="D29" i="44"/>
  <c r="T16" i="44"/>
  <c r="H29" i="43"/>
  <c r="P24" i="43"/>
  <c r="D21" i="43"/>
  <c r="T15" i="43"/>
  <c r="P13" i="43"/>
  <c r="H12" i="43"/>
  <c r="B39" i="41"/>
  <c r="H24" i="41"/>
  <c r="H22" i="41"/>
  <c r="H13" i="41"/>
  <c r="D4" i="41"/>
  <c r="H34" i="40"/>
  <c r="H33" i="40"/>
  <c r="H29" i="40"/>
  <c r="H25" i="40"/>
  <c r="P15" i="40"/>
  <c r="D5" i="40"/>
  <c r="T29" i="47"/>
  <c r="H15" i="46"/>
  <c r="H25" i="44"/>
  <c r="D20" i="44"/>
  <c r="D5" i="44"/>
  <c r="P33" i="43"/>
  <c r="P25" i="43"/>
  <c r="D22" i="43"/>
  <c r="P15" i="43"/>
  <c r="D5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T21" i="47"/>
  <c r="D4" i="43"/>
  <c r="H15" i="41"/>
  <c r="B25" i="40"/>
  <c r="H16" i="40"/>
  <c r="T34" i="38"/>
  <c r="T33" i="38"/>
  <c r="T29" i="38"/>
  <c r="T25" i="38"/>
  <c r="B16" i="38"/>
  <c r="D15" i="38"/>
  <c r="T12" i="38"/>
  <c r="B21" i="37"/>
  <c r="D20" i="37"/>
  <c r="D16" i="37"/>
  <c r="H24" i="46"/>
  <c r="T25" i="44"/>
  <c r="T16" i="43"/>
  <c r="T33" i="41"/>
  <c r="D15" i="41"/>
  <c r="B21" i="40"/>
  <c r="D16" i="40"/>
  <c r="T24" i="38"/>
  <c r="T22" i="38"/>
  <c r="P12" i="38"/>
  <c r="T34" i="37"/>
  <c r="T33" i="37"/>
  <c r="T29" i="37"/>
  <c r="T25" i="37"/>
  <c r="B16" i="37"/>
  <c r="D15" i="37"/>
  <c r="T12" i="37"/>
  <c r="B38" i="35"/>
  <c r="D34" i="35"/>
  <c r="D33" i="35"/>
  <c r="D29" i="35"/>
  <c r="D25" i="35"/>
  <c r="H21" i="35"/>
  <c r="D13" i="35"/>
  <c r="B39" i="34"/>
  <c r="P16" i="44"/>
  <c r="P16" i="43"/>
  <c r="H33" i="41"/>
  <c r="P20" i="40"/>
  <c r="P34" i="38"/>
  <c r="P33" i="38"/>
  <c r="P29" i="38"/>
  <c r="P25" i="38"/>
  <c r="T21" i="38"/>
  <c r="T24" i="37"/>
  <c r="T22" i="37"/>
  <c r="P12" i="37"/>
  <c r="D15" i="47"/>
  <c r="B38" i="41"/>
  <c r="D33" i="41"/>
  <c r="D13" i="41"/>
  <c r="H24" i="40"/>
  <c r="P24" i="38"/>
  <c r="P22" i="38"/>
  <c r="T20" i="38"/>
  <c r="T16" i="38"/>
  <c r="T13" i="38"/>
  <c r="P34" i="37"/>
  <c r="P33" i="37"/>
  <c r="P29" i="37"/>
  <c r="P25" i="37"/>
  <c r="T21" i="37"/>
  <c r="B22" i="35"/>
  <c r="D21" i="35"/>
  <c r="H15" i="35"/>
  <c r="B25" i="34"/>
  <c r="D24" i="34"/>
  <c r="D22" i="34"/>
  <c r="H20" i="34"/>
  <c r="H16" i="34"/>
  <c r="B13" i="34"/>
  <c r="H21" i="50"/>
  <c r="D13" i="47"/>
  <c r="H24" i="44"/>
  <c r="B22" i="41"/>
  <c r="D24" i="40"/>
  <c r="H20" i="40"/>
  <c r="P21" i="38"/>
  <c r="T15" i="38"/>
  <c r="P13" i="38"/>
  <c r="H12" i="38"/>
  <c r="P12" i="47"/>
  <c r="H15" i="44"/>
  <c r="H22" i="43"/>
  <c r="T25" i="41"/>
  <c r="T12" i="41"/>
  <c r="D20" i="40"/>
  <c r="P20" i="38"/>
  <c r="P16" i="38"/>
  <c r="D12" i="38"/>
  <c r="P21" i="37"/>
  <c r="T15" i="37"/>
  <c r="P13" i="37"/>
  <c r="H12" i="37"/>
  <c r="T34" i="35"/>
  <c r="T33" i="35"/>
  <c r="T29" i="35"/>
  <c r="T25" i="35"/>
  <c r="B16" i="35"/>
  <c r="D15" i="35"/>
  <c r="T12" i="35"/>
  <c r="B21" i="34"/>
  <c r="D20" i="34"/>
  <c r="D16" i="34"/>
  <c r="P13" i="50"/>
  <c r="T34" i="46"/>
  <c r="B16" i="46"/>
  <c r="T33" i="44"/>
  <c r="D15" i="44"/>
  <c r="B22" i="43"/>
  <c r="H25" i="41"/>
  <c r="D5" i="41"/>
  <c r="H34" i="38"/>
  <c r="H33" i="38"/>
  <c r="H29" i="38"/>
  <c r="H25" i="38"/>
  <c r="P15" i="38"/>
  <c r="D5" i="38"/>
  <c r="P20" i="37"/>
  <c r="P16" i="37"/>
  <c r="D12" i="37"/>
  <c r="H29" i="49"/>
  <c r="T12" i="44"/>
  <c r="T13" i="43"/>
  <c r="D25" i="41"/>
  <c r="H21" i="41"/>
  <c r="B39" i="40"/>
  <c r="H22" i="40"/>
  <c r="H13" i="40"/>
  <c r="B39" i="38"/>
  <c r="H24" i="38"/>
  <c r="H22" i="38"/>
  <c r="H13" i="38"/>
  <c r="D4" i="38"/>
  <c r="H34" i="37"/>
  <c r="H33" i="37"/>
  <c r="H29" i="37"/>
  <c r="H25" i="37"/>
  <c r="P15" i="37"/>
  <c r="D5" i="37"/>
  <c r="P34" i="35"/>
  <c r="P33" i="35"/>
  <c r="P29" i="35"/>
  <c r="P25" i="35"/>
  <c r="T33" i="46"/>
  <c r="D15" i="46"/>
  <c r="D12" i="44"/>
  <c r="B21" i="43"/>
  <c r="D21" i="41"/>
  <c r="D22" i="40"/>
  <c r="B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T33" i="47"/>
  <c r="T29" i="46"/>
  <c r="D4" i="44"/>
  <c r="T20" i="43"/>
  <c r="H13" i="43"/>
  <c r="T34" i="41"/>
  <c r="T29" i="41"/>
  <c r="B16" i="41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P21" i="35"/>
  <c r="D34" i="41"/>
  <c r="D16" i="38"/>
  <c r="P20" i="35"/>
  <c r="T15" i="35"/>
  <c r="H13" i="35"/>
  <c r="P34" i="34"/>
  <c r="D29" i="34"/>
  <c r="T25" i="34"/>
  <c r="P13" i="34"/>
  <c r="D5" i="34"/>
  <c r="P34" i="32"/>
  <c r="P33" i="32"/>
  <c r="P29" i="32"/>
  <c r="P25" i="32"/>
  <c r="T21" i="32"/>
  <c r="T24" i="31"/>
  <c r="T22" i="31"/>
  <c r="P12" i="31"/>
  <c r="D12" i="43"/>
  <c r="H29" i="41"/>
  <c r="H15" i="38"/>
  <c r="P24" i="37"/>
  <c r="H33" i="35"/>
  <c r="B13" i="35"/>
  <c r="P24" i="34"/>
  <c r="D4" i="34"/>
  <c r="D29" i="41"/>
  <c r="D24" i="37"/>
  <c r="H24" i="35"/>
  <c r="T21" i="35"/>
  <c r="P15" i="35"/>
  <c r="H33" i="34"/>
  <c r="P25" i="34"/>
  <c r="H21" i="34"/>
  <c r="T15" i="34"/>
  <c r="P21" i="32"/>
  <c r="T15" i="32"/>
  <c r="P13" i="32"/>
  <c r="H12" i="32"/>
  <c r="B22" i="38"/>
  <c r="H29" i="35"/>
  <c r="D24" i="35"/>
  <c r="H20" i="35"/>
  <c r="T16" i="35"/>
  <c r="P12" i="35"/>
  <c r="H22" i="34"/>
  <c r="D21" i="34"/>
  <c r="T16" i="34"/>
  <c r="H13" i="34"/>
  <c r="P20" i="32"/>
  <c r="P16" i="32"/>
  <c r="D12" i="32"/>
  <c r="P21" i="31"/>
  <c r="T15" i="31"/>
  <c r="P13" i="31"/>
  <c r="H12" i="31"/>
  <c r="P22" i="37"/>
  <c r="T16" i="37"/>
  <c r="D20" i="35"/>
  <c r="P16" i="35"/>
  <c r="H34" i="34"/>
  <c r="D33" i="34"/>
  <c r="T29" i="34"/>
  <c r="P15" i="34"/>
  <c r="D13" i="34"/>
  <c r="P16" i="40"/>
  <c r="D21" i="38"/>
  <c r="D22" i="37"/>
  <c r="H16" i="37"/>
  <c r="B39" i="35"/>
  <c r="H25" i="35"/>
  <c r="T22" i="35"/>
  <c r="H24" i="34"/>
  <c r="B22" i="34"/>
  <c r="P16" i="34"/>
  <c r="B39" i="32"/>
  <c r="H24" i="32"/>
  <c r="H22" i="32"/>
  <c r="H13" i="32"/>
  <c r="D4" i="32"/>
  <c r="H34" i="31"/>
  <c r="H33" i="31"/>
  <c r="H29" i="31"/>
  <c r="H25" i="31"/>
  <c r="P15" i="31"/>
  <c r="D5" i="31"/>
  <c r="B21" i="38"/>
  <c r="B22" i="37"/>
  <c r="H34" i="35"/>
  <c r="H12" i="35"/>
  <c r="D34" i="34"/>
  <c r="P29" i="34"/>
  <c r="H25" i="34"/>
  <c r="T12" i="34"/>
  <c r="B38" i="32"/>
  <c r="D34" i="32"/>
  <c r="D33" i="32"/>
  <c r="D29" i="32"/>
  <c r="D25" i="32"/>
  <c r="T13" i="49"/>
  <c r="P15" i="41"/>
  <c r="D12" i="40"/>
  <c r="B25" i="35"/>
  <c r="P22" i="35"/>
  <c r="H16" i="35"/>
  <c r="D12" i="35"/>
  <c r="T20" i="34"/>
  <c r="H15" i="34"/>
  <c r="P12" i="34"/>
  <c r="D20" i="43"/>
  <c r="T20" i="37"/>
  <c r="T13" i="37"/>
  <c r="H22" i="35"/>
  <c r="B38" i="34"/>
  <c r="T34" i="34"/>
  <c r="P33" i="34"/>
  <c r="H29" i="34"/>
  <c r="P21" i="34"/>
  <c r="B16" i="34"/>
  <c r="H12" i="34"/>
  <c r="T34" i="32"/>
  <c r="T33" i="32"/>
  <c r="T29" i="32"/>
  <c r="T25" i="32"/>
  <c r="B16" i="32"/>
  <c r="D15" i="32"/>
  <c r="T12" i="32"/>
  <c r="B21" i="31"/>
  <c r="D20" i="31"/>
  <c r="D16" i="31"/>
  <c r="T20" i="35"/>
  <c r="T13" i="34"/>
  <c r="T20" i="32"/>
  <c r="D5" i="32"/>
  <c r="T34" i="31"/>
  <c r="B22" i="31"/>
  <c r="P20" i="31"/>
  <c r="B22" i="29"/>
  <c r="D21" i="29"/>
  <c r="H15" i="29"/>
  <c r="B25" i="28"/>
  <c r="D24" i="28"/>
  <c r="D22" i="28"/>
  <c r="H20" i="28"/>
  <c r="H16" i="28"/>
  <c r="B13" i="28"/>
  <c r="P24" i="26"/>
  <c r="P22" i="26"/>
  <c r="T20" i="26"/>
  <c r="B25" i="37"/>
  <c r="D22" i="32"/>
  <c r="H15" i="32"/>
  <c r="B39" i="31"/>
  <c r="P34" i="31"/>
  <c r="T25" i="31"/>
  <c r="H24" i="31"/>
  <c r="T12" i="31"/>
  <c r="B21" i="29"/>
  <c r="D20" i="29"/>
  <c r="D16" i="29"/>
  <c r="B22" i="28"/>
  <c r="D21" i="28"/>
  <c r="H15" i="28"/>
  <c r="P21" i="26"/>
  <c r="P20" i="34"/>
  <c r="T24" i="32"/>
  <c r="B22" i="32"/>
  <c r="T16" i="32"/>
  <c r="B38" i="31"/>
  <c r="D29" i="31"/>
  <c r="P25" i="31"/>
  <c r="T21" i="31"/>
  <c r="T34" i="29"/>
  <c r="T33" i="29"/>
  <c r="T29" i="29"/>
  <c r="T25" i="29"/>
  <c r="B16" i="29"/>
  <c r="D15" i="29"/>
  <c r="T12" i="29"/>
  <c r="B21" i="28"/>
  <c r="D20" i="28"/>
  <c r="D16" i="28"/>
  <c r="D21" i="37"/>
  <c r="D12" i="34"/>
  <c r="P24" i="32"/>
  <c r="H20" i="32"/>
  <c r="D24" i="31"/>
  <c r="H20" i="31"/>
  <c r="T16" i="31"/>
  <c r="T24" i="29"/>
  <c r="T22" i="29"/>
  <c r="P12" i="29"/>
  <c r="T34" i="28"/>
  <c r="T33" i="28"/>
  <c r="T29" i="28"/>
  <c r="T25" i="28"/>
  <c r="B16" i="28"/>
  <c r="D15" i="28"/>
  <c r="T12" i="28"/>
  <c r="H34" i="26"/>
  <c r="H33" i="26"/>
  <c r="H29" i="26"/>
  <c r="H25" i="26"/>
  <c r="P15" i="26"/>
  <c r="D5" i="26"/>
  <c r="P20" i="25"/>
  <c r="P16" i="25"/>
  <c r="D12" i="25"/>
  <c r="H20" i="37"/>
  <c r="D16" i="35"/>
  <c r="T33" i="34"/>
  <c r="D25" i="34"/>
  <c r="H34" i="32"/>
  <c r="T13" i="32"/>
  <c r="D34" i="31"/>
  <c r="P16" i="31"/>
  <c r="H15" i="31"/>
  <c r="D12" i="31"/>
  <c r="P34" i="29"/>
  <c r="P33" i="29"/>
  <c r="P29" i="29"/>
  <c r="P25" i="29"/>
  <c r="T21" i="29"/>
  <c r="T24" i="28"/>
  <c r="T22" i="28"/>
  <c r="P12" i="28"/>
  <c r="D20" i="38"/>
  <c r="T24" i="35"/>
  <c r="D20" i="32"/>
  <c r="H16" i="32"/>
  <c r="D15" i="31"/>
  <c r="D4" i="31"/>
  <c r="P24" i="29"/>
  <c r="P22" i="29"/>
  <c r="T20" i="29"/>
  <c r="T16" i="29"/>
  <c r="T13" i="29"/>
  <c r="P34" i="28"/>
  <c r="P33" i="28"/>
  <c r="P29" i="28"/>
  <c r="P25" i="28"/>
  <c r="T21" i="28"/>
  <c r="B38" i="26"/>
  <c r="D34" i="26"/>
  <c r="D33" i="26"/>
  <c r="D29" i="26"/>
  <c r="D25" i="26"/>
  <c r="H21" i="26"/>
  <c r="D13" i="26"/>
  <c r="B39" i="25"/>
  <c r="H24" i="25"/>
  <c r="D12" i="49"/>
  <c r="H34" i="41"/>
  <c r="H15" i="37"/>
  <c r="P24" i="35"/>
  <c r="T24" i="34"/>
  <c r="D24" i="32"/>
  <c r="D13" i="32"/>
  <c r="D25" i="31"/>
  <c r="H21" i="31"/>
  <c r="P21" i="29"/>
  <c r="T15" i="29"/>
  <c r="P13" i="29"/>
  <c r="H12" i="29"/>
  <c r="P24" i="28"/>
  <c r="P22" i="28"/>
  <c r="T20" i="28"/>
  <c r="T16" i="28"/>
  <c r="T13" i="28"/>
  <c r="B13" i="37"/>
  <c r="T13" i="35"/>
  <c r="H21" i="32"/>
  <c r="D16" i="32"/>
  <c r="B13" i="32"/>
  <c r="T33" i="31"/>
  <c r="B25" i="31"/>
  <c r="P22" i="31"/>
  <c r="H16" i="31"/>
  <c r="T13" i="31"/>
  <c r="P20" i="29"/>
  <c r="P16" i="29"/>
  <c r="D12" i="29"/>
  <c r="P21" i="28"/>
  <c r="T15" i="28"/>
  <c r="P13" i="28"/>
  <c r="H12" i="28"/>
  <c r="B22" i="26"/>
  <c r="D21" i="26"/>
  <c r="D4" i="40"/>
  <c r="B21" i="35"/>
  <c r="D5" i="35"/>
  <c r="T21" i="34"/>
  <c r="D15" i="34"/>
  <c r="H33" i="32"/>
  <c r="H29" i="32"/>
  <c r="H25" i="32"/>
  <c r="P22" i="32"/>
  <c r="B21" i="32"/>
  <c r="P15" i="32"/>
  <c r="P12" i="32"/>
  <c r="P29" i="31"/>
  <c r="D13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T24" i="26"/>
  <c r="T22" i="26"/>
  <c r="P12" i="26"/>
  <c r="T34" i="25"/>
  <c r="T33" i="25"/>
  <c r="T29" i="25"/>
  <c r="T25" i="25"/>
  <c r="B16" i="25"/>
  <c r="D15" i="25"/>
  <c r="T12" i="25"/>
  <c r="P24" i="31"/>
  <c r="D34" i="28"/>
  <c r="H21" i="28"/>
  <c r="H22" i="26"/>
  <c r="B25" i="25"/>
  <c r="T22" i="25"/>
  <c r="B22" i="23"/>
  <c r="D21" i="23"/>
  <c r="H15" i="23"/>
  <c r="B25" i="22"/>
  <c r="D24" i="22"/>
  <c r="D22" i="22"/>
  <c r="H20" i="22"/>
  <c r="H16" i="22"/>
  <c r="B13" i="22"/>
  <c r="P20" i="20"/>
  <c r="P16" i="20"/>
  <c r="D12" i="20"/>
  <c r="P33" i="31"/>
  <c r="H33" i="29"/>
  <c r="H25" i="29"/>
  <c r="P20" i="28"/>
  <c r="B25" i="26"/>
  <c r="D22" i="26"/>
  <c r="H20" i="26"/>
  <c r="H34" i="25"/>
  <c r="P29" i="25"/>
  <c r="P21" i="25"/>
  <c r="D16" i="25"/>
  <c r="H12" i="25"/>
  <c r="B21" i="23"/>
  <c r="D20" i="23"/>
  <c r="D16" i="23"/>
  <c r="B22" i="22"/>
  <c r="D21" i="22"/>
  <c r="H15" i="22"/>
  <c r="H34" i="20"/>
  <c r="H33" i="20"/>
  <c r="H29" i="20"/>
  <c r="H25" i="20"/>
  <c r="P15" i="20"/>
  <c r="D5" i="20"/>
  <c r="D22" i="35"/>
  <c r="H22" i="31"/>
  <c r="H13" i="31"/>
  <c r="H13" i="29"/>
  <c r="H33" i="28"/>
  <c r="H25" i="28"/>
  <c r="T16" i="26"/>
  <c r="T12" i="26"/>
  <c r="D34" i="25"/>
  <c r="P22" i="25"/>
  <c r="T13" i="25"/>
  <c r="D5" i="25"/>
  <c r="T34" i="23"/>
  <c r="T33" i="23"/>
  <c r="T29" i="23"/>
  <c r="T25" i="23"/>
  <c r="B16" i="23"/>
  <c r="D15" i="23"/>
  <c r="T12" i="23"/>
  <c r="B21" i="22"/>
  <c r="D20" i="22"/>
  <c r="D16" i="22"/>
  <c r="B39" i="20"/>
  <c r="H24" i="20"/>
  <c r="H22" i="20"/>
  <c r="H13" i="20"/>
  <c r="D4" i="20"/>
  <c r="H34" i="19"/>
  <c r="H33" i="19"/>
  <c r="H29" i="19"/>
  <c r="D33" i="31"/>
  <c r="D22" i="31"/>
  <c r="B13" i="31"/>
  <c r="B25" i="29"/>
  <c r="H20" i="29"/>
  <c r="B13" i="29"/>
  <c r="D33" i="28"/>
  <c r="D25" i="28"/>
  <c r="D13" i="28"/>
  <c r="T34" i="26"/>
  <c r="D20" i="26"/>
  <c r="P16" i="26"/>
  <c r="H15" i="26"/>
  <c r="T24" i="25"/>
  <c r="H20" i="25"/>
  <c r="P13" i="25"/>
  <c r="D4" i="25"/>
  <c r="T24" i="23"/>
  <c r="T22" i="23"/>
  <c r="P12" i="23"/>
  <c r="T34" i="22"/>
  <c r="T33" i="22"/>
  <c r="T29" i="22"/>
  <c r="T25" i="22"/>
  <c r="B16" i="22"/>
  <c r="D15" i="22"/>
  <c r="T12" i="22"/>
  <c r="B38" i="20"/>
  <c r="D34" i="20"/>
  <c r="D33" i="20"/>
  <c r="D29" i="20"/>
  <c r="D25" i="20"/>
  <c r="H21" i="20"/>
  <c r="D13" i="20"/>
  <c r="B39" i="19"/>
  <c r="P13" i="35"/>
  <c r="D21" i="31"/>
  <c r="D5" i="29"/>
  <c r="D12" i="28"/>
  <c r="P34" i="26"/>
  <c r="T21" i="26"/>
  <c r="H29" i="25"/>
  <c r="H21" i="25"/>
  <c r="P34" i="23"/>
  <c r="P33" i="23"/>
  <c r="P29" i="23"/>
  <c r="P25" i="23"/>
  <c r="T21" i="23"/>
  <c r="T24" i="22"/>
  <c r="T22" i="22"/>
  <c r="P12" i="22"/>
  <c r="B25" i="20"/>
  <c r="D24" i="20"/>
  <c r="D22" i="20"/>
  <c r="H20" i="20"/>
  <c r="H16" i="20"/>
  <c r="B13" i="20"/>
  <c r="B38" i="19"/>
  <c r="D34" i="19"/>
  <c r="D33" i="19"/>
  <c r="D29" i="19"/>
  <c r="D25" i="19"/>
  <c r="T29" i="31"/>
  <c r="B39" i="29"/>
  <c r="H24" i="29"/>
  <c r="D4" i="29"/>
  <c r="D5" i="28"/>
  <c r="H16" i="26"/>
  <c r="D15" i="26"/>
  <c r="H12" i="26"/>
  <c r="D29" i="25"/>
  <c r="P24" i="25"/>
  <c r="H22" i="25"/>
  <c r="D20" i="25"/>
  <c r="T15" i="25"/>
  <c r="H13" i="25"/>
  <c r="P24" i="23"/>
  <c r="P22" i="23"/>
  <c r="T20" i="23"/>
  <c r="T16" i="23"/>
  <c r="T13" i="23"/>
  <c r="P34" i="22"/>
  <c r="P33" i="22"/>
  <c r="P29" i="22"/>
  <c r="P25" i="22"/>
  <c r="T21" i="22"/>
  <c r="B22" i="20"/>
  <c r="D21" i="20"/>
  <c r="H15" i="20"/>
  <c r="B25" i="19"/>
  <c r="D4" i="35"/>
  <c r="B25" i="32"/>
  <c r="T20" i="31"/>
  <c r="D24" i="29"/>
  <c r="B38" i="28"/>
  <c r="B39" i="26"/>
  <c r="H24" i="26"/>
  <c r="D12" i="26"/>
  <c r="D21" i="25"/>
  <c r="T16" i="25"/>
  <c r="P15" i="25"/>
  <c r="D13" i="25"/>
  <c r="P21" i="23"/>
  <c r="T15" i="23"/>
  <c r="P13" i="23"/>
  <c r="H12" i="23"/>
  <c r="P24" i="22"/>
  <c r="P22" i="22"/>
  <c r="T20" i="22"/>
  <c r="T16" i="22"/>
  <c r="T13" i="22"/>
  <c r="B21" i="20"/>
  <c r="D20" i="20"/>
  <c r="D16" i="20"/>
  <c r="H29" i="29"/>
  <c r="P16" i="28"/>
  <c r="D24" i="26"/>
  <c r="D16" i="26"/>
  <c r="T13" i="26"/>
  <c r="D4" i="26"/>
  <c r="P33" i="25"/>
  <c r="P25" i="25"/>
  <c r="D22" i="25"/>
  <c r="B21" i="25"/>
  <c r="B13" i="25"/>
  <c r="P20" i="23"/>
  <c r="P16" i="23"/>
  <c r="D12" i="23"/>
  <c r="P21" i="22"/>
  <c r="T15" i="22"/>
  <c r="P13" i="22"/>
  <c r="H12" i="22"/>
  <c r="T22" i="32"/>
  <c r="H22" i="29"/>
  <c r="H29" i="28"/>
  <c r="B21" i="26"/>
  <c r="B16" i="26"/>
  <c r="P13" i="26"/>
  <c r="B38" i="25"/>
  <c r="B22" i="25"/>
  <c r="H34" i="23"/>
  <c r="H33" i="23"/>
  <c r="H29" i="23"/>
  <c r="H25" i="23"/>
  <c r="P15" i="23"/>
  <c r="D5" i="23"/>
  <c r="P20" i="22"/>
  <c r="P16" i="22"/>
  <c r="D12" i="22"/>
  <c r="T24" i="20"/>
  <c r="T22" i="20"/>
  <c r="P12" i="20"/>
  <c r="T34" i="19"/>
  <c r="T12" i="53"/>
  <c r="D22" i="29"/>
  <c r="H16" i="29"/>
  <c r="D29" i="28"/>
  <c r="T33" i="26"/>
  <c r="T29" i="26"/>
  <c r="T25" i="26"/>
  <c r="D24" i="25"/>
  <c r="B39" i="23"/>
  <c r="H24" i="23"/>
  <c r="H22" i="23"/>
  <c r="H13" i="23"/>
  <c r="D4" i="23"/>
  <c r="H34" i="22"/>
  <c r="H33" i="22"/>
  <c r="H29" i="22"/>
  <c r="H25" i="22"/>
  <c r="P15" i="22"/>
  <c r="D5" i="22"/>
  <c r="P34" i="20"/>
  <c r="P33" i="20"/>
  <c r="P29" i="20"/>
  <c r="P25" i="20"/>
  <c r="T21" i="20"/>
  <c r="T22" i="34"/>
  <c r="H34" i="29"/>
  <c r="P15" i="29"/>
  <c r="P33" i="26"/>
  <c r="P29" i="26"/>
  <c r="P25" i="26"/>
  <c r="H13" i="26"/>
  <c r="P34" i="25"/>
  <c r="H33" i="25"/>
  <c r="H25" i="25"/>
  <c r="T20" i="25"/>
  <c r="H15" i="25"/>
  <c r="P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P24" i="20"/>
  <c r="P22" i="20"/>
  <c r="T20" i="20"/>
  <c r="T16" i="20"/>
  <c r="T13" i="20"/>
  <c r="B13" i="26"/>
  <c r="B25" i="23"/>
  <c r="D33" i="22"/>
  <c r="D13" i="22"/>
  <c r="T12" i="20"/>
  <c r="P15" i="19"/>
  <c r="D5" i="19"/>
  <c r="T24" i="17"/>
  <c r="T22" i="17"/>
  <c r="P12" i="17"/>
  <c r="T34" i="16"/>
  <c r="T33" i="16"/>
  <c r="T29" i="16"/>
  <c r="T25" i="16"/>
  <c r="B16" i="16"/>
  <c r="D15" i="16"/>
  <c r="T12" i="16"/>
  <c r="H34" i="28"/>
  <c r="D24" i="23"/>
  <c r="P21" i="20"/>
  <c r="H12" i="20"/>
  <c r="T25" i="19"/>
  <c r="H24" i="19"/>
  <c r="H22" i="19"/>
  <c r="H13" i="19"/>
  <c r="D4" i="19"/>
  <c r="P34" i="17"/>
  <c r="P33" i="17"/>
  <c r="P29" i="17"/>
  <c r="P25" i="17"/>
  <c r="T21" i="17"/>
  <c r="T24" i="16"/>
  <c r="T22" i="16"/>
  <c r="P12" i="16"/>
  <c r="B22" i="14"/>
  <c r="D21" i="14"/>
  <c r="H15" i="14"/>
  <c r="B25" i="13"/>
  <c r="D24" i="13"/>
  <c r="D22" i="13"/>
  <c r="H20" i="13"/>
  <c r="H16" i="13"/>
  <c r="B13" i="13"/>
  <c r="D22" i="23"/>
  <c r="D29" i="22"/>
  <c r="T29" i="20"/>
  <c r="P25" i="19"/>
  <c r="H21" i="19"/>
  <c r="D13" i="19"/>
  <c r="P24" i="17"/>
  <c r="P22" i="17"/>
  <c r="T20" i="17"/>
  <c r="T16" i="17"/>
  <c r="T13" i="17"/>
  <c r="P34" i="16"/>
  <c r="P33" i="16"/>
  <c r="P29" i="16"/>
  <c r="P25" i="16"/>
  <c r="T21" i="16"/>
  <c r="B21" i="14"/>
  <c r="D20" i="14"/>
  <c r="D16" i="14"/>
  <c r="B22" i="13"/>
  <c r="D21" i="13"/>
  <c r="H15" i="13"/>
  <c r="D33" i="25"/>
  <c r="D24" i="19"/>
  <c r="D22" i="19"/>
  <c r="H20" i="19"/>
  <c r="H16" i="19"/>
  <c r="B13" i="19"/>
  <c r="P21" i="17"/>
  <c r="T15" i="17"/>
  <c r="P13" i="17"/>
  <c r="H12" i="17"/>
  <c r="P24" i="16"/>
  <c r="P22" i="16"/>
  <c r="T20" i="16"/>
  <c r="T16" i="16"/>
  <c r="T13" i="16"/>
  <c r="T34" i="14"/>
  <c r="T33" i="14"/>
  <c r="T29" i="14"/>
  <c r="T25" i="14"/>
  <c r="B16" i="14"/>
  <c r="D15" i="14"/>
  <c r="T12" i="14"/>
  <c r="B21" i="13"/>
  <c r="D20" i="13"/>
  <c r="D16" i="13"/>
  <c r="P15" i="28"/>
  <c r="H20" i="23"/>
  <c r="D25" i="22"/>
  <c r="H25" i="19"/>
  <c r="B22" i="19"/>
  <c r="D21" i="19"/>
  <c r="H15" i="19"/>
  <c r="P20" i="17"/>
  <c r="P16" i="17"/>
  <c r="D12" i="17"/>
  <c r="P21" i="16"/>
  <c r="T15" i="16"/>
  <c r="P13" i="16"/>
  <c r="H12" i="16"/>
  <c r="T24" i="14"/>
  <c r="T22" i="14"/>
  <c r="P12" i="14"/>
  <c r="T34" i="13"/>
  <c r="T33" i="13"/>
  <c r="T29" i="13"/>
  <c r="T25" i="13"/>
  <c r="B16" i="13"/>
  <c r="D15" i="13"/>
  <c r="T12" i="13"/>
  <c r="T29" i="19"/>
  <c r="B21" i="19"/>
  <c r="D20" i="19"/>
  <c r="D16" i="19"/>
  <c r="H34" i="17"/>
  <c r="H33" i="17"/>
  <c r="H29" i="17"/>
  <c r="H25" i="17"/>
  <c r="P15" i="17"/>
  <c r="D5" i="17"/>
  <c r="P20" i="16"/>
  <c r="P16" i="16"/>
  <c r="D12" i="16"/>
  <c r="P34" i="14"/>
  <c r="P33" i="14"/>
  <c r="P29" i="14"/>
  <c r="P25" i="14"/>
  <c r="T21" i="14"/>
  <c r="T24" i="13"/>
  <c r="T22" i="13"/>
  <c r="P12" i="13"/>
  <c r="P22" i="34"/>
  <c r="D21" i="32"/>
  <c r="D25" i="25"/>
  <c r="H16" i="23"/>
  <c r="T25" i="20"/>
  <c r="P34" i="19"/>
  <c r="P29" i="19"/>
  <c r="B16" i="19"/>
  <c r="D15" i="19"/>
  <c r="T12" i="19"/>
  <c r="B39" i="17"/>
  <c r="H24" i="17"/>
  <c r="H22" i="17"/>
  <c r="H13" i="17"/>
  <c r="D4" i="17"/>
  <c r="H34" i="16"/>
  <c r="H33" i="16"/>
  <c r="H29" i="16"/>
  <c r="H25" i="16"/>
  <c r="P15" i="16"/>
  <c r="D5" i="16"/>
  <c r="P24" i="14"/>
  <c r="P22" i="14"/>
  <c r="T20" i="14"/>
  <c r="T16" i="14"/>
  <c r="T13" i="14"/>
  <c r="P34" i="13"/>
  <c r="P33" i="13"/>
  <c r="P29" i="13"/>
  <c r="P25" i="13"/>
  <c r="T21" i="13"/>
  <c r="H21" i="22"/>
  <c r="T24" i="19"/>
  <c r="T22" i="19"/>
  <c r="P12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P21" i="14"/>
  <c r="T15" i="14"/>
  <c r="P13" i="14"/>
  <c r="H12" i="14"/>
  <c r="P24" i="13"/>
  <c r="P22" i="13"/>
  <c r="T20" i="13"/>
  <c r="T16" i="13"/>
  <c r="T13" i="13"/>
  <c r="T21" i="25"/>
  <c r="B13" i="23"/>
  <c r="T34" i="20"/>
  <c r="B16" i="20"/>
  <c r="T21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P20" i="14"/>
  <c r="P16" i="14"/>
  <c r="D12" i="14"/>
  <c r="P21" i="13"/>
  <c r="T15" i="13"/>
  <c r="P13" i="13"/>
  <c r="H12" i="13"/>
  <c r="B16" i="31"/>
  <c r="P20" i="26"/>
  <c r="B38" i="22"/>
  <c r="T15" i="20"/>
  <c r="T33" i="19"/>
  <c r="P24" i="19"/>
  <c r="P22" i="19"/>
  <c r="T20" i="19"/>
  <c r="T16" i="19"/>
  <c r="T13" i="19"/>
  <c r="B22" i="17"/>
  <c r="D21" i="17"/>
  <c r="H15" i="17"/>
  <c r="B25" i="16"/>
  <c r="D24" i="16"/>
  <c r="D22" i="16"/>
  <c r="H20" i="16"/>
  <c r="H16" i="16"/>
  <c r="B13" i="16"/>
  <c r="T33" i="20"/>
  <c r="D15" i="20"/>
  <c r="P33" i="19"/>
  <c r="P21" i="19"/>
  <c r="T15" i="19"/>
  <c r="P13" i="19"/>
  <c r="H12" i="19"/>
  <c r="B21" i="17"/>
  <c r="D20" i="17"/>
  <c r="D16" i="17"/>
  <c r="B22" i="16"/>
  <c r="D21" i="16"/>
  <c r="H15" i="16"/>
  <c r="B39" i="14"/>
  <c r="H24" i="14"/>
  <c r="H22" i="14"/>
  <c r="H13" i="14"/>
  <c r="D4" i="14"/>
  <c r="H34" i="13"/>
  <c r="H33" i="13"/>
  <c r="H29" i="13"/>
  <c r="H25" i="13"/>
  <c r="P15" i="13"/>
  <c r="D5" i="13"/>
  <c r="T34" i="17"/>
  <c r="B16" i="17"/>
  <c r="B25" i="14"/>
  <c r="H20" i="14"/>
  <c r="B13" i="14"/>
  <c r="D33" i="13"/>
  <c r="D25" i="13"/>
  <c r="D13" i="13"/>
  <c r="P20" i="11"/>
  <c r="P16" i="11"/>
  <c r="D12" i="11"/>
  <c r="P21" i="10"/>
  <c r="T15" i="10"/>
  <c r="P13" i="10"/>
  <c r="H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33" i="17"/>
  <c r="D15" i="17"/>
  <c r="B21" i="16"/>
  <c r="D5" i="14"/>
  <c r="D12" i="13"/>
  <c r="H34" i="11"/>
  <c r="H33" i="11"/>
  <c r="H29" i="11"/>
  <c r="H25" i="11"/>
  <c r="P15" i="11"/>
  <c r="D5" i="11"/>
  <c r="P20" i="10"/>
  <c r="P16" i="10"/>
  <c r="D12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T15" i="26"/>
  <c r="D12" i="19"/>
  <c r="T12" i="17"/>
  <c r="D20" i="16"/>
  <c r="B38" i="14"/>
  <c r="B39" i="13"/>
  <c r="H24" i="13"/>
  <c r="D4" i="13"/>
  <c r="B39" i="11"/>
  <c r="H24" i="11"/>
  <c r="H22" i="11"/>
  <c r="H13" i="11"/>
  <c r="D4" i="11"/>
  <c r="H34" i="10"/>
  <c r="H33" i="10"/>
  <c r="H29" i="10"/>
  <c r="H25" i="10"/>
  <c r="P15" i="10"/>
  <c r="D5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H16" i="25"/>
  <c r="D34" i="22"/>
  <c r="P13" i="20"/>
  <c r="T29" i="17"/>
  <c r="D24" i="14"/>
  <c r="B38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D16" i="16"/>
  <c r="H29" i="14"/>
  <c r="P16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25" i="17"/>
  <c r="D29" i="14"/>
  <c r="H22" i="13"/>
  <c r="B22" i="11"/>
  <c r="D21" i="11"/>
  <c r="H15" i="11"/>
  <c r="B25" i="10"/>
  <c r="D24" i="10"/>
  <c r="D22" i="10"/>
  <c r="H20" i="10"/>
  <c r="H16" i="10"/>
  <c r="B13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D22" i="14"/>
  <c r="H16" i="14"/>
  <c r="D29" i="13"/>
  <c r="B21" i="11"/>
  <c r="D20" i="11"/>
  <c r="D16" i="11"/>
  <c r="B22" i="10"/>
  <c r="D21" i="10"/>
  <c r="H15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H34" i="14"/>
  <c r="P15" i="14"/>
  <c r="T34" i="11"/>
  <c r="T33" i="11"/>
  <c r="T29" i="11"/>
  <c r="T25" i="11"/>
  <c r="B16" i="11"/>
  <c r="D15" i="11"/>
  <c r="T12" i="11"/>
  <c r="B21" i="10"/>
  <c r="D20" i="10"/>
  <c r="D16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D34" i="14"/>
  <c r="H21" i="14"/>
  <c r="T24" i="11"/>
  <c r="T22" i="11"/>
  <c r="P12" i="11"/>
  <c r="T34" i="10"/>
  <c r="T33" i="10"/>
  <c r="T29" i="10"/>
  <c r="T25" i="10"/>
  <c r="B16" i="10"/>
  <c r="D15" i="10"/>
  <c r="T12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P20" i="19"/>
  <c r="D34" i="13"/>
  <c r="H21" i="13"/>
  <c r="P34" i="11"/>
  <c r="P33" i="11"/>
  <c r="P29" i="11"/>
  <c r="P25" i="11"/>
  <c r="T21" i="11"/>
  <c r="T24" i="10"/>
  <c r="T22" i="10"/>
  <c r="P12" i="10"/>
  <c r="B38" i="8"/>
  <c r="D34" i="8"/>
  <c r="D33" i="8"/>
  <c r="H33" i="14"/>
  <c r="H25" i="14"/>
  <c r="P20" i="13"/>
  <c r="P24" i="11"/>
  <c r="P22" i="11"/>
  <c r="T20" i="11"/>
  <c r="T16" i="11"/>
  <c r="T13" i="11"/>
  <c r="P34" i="10"/>
  <c r="P33" i="10"/>
  <c r="P29" i="10"/>
  <c r="P25" i="10"/>
  <c r="T21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D13" i="14"/>
  <c r="P24" i="10"/>
  <c r="D4" i="7"/>
  <c r="T22" i="5"/>
  <c r="T29" i="4"/>
  <c r="P22" i="10"/>
  <c r="H15" i="8"/>
  <c r="P22" i="5"/>
  <c r="T13" i="5"/>
  <c r="P29" i="4"/>
  <c r="P24" i="5"/>
  <c r="T15" i="11"/>
  <c r="D13" i="8"/>
  <c r="P12" i="5"/>
  <c r="P13" i="11"/>
  <c r="T20" i="10"/>
  <c r="B22" i="8"/>
  <c r="H20" i="7"/>
  <c r="B13" i="7"/>
  <c r="H13" i="13"/>
  <c r="H12" i="11"/>
  <c r="H21" i="8"/>
  <c r="B39" i="7"/>
  <c r="T25" i="4"/>
  <c r="T16" i="10"/>
  <c r="D21" i="8"/>
  <c r="T20" i="5"/>
  <c r="P25" i="4"/>
  <c r="P16" i="19"/>
  <c r="D29" i="8"/>
  <c r="T34" i="4"/>
  <c r="B16" i="4"/>
  <c r="T13" i="10"/>
  <c r="B25" i="7"/>
  <c r="H16" i="7"/>
  <c r="P34" i="4"/>
  <c r="D22" i="7"/>
  <c r="H24" i="7"/>
  <c r="T33" i="4"/>
  <c r="D15" i="4"/>
  <c r="T21" i="4"/>
  <c r="D33" i="14"/>
  <c r="D24" i="7"/>
  <c r="T16" i="5"/>
  <c r="P33" i="4"/>
  <c r="D25" i="14"/>
  <c r="P21" i="11"/>
  <c r="D25" i="8"/>
  <c r="H22" i="7"/>
  <c r="H13" i="7"/>
  <c r="T24" i="5"/>
  <c r="T12" i="4"/>
  <c r="N212" i="3" l="1"/>
  <c r="L167" i="3"/>
  <c r="T18" i="4"/>
  <c r="V15" i="4"/>
  <c r="Z12" i="4"/>
  <c r="V36" i="4"/>
  <c r="V34" i="4"/>
  <c r="V33" i="4"/>
  <c r="V31" i="4"/>
  <c r="V29" i="4"/>
  <c r="V27" i="4"/>
  <c r="V25" i="4"/>
  <c r="V21" i="4"/>
  <c r="V20" i="4"/>
  <c r="V18" i="4"/>
  <c r="V16" i="4"/>
  <c r="V24" i="4"/>
  <c r="V22" i="4"/>
  <c r="Z24" i="5"/>
  <c r="N13" i="7"/>
  <c r="N22" i="7"/>
  <c r="L25" i="8"/>
  <c r="X21" i="11"/>
  <c r="L25" i="14"/>
  <c r="X33" i="4"/>
  <c r="Z16" i="5"/>
  <c r="L24" i="7"/>
  <c r="L33" i="14"/>
  <c r="Z21" i="4"/>
  <c r="L15" i="4"/>
  <c r="Z33" i="4"/>
  <c r="N24" i="7"/>
  <c r="L22" i="7"/>
  <c r="X34" i="4"/>
  <c r="N16" i="7"/>
  <c r="Z13" i="10"/>
  <c r="Z34" i="4"/>
  <c r="L29" i="8"/>
  <c r="X16" i="19"/>
  <c r="X25" i="4"/>
  <c r="Z20" i="5"/>
  <c r="L21" i="8"/>
  <c r="Z16" i="10"/>
  <c r="Z25" i="4"/>
  <c r="N21" i="8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N13" i="13"/>
  <c r="N20" i="7"/>
  <c r="Z20" i="10"/>
  <c r="X13" i="11"/>
  <c r="R20" i="5"/>
  <c r="R18" i="5"/>
  <c r="R16" i="5"/>
  <c r="P18" i="5"/>
  <c r="R15" i="5"/>
  <c r="X12" i="5"/>
  <c r="R24" i="5"/>
  <c r="R22" i="5"/>
  <c r="R33" i="5"/>
  <c r="R31" i="5"/>
  <c r="R21" i="5"/>
  <c r="R29" i="5"/>
  <c r="R27" i="5"/>
  <c r="R36" i="5"/>
  <c r="R25" i="5"/>
  <c r="R34" i="5"/>
  <c r="L13" i="8"/>
  <c r="Z15" i="11"/>
  <c r="X24" i="5"/>
  <c r="X29" i="4"/>
  <c r="Z13" i="5"/>
  <c r="X22" i="5"/>
  <c r="N15" i="8"/>
  <c r="X22" i="10"/>
  <c r="Z29" i="4"/>
  <c r="Z22" i="5"/>
  <c r="X24" i="10"/>
  <c r="L13" i="14"/>
  <c r="R21" i="4"/>
  <c r="R20" i="4"/>
  <c r="R18" i="4"/>
  <c r="R16" i="4"/>
  <c r="P18" i="4"/>
  <c r="R15" i="4"/>
  <c r="X12" i="4"/>
  <c r="R36" i="4"/>
  <c r="R34" i="4"/>
  <c r="R33" i="4"/>
  <c r="R31" i="4"/>
  <c r="R29" i="4"/>
  <c r="R27" i="4"/>
  <c r="R25" i="4"/>
  <c r="R24" i="4"/>
  <c r="R2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21" i="10"/>
  <c r="X25" i="10"/>
  <c r="X29" i="10"/>
  <c r="X33" i="10"/>
  <c r="X34" i="10"/>
  <c r="Z13" i="11"/>
  <c r="Z16" i="11"/>
  <c r="Z20" i="11"/>
  <c r="X22" i="11"/>
  <c r="X24" i="11"/>
  <c r="X20" i="13"/>
  <c r="N25" i="14"/>
  <c r="N33" i="14"/>
  <c r="L33" i="8"/>
  <c r="L34" i="8"/>
  <c r="R20" i="10"/>
  <c r="R18" i="10"/>
  <c r="R16" i="10"/>
  <c r="P18" i="10"/>
  <c r="R15" i="10"/>
  <c r="X12" i="10"/>
  <c r="R36" i="10"/>
  <c r="R34" i="10"/>
  <c r="R33" i="10"/>
  <c r="R31" i="10"/>
  <c r="R29" i="10"/>
  <c r="R27" i="10"/>
  <c r="R25" i="10"/>
  <c r="R24" i="10"/>
  <c r="R22" i="10"/>
  <c r="R21" i="10"/>
  <c r="Z22" i="10"/>
  <c r="Z24" i="10"/>
  <c r="Z21" i="11"/>
  <c r="X25" i="11"/>
  <c r="X29" i="11"/>
  <c r="X33" i="11"/>
  <c r="X34" i="11"/>
  <c r="N21" i="13"/>
  <c r="L34" i="13"/>
  <c r="X20" i="19"/>
  <c r="L16" i="4"/>
  <c r="L20" i="4"/>
  <c r="Z12" i="5"/>
  <c r="V36" i="5"/>
  <c r="V34" i="5"/>
  <c r="V33" i="5"/>
  <c r="V31" i="5"/>
  <c r="V29" i="5"/>
  <c r="V27" i="5"/>
  <c r="V25" i="5"/>
  <c r="V24" i="5"/>
  <c r="V22" i="5"/>
  <c r="V20" i="5"/>
  <c r="V18" i="5"/>
  <c r="V16" i="5"/>
  <c r="V21" i="5"/>
  <c r="V15" i="5"/>
  <c r="T18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P18" i="11"/>
  <c r="R15" i="11"/>
  <c r="X12" i="11"/>
  <c r="R36" i="11"/>
  <c r="R34" i="11"/>
  <c r="R33" i="11"/>
  <c r="R31" i="11"/>
  <c r="R29" i="11"/>
  <c r="R27" i="11"/>
  <c r="R25" i="11"/>
  <c r="R24" i="11"/>
  <c r="R22" i="11"/>
  <c r="R21" i="11"/>
  <c r="R18" i="11"/>
  <c r="R16" i="11"/>
  <c r="R20" i="11"/>
  <c r="Z22" i="11"/>
  <c r="Z24" i="11"/>
  <c r="N21" i="14"/>
  <c r="L34" i="14"/>
  <c r="N15" i="4"/>
  <c r="L21" i="4"/>
  <c r="L16" i="5"/>
  <c r="L20" i="5"/>
  <c r="F20" i="7"/>
  <c r="F18" i="7"/>
  <c r="F16" i="7"/>
  <c r="D18" i="7"/>
  <c r="F15" i="7"/>
  <c r="L12" i="7"/>
  <c r="F24" i="7"/>
  <c r="F22" i="7"/>
  <c r="F31" i="7"/>
  <c r="F21" i="7"/>
  <c r="F29" i="7"/>
  <c r="F27" i="7"/>
  <c r="F36" i="7"/>
  <c r="F25" i="7"/>
  <c r="F34" i="7"/>
  <c r="F33" i="7"/>
  <c r="X16" i="7"/>
  <c r="X20" i="7"/>
  <c r="X15" i="8"/>
  <c r="N25" i="8"/>
  <c r="N29" i="8"/>
  <c r="N33" i="8"/>
  <c r="N3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X15" i="14"/>
  <c r="N34" i="14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4" i="7"/>
  <c r="J22" i="7"/>
  <c r="J20" i="7"/>
  <c r="J18" i="7"/>
  <c r="J16" i="7"/>
  <c r="J21" i="7"/>
  <c r="H18" i="7"/>
  <c r="J15" i="7"/>
  <c r="X13" i="7"/>
  <c r="Z15" i="7"/>
  <c r="X21" i="7"/>
  <c r="D18" i="8"/>
  <c r="F15" i="8"/>
  <c r="L12" i="8"/>
  <c r="F36" i="8"/>
  <c r="F34" i="8"/>
  <c r="F33" i="8"/>
  <c r="F31" i="8"/>
  <c r="F29" i="8"/>
  <c r="F27" i="8"/>
  <c r="F25" i="8"/>
  <c r="F21" i="8"/>
  <c r="F24" i="8"/>
  <c r="F16" i="8"/>
  <c r="F22" i="8"/>
  <c r="F20" i="8"/>
  <c r="F18" i="8"/>
  <c r="X16" i="8"/>
  <c r="X20" i="8"/>
  <c r="N15" i="10"/>
  <c r="L21" i="10"/>
  <c r="L16" i="11"/>
  <c r="L20" i="11"/>
  <c r="L29" i="13"/>
  <c r="N16" i="14"/>
  <c r="L22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J21" i="8"/>
  <c r="H18" i="8"/>
  <c r="J15" i="8"/>
  <c r="J20" i="8"/>
  <c r="J18" i="8"/>
  <c r="J16" i="8"/>
  <c r="X13" i="8"/>
  <c r="Z15" i="8"/>
  <c r="X21" i="8"/>
  <c r="N16" i="10"/>
  <c r="N20" i="10"/>
  <c r="L22" i="10"/>
  <c r="L24" i="10"/>
  <c r="N15" i="11"/>
  <c r="L21" i="11"/>
  <c r="N22" i="13"/>
  <c r="L29" i="14"/>
  <c r="Z25" i="1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L13" i="10"/>
  <c r="N21" i="10"/>
  <c r="L25" i="10"/>
  <c r="L29" i="10"/>
  <c r="L33" i="10"/>
  <c r="L34" i="10"/>
  <c r="N16" i="11"/>
  <c r="N20" i="11"/>
  <c r="L22" i="11"/>
  <c r="L24" i="11"/>
  <c r="X16" i="13"/>
  <c r="N29" i="14"/>
  <c r="L16" i="16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N13" i="10"/>
  <c r="N22" i="10"/>
  <c r="N24" i="10"/>
  <c r="L13" i="11"/>
  <c r="N21" i="11"/>
  <c r="L25" i="11"/>
  <c r="L29" i="11"/>
  <c r="L33" i="11"/>
  <c r="L34" i="11"/>
  <c r="L24" i="14"/>
  <c r="Z29" i="17"/>
  <c r="X13" i="20"/>
  <c r="L34" i="22"/>
  <c r="N16" i="25"/>
  <c r="L12" i="4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X15" i="10"/>
  <c r="N25" i="10"/>
  <c r="N29" i="10"/>
  <c r="N33" i="10"/>
  <c r="N34" i="10"/>
  <c r="N13" i="11"/>
  <c r="N22" i="11"/>
  <c r="N24" i="11"/>
  <c r="N24" i="13"/>
  <c r="L20" i="16"/>
  <c r="V21" i="17"/>
  <c r="V20" i="17"/>
  <c r="V18" i="17"/>
  <c r="V16" i="17"/>
  <c r="T18" i="17"/>
  <c r="V15" i="17"/>
  <c r="Z12" i="17"/>
  <c r="V36" i="17"/>
  <c r="V34" i="17"/>
  <c r="V33" i="17"/>
  <c r="V31" i="17"/>
  <c r="V29" i="17"/>
  <c r="V27" i="17"/>
  <c r="V25" i="17"/>
  <c r="V24" i="17"/>
  <c r="V22" i="17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Z15" i="26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X16" i="5"/>
  <c r="X20" i="5"/>
  <c r="L16" i="7"/>
  <c r="L20" i="7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Z12" i="8"/>
  <c r="L15" i="8"/>
  <c r="Z25" i="8"/>
  <c r="Z29" i="8"/>
  <c r="Z33" i="8"/>
  <c r="Z34" i="8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L12" i="10"/>
  <c r="X16" i="10"/>
  <c r="X20" i="10"/>
  <c r="X15" i="11"/>
  <c r="N25" i="11"/>
  <c r="N29" i="11"/>
  <c r="N33" i="11"/>
  <c r="N34" i="11"/>
  <c r="F21" i="13"/>
  <c r="F20" i="13"/>
  <c r="F18" i="13"/>
  <c r="F16" i="13"/>
  <c r="D18" i="13"/>
  <c r="F15" i="13"/>
  <c r="L12" i="13"/>
  <c r="F31" i="13"/>
  <c r="F24" i="13"/>
  <c r="F36" i="13"/>
  <c r="F29" i="13"/>
  <c r="F22" i="13"/>
  <c r="F34" i="13"/>
  <c r="F27" i="13"/>
  <c r="F33" i="13"/>
  <c r="F25" i="13"/>
  <c r="L15" i="17"/>
  <c r="Z33" i="17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N12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L12" i="11"/>
  <c r="X16" i="11"/>
  <c r="X20" i="11"/>
  <c r="L13" i="13"/>
  <c r="L25" i="13"/>
  <c r="L33" i="13"/>
  <c r="N20" i="14"/>
  <c r="Z34" i="17"/>
  <c r="X15" i="13"/>
  <c r="N25" i="13"/>
  <c r="N29" i="13"/>
  <c r="N33" i="13"/>
  <c r="N34" i="13"/>
  <c r="N13" i="14"/>
  <c r="N22" i="14"/>
  <c r="N24" i="14"/>
  <c r="N15" i="16"/>
  <c r="L21" i="16"/>
  <c r="L16" i="17"/>
  <c r="L20" i="17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X33" i="19"/>
  <c r="L15" i="20"/>
  <c r="Z33" i="20"/>
  <c r="N16" i="16"/>
  <c r="N20" i="16"/>
  <c r="L22" i="16"/>
  <c r="L24" i="16"/>
  <c r="N15" i="17"/>
  <c r="L21" i="17"/>
  <c r="Z13" i="19"/>
  <c r="Z16" i="19"/>
  <c r="Z20" i="19"/>
  <c r="X22" i="19"/>
  <c r="X24" i="19"/>
  <c r="Z33" i="19"/>
  <c r="Z15" i="20"/>
  <c r="X20" i="26"/>
  <c r="H18" i="13"/>
  <c r="J15" i="13"/>
  <c r="N12" i="13"/>
  <c r="J24" i="13"/>
  <c r="J22" i="13"/>
  <c r="J20" i="13"/>
  <c r="J31" i="13"/>
  <c r="J18" i="13"/>
  <c r="J36" i="13"/>
  <c r="J29" i="13"/>
  <c r="J16" i="13"/>
  <c r="J34" i="13"/>
  <c r="J27" i="13"/>
  <c r="J21" i="13"/>
  <c r="J33" i="13"/>
  <c r="J25" i="13"/>
  <c r="X13" i="13"/>
  <c r="Z15" i="13"/>
  <c r="X21" i="13"/>
  <c r="F20" i="14"/>
  <c r="F18" i="14"/>
  <c r="F16" i="14"/>
  <c r="D18" i="14"/>
  <c r="F15" i="14"/>
  <c r="L12" i="14"/>
  <c r="F36" i="14"/>
  <c r="F34" i="14"/>
  <c r="F33" i="14"/>
  <c r="F31" i="14"/>
  <c r="F29" i="14"/>
  <c r="F27" i="14"/>
  <c r="F25" i="14"/>
  <c r="F24" i="14"/>
  <c r="F22" i="14"/>
  <c r="F21" i="14"/>
  <c r="X16" i="14"/>
  <c r="X20" i="14"/>
  <c r="L13" i="16"/>
  <c r="N21" i="16"/>
  <c r="L25" i="16"/>
  <c r="L29" i="16"/>
  <c r="L33" i="16"/>
  <c r="L34" i="16"/>
  <c r="N16" i="17"/>
  <c r="N20" i="17"/>
  <c r="L22" i="17"/>
  <c r="L24" i="17"/>
  <c r="Z21" i="19"/>
  <c r="Z34" i="20"/>
  <c r="Z21" i="25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1" i="14"/>
  <c r="J24" i="14"/>
  <c r="J18" i="14"/>
  <c r="H18" i="14"/>
  <c r="J22" i="14"/>
  <c r="J16" i="14"/>
  <c r="J15" i="14"/>
  <c r="J20" i="14"/>
  <c r="X13" i="14"/>
  <c r="Z15" i="14"/>
  <c r="X21" i="14"/>
  <c r="N13" i="16"/>
  <c r="N22" i="16"/>
  <c r="N24" i="16"/>
  <c r="L13" i="17"/>
  <c r="N21" i="17"/>
  <c r="L25" i="17"/>
  <c r="L29" i="17"/>
  <c r="L33" i="17"/>
  <c r="L34" i="17"/>
  <c r="R36" i="19"/>
  <c r="R34" i="19"/>
  <c r="R33" i="19"/>
  <c r="R31" i="19"/>
  <c r="R29" i="19"/>
  <c r="R27" i="19"/>
  <c r="R25" i="19"/>
  <c r="X12" i="19"/>
  <c r="R24" i="19"/>
  <c r="R22" i="19"/>
  <c r="R21" i="19"/>
  <c r="R20" i="19"/>
  <c r="R18" i="19"/>
  <c r="R16" i="19"/>
  <c r="R15" i="19"/>
  <c r="P18" i="19"/>
  <c r="Z22" i="19"/>
  <c r="Z24" i="19"/>
  <c r="N21" i="22"/>
  <c r="Z21" i="13"/>
  <c r="X25" i="13"/>
  <c r="X29" i="13"/>
  <c r="X33" i="13"/>
  <c r="X34" i="13"/>
  <c r="Z13" i="14"/>
  <c r="Z16" i="14"/>
  <c r="Z20" i="14"/>
  <c r="X22" i="14"/>
  <c r="X24" i="14"/>
  <c r="X15" i="16"/>
  <c r="N25" i="16"/>
  <c r="N29" i="16"/>
  <c r="N33" i="16"/>
  <c r="N34" i="16"/>
  <c r="N13" i="17"/>
  <c r="N22" i="17"/>
  <c r="N24" i="17"/>
  <c r="V31" i="19"/>
  <c r="V25" i="19"/>
  <c r="V36" i="19"/>
  <c r="V29" i="19"/>
  <c r="Z12" i="19"/>
  <c r="V34" i="19"/>
  <c r="V24" i="19"/>
  <c r="V22" i="19"/>
  <c r="V21" i="19"/>
  <c r="V33" i="19"/>
  <c r="V27" i="19"/>
  <c r="V20" i="19"/>
  <c r="V18" i="19"/>
  <c r="V16" i="19"/>
  <c r="T18" i="19"/>
  <c r="V15" i="19"/>
  <c r="L15" i="19"/>
  <c r="X29" i="19"/>
  <c r="X34" i="19"/>
  <c r="Z25" i="20"/>
  <c r="N16" i="23"/>
  <c r="L25" i="25"/>
  <c r="L21" i="32"/>
  <c r="X22" i="34"/>
  <c r="X12" i="1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Z22" i="13"/>
  <c r="Z24" i="13"/>
  <c r="Z21" i="14"/>
  <c r="X25" i="14"/>
  <c r="X29" i="14"/>
  <c r="X33" i="14"/>
  <c r="X34" i="14"/>
  <c r="L12" i="16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X16" i="16"/>
  <c r="X20" i="16"/>
  <c r="X15" i="17"/>
  <c r="N25" i="17"/>
  <c r="N29" i="17"/>
  <c r="N33" i="17"/>
  <c r="N34" i="17"/>
  <c r="L16" i="19"/>
  <c r="L20" i="19"/>
  <c r="Z29" i="19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Z22" i="14"/>
  <c r="Z2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X16" i="17"/>
  <c r="X20" i="17"/>
  <c r="N15" i="19"/>
  <c r="L21" i="19"/>
  <c r="N25" i="19"/>
  <c r="L25" i="22"/>
  <c r="N20" i="23"/>
  <c r="X15" i="28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N16" i="19"/>
  <c r="N20" i="19"/>
  <c r="L22" i="19"/>
  <c r="L24" i="19"/>
  <c r="L33" i="25"/>
  <c r="N15" i="13"/>
  <c r="L21" i="13"/>
  <c r="L16" i="14"/>
  <c r="L20" i="14"/>
  <c r="Z21" i="16"/>
  <c r="X25" i="16"/>
  <c r="X29" i="16"/>
  <c r="X33" i="16"/>
  <c r="X34" i="16"/>
  <c r="Z13" i="17"/>
  <c r="Z16" i="17"/>
  <c r="Z20" i="17"/>
  <c r="X22" i="17"/>
  <c r="X24" i="17"/>
  <c r="L13" i="19"/>
  <c r="N21" i="19"/>
  <c r="X25" i="19"/>
  <c r="Z29" i="20"/>
  <c r="L29" i="22"/>
  <c r="L22" i="23"/>
  <c r="N16" i="13"/>
  <c r="N20" i="13"/>
  <c r="L22" i="13"/>
  <c r="L24" i="13"/>
  <c r="N15" i="14"/>
  <c r="L21" i="14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X12" i="16"/>
  <c r="Z22" i="16"/>
  <c r="Z24" i="16"/>
  <c r="Z21" i="17"/>
  <c r="X25" i="17"/>
  <c r="X29" i="17"/>
  <c r="X33" i="17"/>
  <c r="X34" i="17"/>
  <c r="N13" i="19"/>
  <c r="N22" i="19"/>
  <c r="N24" i="19"/>
  <c r="Z25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X21" i="20"/>
  <c r="L24" i="23"/>
  <c r="N34" i="28"/>
  <c r="V24" i="16"/>
  <c r="V22" i="16"/>
  <c r="V21" i="16"/>
  <c r="V20" i="16"/>
  <c r="V18" i="16"/>
  <c r="V16" i="16"/>
  <c r="T18" i="16"/>
  <c r="V15" i="16"/>
  <c r="Z12" i="16"/>
  <c r="V36" i="16"/>
  <c r="V34" i="16"/>
  <c r="V33" i="16"/>
  <c r="V31" i="16"/>
  <c r="V29" i="16"/>
  <c r="V27" i="16"/>
  <c r="V25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X12" i="17"/>
  <c r="Z22" i="17"/>
  <c r="Z24" i="17"/>
  <c r="X15" i="19"/>
  <c r="Z12" i="20"/>
  <c r="V36" i="20"/>
  <c r="V34" i="20"/>
  <c r="V33" i="20"/>
  <c r="V31" i="20"/>
  <c r="V29" i="20"/>
  <c r="V27" i="20"/>
  <c r="V25" i="20"/>
  <c r="V21" i="20"/>
  <c r="V20" i="20"/>
  <c r="V18" i="20"/>
  <c r="V16" i="20"/>
  <c r="T18" i="20"/>
  <c r="V15" i="20"/>
  <c r="V24" i="20"/>
  <c r="V22" i="20"/>
  <c r="L13" i="22"/>
  <c r="L33" i="22"/>
  <c r="Z13" i="20"/>
  <c r="Z16" i="20"/>
  <c r="Z20" i="20"/>
  <c r="X22" i="20"/>
  <c r="X24" i="20"/>
  <c r="N13" i="22"/>
  <c r="N22" i="22"/>
  <c r="N24" i="22"/>
  <c r="L13" i="23"/>
  <c r="N21" i="23"/>
  <c r="L25" i="23"/>
  <c r="L29" i="23"/>
  <c r="L33" i="23"/>
  <c r="L34" i="23"/>
  <c r="P18" i="25"/>
  <c r="R15" i="25"/>
  <c r="R36" i="25"/>
  <c r="R29" i="25"/>
  <c r="R21" i="25"/>
  <c r="R22" i="25"/>
  <c r="R31" i="25"/>
  <c r="R24" i="25"/>
  <c r="R33" i="25"/>
  <c r="R25" i="25"/>
  <c r="R16" i="25"/>
  <c r="R34" i="25"/>
  <c r="R27" i="25"/>
  <c r="R18" i="25"/>
  <c r="X12" i="25"/>
  <c r="R20" i="25"/>
  <c r="N15" i="25"/>
  <c r="Z20" i="25"/>
  <c r="N25" i="25"/>
  <c r="N33" i="25"/>
  <c r="X34" i="25"/>
  <c r="N13" i="26"/>
  <c r="X25" i="26"/>
  <c r="X29" i="26"/>
  <c r="X33" i="26"/>
  <c r="X15" i="29"/>
  <c r="N34" i="29"/>
  <c r="Z22" i="34"/>
  <c r="Z21" i="20"/>
  <c r="X25" i="20"/>
  <c r="X29" i="20"/>
  <c r="X33" i="20"/>
  <c r="X34" i="20"/>
  <c r="X15" i="22"/>
  <c r="N25" i="22"/>
  <c r="N29" i="22"/>
  <c r="N33" i="22"/>
  <c r="N34" i="22"/>
  <c r="N13" i="23"/>
  <c r="N22" i="23"/>
  <c r="N24" i="23"/>
  <c r="L24" i="25"/>
  <c r="Z25" i="26"/>
  <c r="Z29" i="26"/>
  <c r="Z33" i="26"/>
  <c r="L29" i="28"/>
  <c r="N16" i="29"/>
  <c r="L22" i="29"/>
  <c r="V36" i="53"/>
  <c r="V34" i="53"/>
  <c r="V33" i="53"/>
  <c r="V31" i="53"/>
  <c r="V29" i="53"/>
  <c r="V27" i="53"/>
  <c r="V25" i="53"/>
  <c r="V20" i="53"/>
  <c r="V18" i="53"/>
  <c r="V16" i="53"/>
  <c r="V22" i="53"/>
  <c r="Z12" i="53"/>
  <c r="V21" i="53"/>
  <c r="V15" i="53"/>
  <c r="V24" i="53"/>
  <c r="T18" i="53"/>
  <c r="Z34" i="19"/>
  <c r="P18" i="20"/>
  <c r="R15" i="20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Z22" i="20"/>
  <c r="Z24" i="20"/>
  <c r="F21" i="22"/>
  <c r="F20" i="22"/>
  <c r="F18" i="22"/>
  <c r="F16" i="22"/>
  <c r="D18" i="22"/>
  <c r="F15" i="22"/>
  <c r="L12" i="22"/>
  <c r="F36" i="22"/>
  <c r="F34" i="22"/>
  <c r="F33" i="22"/>
  <c r="F31" i="22"/>
  <c r="F29" i="22"/>
  <c r="F27" i="22"/>
  <c r="F25" i="22"/>
  <c r="F24" i="22"/>
  <c r="F22" i="22"/>
  <c r="X16" i="22"/>
  <c r="X20" i="22"/>
  <c r="X15" i="23"/>
  <c r="N25" i="23"/>
  <c r="N29" i="23"/>
  <c r="N33" i="23"/>
  <c r="N34" i="23"/>
  <c r="X13" i="26"/>
  <c r="N29" i="28"/>
  <c r="N22" i="29"/>
  <c r="Z22" i="32"/>
  <c r="H18" i="22"/>
  <c r="J15" i="22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X13" i="22"/>
  <c r="Z15" i="22"/>
  <c r="X21" i="22"/>
  <c r="F20" i="23"/>
  <c r="F18" i="23"/>
  <c r="F16" i="23"/>
  <c r="D18" i="23"/>
  <c r="F15" i="23"/>
  <c r="L12" i="23"/>
  <c r="F36" i="23"/>
  <c r="F34" i="23"/>
  <c r="F33" i="23"/>
  <c r="F31" i="23"/>
  <c r="F29" i="23"/>
  <c r="F27" i="23"/>
  <c r="F25" i="23"/>
  <c r="F24" i="23"/>
  <c r="F22" i="23"/>
  <c r="F21" i="23"/>
  <c r="X16" i="23"/>
  <c r="X20" i="23"/>
  <c r="L22" i="25"/>
  <c r="X25" i="25"/>
  <c r="X33" i="25"/>
  <c r="Z13" i="26"/>
  <c r="L16" i="26"/>
  <c r="L24" i="26"/>
  <c r="X16" i="28"/>
  <c r="N29" i="29"/>
  <c r="L16" i="20"/>
  <c r="L20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L13" i="25"/>
  <c r="X15" i="25"/>
  <c r="Z16" i="25"/>
  <c r="L21" i="25"/>
  <c r="F24" i="26"/>
  <c r="F22" i="26"/>
  <c r="F36" i="26"/>
  <c r="F33" i="26"/>
  <c r="F29" i="26"/>
  <c r="F25" i="26"/>
  <c r="F20" i="26"/>
  <c r="F15" i="26"/>
  <c r="L12" i="26"/>
  <c r="F34" i="26"/>
  <c r="F31" i="26"/>
  <c r="F27" i="26"/>
  <c r="F16" i="26"/>
  <c r="F21" i="26"/>
  <c r="F18" i="26"/>
  <c r="D18" i="26"/>
  <c r="N24" i="26"/>
  <c r="L24" i="29"/>
  <c r="Z20" i="31"/>
  <c r="N15" i="20"/>
  <c r="L21" i="20"/>
  <c r="Z21" i="22"/>
  <c r="X25" i="22"/>
  <c r="X29" i="22"/>
  <c r="X33" i="22"/>
  <c r="X34" i="22"/>
  <c r="Z13" i="23"/>
  <c r="Z16" i="23"/>
  <c r="Z20" i="23"/>
  <c r="X22" i="23"/>
  <c r="X24" i="23"/>
  <c r="N13" i="25"/>
  <c r="Z15" i="25"/>
  <c r="L20" i="25"/>
  <c r="N22" i="25"/>
  <c r="X24" i="25"/>
  <c r="L29" i="25"/>
  <c r="J24" i="26"/>
  <c r="J22" i="26"/>
  <c r="J20" i="26"/>
  <c r="J18" i="26"/>
  <c r="J16" i="26"/>
  <c r="J15" i="26"/>
  <c r="N12" i="26"/>
  <c r="J34" i="26"/>
  <c r="J31" i="26"/>
  <c r="J27" i="26"/>
  <c r="J21" i="26"/>
  <c r="H18" i="26"/>
  <c r="J36" i="26"/>
  <c r="J33" i="26"/>
  <c r="J29" i="26"/>
  <c r="J25" i="26"/>
  <c r="L15" i="26"/>
  <c r="N16" i="26"/>
  <c r="N24" i="29"/>
  <c r="Z29" i="31"/>
  <c r="L25" i="19"/>
  <c r="L29" i="19"/>
  <c r="L33" i="19"/>
  <c r="L34" i="19"/>
  <c r="N16" i="20"/>
  <c r="N20" i="20"/>
  <c r="L22" i="20"/>
  <c r="L24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N21" i="25"/>
  <c r="N29" i="25"/>
  <c r="Z21" i="26"/>
  <c r="X34" i="26"/>
  <c r="F21" i="28"/>
  <c r="F20" i="28"/>
  <c r="F18" i="28"/>
  <c r="F16" i="28"/>
  <c r="D18" i="28"/>
  <c r="F15" i="28"/>
  <c r="L12" i="28"/>
  <c r="F36" i="28"/>
  <c r="F34" i="28"/>
  <c r="F33" i="28"/>
  <c r="F31" i="28"/>
  <c r="F29" i="28"/>
  <c r="F27" i="28"/>
  <c r="F25" i="28"/>
  <c r="F24" i="28"/>
  <c r="F22" i="28"/>
  <c r="L21" i="31"/>
  <c r="X13" i="35"/>
  <c r="L13" i="20"/>
  <c r="N21" i="20"/>
  <c r="L25" i="20"/>
  <c r="L29" i="20"/>
  <c r="L33" i="20"/>
  <c r="L34" i="20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X13" i="25"/>
  <c r="N20" i="25"/>
  <c r="Z24" i="25"/>
  <c r="N15" i="26"/>
  <c r="X16" i="26"/>
  <c r="L20" i="26"/>
  <c r="Z34" i="26"/>
  <c r="L13" i="28"/>
  <c r="L25" i="28"/>
  <c r="L33" i="28"/>
  <c r="N20" i="29"/>
  <c r="L22" i="31"/>
  <c r="L33" i="31"/>
  <c r="N29" i="19"/>
  <c r="N33" i="19"/>
  <c r="N34" i="19"/>
  <c r="N13" i="20"/>
  <c r="N22" i="20"/>
  <c r="N2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Z13" i="25"/>
  <c r="X22" i="25"/>
  <c r="L34" i="25"/>
  <c r="V21" i="26"/>
  <c r="Z12" i="26"/>
  <c r="V16" i="26"/>
  <c r="V34" i="26"/>
  <c r="V31" i="26"/>
  <c r="V27" i="26"/>
  <c r="V24" i="26"/>
  <c r="V18" i="26"/>
  <c r="T18" i="26"/>
  <c r="V36" i="26"/>
  <c r="V33" i="26"/>
  <c r="V29" i="26"/>
  <c r="V25" i="26"/>
  <c r="V22" i="26"/>
  <c r="V20" i="26"/>
  <c r="V15" i="26"/>
  <c r="Z16" i="26"/>
  <c r="N25" i="28"/>
  <c r="N33" i="28"/>
  <c r="N13" i="29"/>
  <c r="N13" i="31"/>
  <c r="N22" i="31"/>
  <c r="L22" i="35"/>
  <c r="X15" i="20"/>
  <c r="N25" i="20"/>
  <c r="N29" i="20"/>
  <c r="N33" i="20"/>
  <c r="N34" i="20"/>
  <c r="N15" i="22"/>
  <c r="L21" i="22"/>
  <c r="L16" i="23"/>
  <c r="L20" i="23"/>
  <c r="J36" i="25"/>
  <c r="J34" i="25"/>
  <c r="J33" i="25"/>
  <c r="J31" i="25"/>
  <c r="J29" i="25"/>
  <c r="J27" i="25"/>
  <c r="J25" i="25"/>
  <c r="J18" i="25"/>
  <c r="H18" i="25"/>
  <c r="J20" i="25"/>
  <c r="J21" i="25"/>
  <c r="J22" i="25"/>
  <c r="J24" i="25"/>
  <c r="J15" i="25"/>
  <c r="J16" i="25"/>
  <c r="N12" i="25"/>
  <c r="L16" i="25"/>
  <c r="X21" i="25"/>
  <c r="X29" i="25"/>
  <c r="N34" i="25"/>
  <c r="N20" i="26"/>
  <c r="L22" i="26"/>
  <c r="X20" i="28"/>
  <c r="N25" i="29"/>
  <c r="N33" i="29"/>
  <c r="X33" i="31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N16" i="22"/>
  <c r="N20" i="22"/>
  <c r="L22" i="22"/>
  <c r="L24" i="22"/>
  <c r="N15" i="23"/>
  <c r="L21" i="23"/>
  <c r="Z22" i="25"/>
  <c r="N22" i="26"/>
  <c r="N21" i="28"/>
  <c r="L34" i="28"/>
  <c r="X24" i="31"/>
  <c r="V24" i="25"/>
  <c r="V22" i="25"/>
  <c r="V31" i="25"/>
  <c r="V15" i="25"/>
  <c r="V33" i="25"/>
  <c r="V25" i="25"/>
  <c r="V16" i="25"/>
  <c r="V18" i="25"/>
  <c r="V34" i="25"/>
  <c r="V27" i="25"/>
  <c r="T18" i="25"/>
  <c r="Z12" i="25"/>
  <c r="V20" i="25"/>
  <c r="V21" i="25"/>
  <c r="V36" i="25"/>
  <c r="V29" i="25"/>
  <c r="L15" i="25"/>
  <c r="Z25" i="25"/>
  <c r="Z29" i="25"/>
  <c r="Z33" i="25"/>
  <c r="Z34" i="25"/>
  <c r="R21" i="26"/>
  <c r="R20" i="26"/>
  <c r="R18" i="26"/>
  <c r="R16" i="26"/>
  <c r="R36" i="26"/>
  <c r="R34" i="26"/>
  <c r="R33" i="26"/>
  <c r="R31" i="26"/>
  <c r="R29" i="26"/>
  <c r="R27" i="26"/>
  <c r="R25" i="26"/>
  <c r="R15" i="26"/>
  <c r="X12" i="26"/>
  <c r="R24" i="26"/>
  <c r="P18" i="26"/>
  <c r="R22" i="26"/>
  <c r="Z22" i="26"/>
  <c r="Z24" i="26"/>
  <c r="N13" i="28"/>
  <c r="N22" i="28"/>
  <c r="N24" i="28"/>
  <c r="L13" i="29"/>
  <c r="N21" i="29"/>
  <c r="L25" i="29"/>
  <c r="L29" i="29"/>
  <c r="L33" i="29"/>
  <c r="L34" i="29"/>
  <c r="L13" i="31"/>
  <c r="X29" i="31"/>
  <c r="R24" i="32"/>
  <c r="R22" i="32"/>
  <c r="R20" i="32"/>
  <c r="R18" i="32"/>
  <c r="R16" i="32"/>
  <c r="P18" i="32"/>
  <c r="R15" i="32"/>
  <c r="R34" i="32"/>
  <c r="R31" i="32"/>
  <c r="R27" i="32"/>
  <c r="R21" i="32"/>
  <c r="R29" i="32"/>
  <c r="R25" i="32"/>
  <c r="R36" i="32"/>
  <c r="X12" i="32"/>
  <c r="R33" i="32"/>
  <c r="X15" i="32"/>
  <c r="X22" i="32"/>
  <c r="N25" i="32"/>
  <c r="N29" i="32"/>
  <c r="N33" i="32"/>
  <c r="L15" i="34"/>
  <c r="Z21" i="34"/>
  <c r="L21" i="26"/>
  <c r="H18" i="28"/>
  <c r="J15" i="28"/>
  <c r="N12" i="28"/>
  <c r="J21" i="28"/>
  <c r="J33" i="28"/>
  <c r="J25" i="28"/>
  <c r="J20" i="28"/>
  <c r="J31" i="28"/>
  <c r="J24" i="28"/>
  <c r="J18" i="28"/>
  <c r="J36" i="28"/>
  <c r="J29" i="28"/>
  <c r="J22" i="28"/>
  <c r="J16" i="28"/>
  <c r="J34" i="28"/>
  <c r="J27" i="28"/>
  <c r="X13" i="28"/>
  <c r="Z15" i="28"/>
  <c r="X21" i="28"/>
  <c r="F20" i="29"/>
  <c r="F18" i="29"/>
  <c r="F16" i="29"/>
  <c r="D18" i="29"/>
  <c r="F15" i="29"/>
  <c r="L12" i="29"/>
  <c r="F24" i="29"/>
  <c r="F22" i="29"/>
  <c r="F21" i="29"/>
  <c r="F33" i="29"/>
  <c r="F25" i="29"/>
  <c r="F31" i="29"/>
  <c r="F36" i="29"/>
  <c r="F29" i="29"/>
  <c r="F34" i="29"/>
  <c r="F27" i="29"/>
  <c r="X16" i="29"/>
  <c r="X20" i="29"/>
  <c r="Z13" i="31"/>
  <c r="N16" i="31"/>
  <c r="X22" i="31"/>
  <c r="Z33" i="31"/>
  <c r="L16" i="32"/>
  <c r="N21" i="32"/>
  <c r="Z13" i="35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0" i="29"/>
  <c r="J18" i="29"/>
  <c r="J16" i="29"/>
  <c r="J15" i="29"/>
  <c r="J24" i="29"/>
  <c r="H18" i="29"/>
  <c r="J22" i="29"/>
  <c r="J21" i="29"/>
  <c r="X13" i="29"/>
  <c r="Z15" i="29"/>
  <c r="X21" i="29"/>
  <c r="N21" i="31"/>
  <c r="L25" i="31"/>
  <c r="L13" i="32"/>
  <c r="L24" i="32"/>
  <c r="Z24" i="34"/>
  <c r="X24" i="35"/>
  <c r="N15" i="37"/>
  <c r="N34" i="41"/>
  <c r="F24" i="49"/>
  <c r="F22" i="49"/>
  <c r="F21" i="49"/>
  <c r="D18" i="49"/>
  <c r="F15" i="49"/>
  <c r="F34" i="49"/>
  <c r="F25" i="49"/>
  <c r="F29" i="49"/>
  <c r="F18" i="49"/>
  <c r="F33" i="49"/>
  <c r="F31" i="49"/>
  <c r="F20" i="49"/>
  <c r="F36" i="49"/>
  <c r="F16" i="49"/>
  <c r="L12" i="49"/>
  <c r="F27" i="49"/>
  <c r="N24" i="25"/>
  <c r="L13" i="26"/>
  <c r="N21" i="26"/>
  <c r="L25" i="26"/>
  <c r="L29" i="26"/>
  <c r="L33" i="26"/>
  <c r="L34" i="26"/>
  <c r="Z21" i="28"/>
  <c r="X25" i="28"/>
  <c r="X29" i="28"/>
  <c r="X33" i="28"/>
  <c r="X34" i="28"/>
  <c r="Z13" i="29"/>
  <c r="Z16" i="29"/>
  <c r="Z20" i="29"/>
  <c r="X22" i="29"/>
  <c r="X24" i="29"/>
  <c r="L15" i="31"/>
  <c r="N16" i="32"/>
  <c r="L20" i="32"/>
  <c r="Z24" i="35"/>
  <c r="L20" i="38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Z22" i="28"/>
  <c r="Z24" i="28"/>
  <c r="Z21" i="29"/>
  <c r="X25" i="29"/>
  <c r="X29" i="29"/>
  <c r="X33" i="29"/>
  <c r="X34" i="29"/>
  <c r="D18" i="31"/>
  <c r="F15" i="31"/>
  <c r="F18" i="31"/>
  <c r="F29" i="31"/>
  <c r="F24" i="31"/>
  <c r="F34" i="31"/>
  <c r="L12" i="31"/>
  <c r="F20" i="31"/>
  <c r="F31" i="31"/>
  <c r="F25" i="31"/>
  <c r="F21" i="31"/>
  <c r="F33" i="31"/>
  <c r="F22" i="31"/>
  <c r="F27" i="31"/>
  <c r="F36" i="31"/>
  <c r="F16" i="31"/>
  <c r="N15" i="31"/>
  <c r="X16" i="31"/>
  <c r="L34" i="31"/>
  <c r="Z13" i="32"/>
  <c r="N34" i="32"/>
  <c r="L25" i="34"/>
  <c r="Z33" i="34"/>
  <c r="L16" i="35"/>
  <c r="N20" i="37"/>
  <c r="F36" i="25"/>
  <c r="F34" i="25"/>
  <c r="F33" i="25"/>
  <c r="F31" i="25"/>
  <c r="F29" i="25"/>
  <c r="F27" i="25"/>
  <c r="F25" i="25"/>
  <c r="F16" i="25"/>
  <c r="L12" i="25"/>
  <c r="F18" i="25"/>
  <c r="D18" i="25"/>
  <c r="F20" i="25"/>
  <c r="F21" i="25"/>
  <c r="F22" i="25"/>
  <c r="F24" i="25"/>
  <c r="F15" i="25"/>
  <c r="X16" i="25"/>
  <c r="X20" i="25"/>
  <c r="X15" i="26"/>
  <c r="N25" i="26"/>
  <c r="N29" i="26"/>
  <c r="N33" i="26"/>
  <c r="N3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Z16" i="31"/>
  <c r="N20" i="31"/>
  <c r="L24" i="31"/>
  <c r="N20" i="32"/>
  <c r="X24" i="32"/>
  <c r="F21" i="34"/>
  <c r="D18" i="34"/>
  <c r="F15" i="34"/>
  <c r="F31" i="34"/>
  <c r="F20" i="34"/>
  <c r="F33" i="34"/>
  <c r="F22" i="34"/>
  <c r="F34" i="34"/>
  <c r="F24" i="34"/>
  <c r="F36" i="34"/>
  <c r="F25" i="34"/>
  <c r="F29" i="34"/>
  <c r="F27" i="34"/>
  <c r="L12" i="34"/>
  <c r="F18" i="34"/>
  <c r="F16" i="34"/>
  <c r="L21" i="37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Z21" i="31"/>
  <c r="X25" i="31"/>
  <c r="L29" i="31"/>
  <c r="Z16" i="32"/>
  <c r="Z24" i="32"/>
  <c r="X20" i="34"/>
  <c r="X21" i="26"/>
  <c r="N15" i="28"/>
  <c r="L21" i="28"/>
  <c r="L16" i="29"/>
  <c r="L20" i="29"/>
  <c r="V21" i="31"/>
  <c r="V36" i="31"/>
  <c r="V34" i="31"/>
  <c r="V33" i="31"/>
  <c r="V31" i="31"/>
  <c r="V29" i="31"/>
  <c r="V27" i="31"/>
  <c r="V25" i="31"/>
  <c r="Z12" i="31"/>
  <c r="V16" i="31"/>
  <c r="V22" i="31"/>
  <c r="V18" i="31"/>
  <c r="T18" i="31"/>
  <c r="V20" i="31"/>
  <c r="V15" i="31"/>
  <c r="V24" i="31"/>
  <c r="N24" i="31"/>
  <c r="Z25" i="31"/>
  <c r="X34" i="31"/>
  <c r="N15" i="32"/>
  <c r="L22" i="32"/>
  <c r="Z20" i="26"/>
  <c r="X22" i="26"/>
  <c r="X24" i="26"/>
  <c r="N16" i="28"/>
  <c r="N20" i="28"/>
  <c r="L22" i="28"/>
  <c r="L24" i="28"/>
  <c r="N15" i="29"/>
  <c r="L21" i="29"/>
  <c r="X20" i="31"/>
  <c r="Z34" i="31"/>
  <c r="Z20" i="32"/>
  <c r="Z13" i="34"/>
  <c r="Z20" i="35"/>
  <c r="L16" i="31"/>
  <c r="L20" i="31"/>
  <c r="V20" i="32"/>
  <c r="V18" i="32"/>
  <c r="V16" i="32"/>
  <c r="V24" i="32"/>
  <c r="V22" i="32"/>
  <c r="V34" i="32"/>
  <c r="V31" i="32"/>
  <c r="V27" i="32"/>
  <c r="V21" i="32"/>
  <c r="V36" i="32"/>
  <c r="V33" i="32"/>
  <c r="V29" i="32"/>
  <c r="V25" i="32"/>
  <c r="T18" i="32"/>
  <c r="V15" i="32"/>
  <c r="Z12" i="32"/>
  <c r="L15" i="32"/>
  <c r="Z25" i="32"/>
  <c r="Z29" i="32"/>
  <c r="Z33" i="32"/>
  <c r="Z34" i="32"/>
  <c r="H18" i="34"/>
  <c r="J15" i="34"/>
  <c r="J20" i="34"/>
  <c r="J33" i="34"/>
  <c r="J21" i="34"/>
  <c r="J22" i="34"/>
  <c r="J34" i="34"/>
  <c r="J24" i="34"/>
  <c r="J36" i="34"/>
  <c r="J25" i="34"/>
  <c r="J27" i="34"/>
  <c r="J18" i="34"/>
  <c r="N12" i="34"/>
  <c r="J16" i="34"/>
  <c r="J31" i="34"/>
  <c r="J29" i="34"/>
  <c r="X21" i="34"/>
  <c r="N29" i="34"/>
  <c r="X33" i="34"/>
  <c r="Z34" i="34"/>
  <c r="N22" i="35"/>
  <c r="Z13" i="37"/>
  <c r="Z20" i="37"/>
  <c r="L20" i="43"/>
  <c r="X12" i="34"/>
  <c r="R24" i="34"/>
  <c r="R36" i="34"/>
  <c r="R25" i="34"/>
  <c r="R27" i="34"/>
  <c r="R15" i="34"/>
  <c r="R16" i="34"/>
  <c r="R29" i="34"/>
  <c r="R18" i="34"/>
  <c r="R31" i="34"/>
  <c r="P18" i="34"/>
  <c r="R22" i="34"/>
  <c r="R20" i="34"/>
  <c r="R34" i="34"/>
  <c r="R33" i="34"/>
  <c r="R21" i="34"/>
  <c r="N15" i="34"/>
  <c r="Z20" i="34"/>
  <c r="F24" i="35"/>
  <c r="F22" i="35"/>
  <c r="F20" i="35"/>
  <c r="F18" i="35"/>
  <c r="F16" i="35"/>
  <c r="F36" i="35"/>
  <c r="D18" i="35"/>
  <c r="F33" i="35"/>
  <c r="F29" i="35"/>
  <c r="F15" i="35"/>
  <c r="L12" i="35"/>
  <c r="F25" i="35"/>
  <c r="F34" i="35"/>
  <c r="F21" i="35"/>
  <c r="F27" i="35"/>
  <c r="F31" i="35"/>
  <c r="N16" i="35"/>
  <c r="X22" i="35"/>
  <c r="F20" i="40"/>
  <c r="F18" i="40"/>
  <c r="F16" i="40"/>
  <c r="L12" i="40"/>
  <c r="F24" i="40"/>
  <c r="F22" i="40"/>
  <c r="F21" i="40"/>
  <c r="F34" i="40"/>
  <c r="F29" i="40"/>
  <c r="F15" i="40"/>
  <c r="F33" i="40"/>
  <c r="F27" i="40"/>
  <c r="D18" i="40"/>
  <c r="F31" i="40"/>
  <c r="F25" i="40"/>
  <c r="F36" i="40"/>
  <c r="X15" i="41"/>
  <c r="Z13" i="49"/>
  <c r="L25" i="32"/>
  <c r="L29" i="32"/>
  <c r="L33" i="32"/>
  <c r="L34" i="32"/>
  <c r="V36" i="34"/>
  <c r="V34" i="34"/>
  <c r="V33" i="34"/>
  <c r="V31" i="34"/>
  <c r="V29" i="34"/>
  <c r="V27" i="34"/>
  <c r="V25" i="34"/>
  <c r="V15" i="34"/>
  <c r="V16" i="34"/>
  <c r="V18" i="34"/>
  <c r="T18" i="34"/>
  <c r="Z12" i="34"/>
  <c r="V20" i="34"/>
  <c r="V21" i="34"/>
  <c r="V24" i="34"/>
  <c r="V22" i="34"/>
  <c r="N25" i="34"/>
  <c r="X29" i="34"/>
  <c r="L34" i="34"/>
  <c r="J20" i="35"/>
  <c r="J18" i="35"/>
  <c r="J16" i="35"/>
  <c r="J33" i="35"/>
  <c r="J24" i="35"/>
  <c r="J29" i="35"/>
  <c r="J25" i="35"/>
  <c r="J15" i="35"/>
  <c r="N12" i="35"/>
  <c r="J34" i="35"/>
  <c r="J21" i="35"/>
  <c r="J31" i="35"/>
  <c r="J36" i="35"/>
  <c r="J27" i="35"/>
  <c r="H18" i="35"/>
  <c r="J22" i="35"/>
  <c r="N34" i="35"/>
  <c r="X15" i="31"/>
  <c r="N25" i="31"/>
  <c r="N29" i="31"/>
  <c r="N33" i="31"/>
  <c r="N34" i="31"/>
  <c r="N13" i="32"/>
  <c r="N22" i="32"/>
  <c r="N24" i="32"/>
  <c r="X16" i="34"/>
  <c r="N24" i="34"/>
  <c r="Z22" i="35"/>
  <c r="N25" i="35"/>
  <c r="N16" i="37"/>
  <c r="L22" i="37"/>
  <c r="L21" i="38"/>
  <c r="X16" i="40"/>
  <c r="L13" i="34"/>
  <c r="X15" i="34"/>
  <c r="Z29" i="34"/>
  <c r="L33" i="34"/>
  <c r="N34" i="34"/>
  <c r="X16" i="35"/>
  <c r="L20" i="35"/>
  <c r="Z16" i="37"/>
  <c r="X22" i="37"/>
  <c r="J24" i="31"/>
  <c r="J22" i="31"/>
  <c r="J29" i="31"/>
  <c r="J34" i="31"/>
  <c r="J20" i="31"/>
  <c r="N12" i="31"/>
  <c r="J15" i="31"/>
  <c r="J31" i="31"/>
  <c r="J25" i="31"/>
  <c r="J21" i="31"/>
  <c r="J16" i="31"/>
  <c r="J36" i="31"/>
  <c r="J18" i="31"/>
  <c r="J33" i="31"/>
  <c r="J27" i="31"/>
  <c r="H18" i="31"/>
  <c r="X13" i="31"/>
  <c r="Z15" i="31"/>
  <c r="X21" i="31"/>
  <c r="F36" i="32"/>
  <c r="F34" i="32"/>
  <c r="F33" i="32"/>
  <c r="F31" i="32"/>
  <c r="F29" i="32"/>
  <c r="F27" i="32"/>
  <c r="F25" i="32"/>
  <c r="F22" i="32"/>
  <c r="D18" i="32"/>
  <c r="F15" i="32"/>
  <c r="F20" i="32"/>
  <c r="F24" i="32"/>
  <c r="F16" i="32"/>
  <c r="F18" i="32"/>
  <c r="L12" i="32"/>
  <c r="F21" i="32"/>
  <c r="X16" i="32"/>
  <c r="X20" i="32"/>
  <c r="N13" i="34"/>
  <c r="Z16" i="34"/>
  <c r="L21" i="34"/>
  <c r="N22" i="34"/>
  <c r="R20" i="35"/>
  <c r="R18" i="35"/>
  <c r="R16" i="35"/>
  <c r="R29" i="35"/>
  <c r="R15" i="35"/>
  <c r="R25" i="35"/>
  <c r="X12" i="35"/>
  <c r="R34" i="35"/>
  <c r="R21" i="35"/>
  <c r="R31" i="35"/>
  <c r="R22" i="35"/>
  <c r="R27" i="35"/>
  <c r="R33" i="35"/>
  <c r="R24" i="35"/>
  <c r="P18" i="35"/>
  <c r="R36" i="35"/>
  <c r="Z16" i="35"/>
  <c r="N20" i="35"/>
  <c r="L24" i="35"/>
  <c r="N29" i="35"/>
  <c r="N12" i="32"/>
  <c r="J36" i="32"/>
  <c r="J34" i="32"/>
  <c r="J33" i="32"/>
  <c r="J31" i="32"/>
  <c r="J29" i="32"/>
  <c r="J27" i="32"/>
  <c r="J25" i="32"/>
  <c r="J21" i="32"/>
  <c r="J15" i="32"/>
  <c r="J20" i="32"/>
  <c r="J24" i="32"/>
  <c r="J16" i="32"/>
  <c r="H18" i="32"/>
  <c r="J18" i="32"/>
  <c r="J22" i="32"/>
  <c r="X13" i="32"/>
  <c r="Z15" i="32"/>
  <c r="X21" i="32"/>
  <c r="Z15" i="34"/>
  <c r="N21" i="34"/>
  <c r="X25" i="34"/>
  <c r="N33" i="34"/>
  <c r="X15" i="35"/>
  <c r="Z21" i="35"/>
  <c r="N24" i="35"/>
  <c r="L24" i="37"/>
  <c r="L29" i="41"/>
  <c r="X24" i="34"/>
  <c r="N33" i="35"/>
  <c r="X24" i="37"/>
  <c r="N15" i="38"/>
  <c r="N29" i="41"/>
  <c r="F24" i="43"/>
  <c r="F22" i="43"/>
  <c r="F31" i="43"/>
  <c r="F16" i="43"/>
  <c r="F33" i="43"/>
  <c r="F25" i="43"/>
  <c r="F15" i="43"/>
  <c r="F18" i="43"/>
  <c r="D18" i="43"/>
  <c r="F34" i="43"/>
  <c r="F27" i="43"/>
  <c r="F20" i="43"/>
  <c r="F21" i="43"/>
  <c r="F29" i="43"/>
  <c r="L12" i="43"/>
  <c r="F36" i="43"/>
  <c r="R36" i="31"/>
  <c r="R34" i="31"/>
  <c r="R33" i="31"/>
  <c r="R31" i="31"/>
  <c r="R29" i="31"/>
  <c r="R27" i="31"/>
  <c r="R25" i="31"/>
  <c r="R20" i="31"/>
  <c r="R18" i="31"/>
  <c r="R16" i="31"/>
  <c r="X12" i="31"/>
  <c r="R15" i="31"/>
  <c r="R21" i="31"/>
  <c r="R22" i="31"/>
  <c r="R24" i="31"/>
  <c r="P18" i="31"/>
  <c r="Z22" i="31"/>
  <c r="Z24" i="31"/>
  <c r="Z21" i="32"/>
  <c r="X25" i="32"/>
  <c r="X29" i="32"/>
  <c r="X33" i="32"/>
  <c r="X34" i="32"/>
  <c r="X13" i="34"/>
  <c r="Z25" i="34"/>
  <c r="L29" i="34"/>
  <c r="X34" i="34"/>
  <c r="N13" i="35"/>
  <c r="Z15" i="35"/>
  <c r="X20" i="35"/>
  <c r="L16" i="38"/>
  <c r="L34" i="41"/>
  <c r="X21" i="35"/>
  <c r="L13" i="37"/>
  <c r="N21" i="37"/>
  <c r="L25" i="37"/>
  <c r="L29" i="37"/>
  <c r="L33" i="37"/>
  <c r="L34" i="37"/>
  <c r="N16" i="38"/>
  <c r="N20" i="38"/>
  <c r="L22" i="38"/>
  <c r="L24" i="38"/>
  <c r="Z29" i="41"/>
  <c r="Z34" i="41"/>
  <c r="N13" i="43"/>
  <c r="Z20" i="43"/>
  <c r="Z29" i="46"/>
  <c r="Z33" i="47"/>
  <c r="N13" i="37"/>
  <c r="N22" i="37"/>
  <c r="N24" i="37"/>
  <c r="L13" i="38"/>
  <c r="N21" i="38"/>
  <c r="L25" i="38"/>
  <c r="L29" i="38"/>
  <c r="L33" i="38"/>
  <c r="L34" i="38"/>
  <c r="L22" i="40"/>
  <c r="L21" i="41"/>
  <c r="F21" i="44"/>
  <c r="F16" i="44"/>
  <c r="F33" i="44"/>
  <c r="F27" i="44"/>
  <c r="F22" i="44"/>
  <c r="F18" i="44"/>
  <c r="D18" i="44"/>
  <c r="F24" i="44"/>
  <c r="L12" i="44"/>
  <c r="F15" i="44"/>
  <c r="F36" i="44"/>
  <c r="F25" i="44"/>
  <c r="F34" i="44"/>
  <c r="F31" i="44"/>
  <c r="F29" i="44"/>
  <c r="F20" i="44"/>
  <c r="L15" i="46"/>
  <c r="Z33" i="46"/>
  <c r="X25" i="35"/>
  <c r="X29" i="35"/>
  <c r="X33" i="35"/>
  <c r="X34" i="35"/>
  <c r="X15" i="37"/>
  <c r="N25" i="37"/>
  <c r="N29" i="37"/>
  <c r="N33" i="37"/>
  <c r="N34" i="37"/>
  <c r="N13" i="38"/>
  <c r="N22" i="38"/>
  <c r="N24" i="38"/>
  <c r="N13" i="40"/>
  <c r="N22" i="40"/>
  <c r="N21" i="41"/>
  <c r="L25" i="41"/>
  <c r="Z13" i="43"/>
  <c r="V21" i="44"/>
  <c r="V20" i="44"/>
  <c r="V18" i="44"/>
  <c r="V16" i="44"/>
  <c r="T18" i="44"/>
  <c r="V34" i="44"/>
  <c r="V29" i="44"/>
  <c r="V24" i="44"/>
  <c r="V15" i="44"/>
  <c r="Z12" i="44"/>
  <c r="V36" i="44"/>
  <c r="V31" i="44"/>
  <c r="V25" i="44"/>
  <c r="V33" i="44"/>
  <c r="V27" i="44"/>
  <c r="V22" i="44"/>
  <c r="N29" i="49"/>
  <c r="D18" i="37"/>
  <c r="F15" i="37"/>
  <c r="F36" i="37"/>
  <c r="F34" i="37"/>
  <c r="F33" i="37"/>
  <c r="F31" i="37"/>
  <c r="F29" i="37"/>
  <c r="F27" i="37"/>
  <c r="F25" i="37"/>
  <c r="F24" i="37"/>
  <c r="F22" i="37"/>
  <c r="F20" i="37"/>
  <c r="L12" i="37"/>
  <c r="F18" i="37"/>
  <c r="F16" i="37"/>
  <c r="F21" i="37"/>
  <c r="X16" i="37"/>
  <c r="X20" i="37"/>
  <c r="X15" i="38"/>
  <c r="N25" i="38"/>
  <c r="N29" i="38"/>
  <c r="N33" i="38"/>
  <c r="N34" i="38"/>
  <c r="N25" i="41"/>
  <c r="L15" i="44"/>
  <c r="Z33" i="44"/>
  <c r="Z34" i="46"/>
  <c r="X13" i="50"/>
  <c r="L16" i="34"/>
  <c r="L20" i="34"/>
  <c r="Z12" i="35"/>
  <c r="V24" i="35"/>
  <c r="V22" i="35"/>
  <c r="V25" i="35"/>
  <c r="V21" i="35"/>
  <c r="V34" i="35"/>
  <c r="V16" i="35"/>
  <c r="V31" i="35"/>
  <c r="V27" i="35"/>
  <c r="V18" i="35"/>
  <c r="V36" i="35"/>
  <c r="T18" i="35"/>
  <c r="V20" i="35"/>
  <c r="V29" i="35"/>
  <c r="V15" i="35"/>
  <c r="V33" i="35"/>
  <c r="L15" i="35"/>
  <c r="Z25" i="35"/>
  <c r="Z29" i="35"/>
  <c r="Z33" i="35"/>
  <c r="Z34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X13" i="37"/>
  <c r="Z15" i="37"/>
  <c r="X21" i="37"/>
  <c r="L12" i="38"/>
  <c r="F36" i="38"/>
  <c r="F34" i="38"/>
  <c r="F33" i="38"/>
  <c r="F31" i="38"/>
  <c r="F29" i="38"/>
  <c r="F27" i="38"/>
  <c r="F25" i="38"/>
  <c r="F24" i="38"/>
  <c r="F22" i="38"/>
  <c r="F21" i="38"/>
  <c r="F15" i="38"/>
  <c r="F20" i="38"/>
  <c r="D18" i="38"/>
  <c r="F18" i="38"/>
  <c r="F16" i="38"/>
  <c r="X16" i="38"/>
  <c r="X20" i="38"/>
  <c r="L20" i="40"/>
  <c r="V36" i="41"/>
  <c r="V34" i="41"/>
  <c r="V33" i="41"/>
  <c r="V31" i="41"/>
  <c r="V29" i="41"/>
  <c r="V27" i="41"/>
  <c r="V25" i="41"/>
  <c r="V21" i="41"/>
  <c r="V20" i="41"/>
  <c r="V18" i="41"/>
  <c r="V16" i="41"/>
  <c r="T18" i="41"/>
  <c r="V15" i="41"/>
  <c r="V22" i="41"/>
  <c r="Z12" i="41"/>
  <c r="V24" i="41"/>
  <c r="Z25" i="41"/>
  <c r="N22" i="43"/>
  <c r="N15" i="44"/>
  <c r="R21" i="47"/>
  <c r="P18" i="47"/>
  <c r="R22" i="47"/>
  <c r="R20" i="47"/>
  <c r="R24" i="47"/>
  <c r="R25" i="47"/>
  <c r="R18" i="47"/>
  <c r="R27" i="47"/>
  <c r="R16" i="47"/>
  <c r="R36" i="47"/>
  <c r="R15" i="47"/>
  <c r="R34" i="47"/>
  <c r="R33" i="47"/>
  <c r="X12" i="47"/>
  <c r="R31" i="47"/>
  <c r="R29" i="47"/>
  <c r="N12" i="38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X13" i="38"/>
  <c r="Z15" i="38"/>
  <c r="X21" i="38"/>
  <c r="N20" i="40"/>
  <c r="L24" i="40"/>
  <c r="N24" i="44"/>
  <c r="L13" i="47"/>
  <c r="N21" i="50"/>
  <c r="N16" i="34"/>
  <c r="N20" i="34"/>
  <c r="L22" i="34"/>
  <c r="L24" i="34"/>
  <c r="N15" i="35"/>
  <c r="L21" i="35"/>
  <c r="Z21" i="37"/>
  <c r="X25" i="37"/>
  <c r="X29" i="37"/>
  <c r="X33" i="37"/>
  <c r="X34" i="37"/>
  <c r="Z13" i="38"/>
  <c r="Z16" i="38"/>
  <c r="Z20" i="38"/>
  <c r="X22" i="38"/>
  <c r="X24" i="38"/>
  <c r="N24" i="40"/>
  <c r="L13" i="41"/>
  <c r="L33" i="41"/>
  <c r="L15" i="47"/>
  <c r="X12" i="37"/>
  <c r="R36" i="37"/>
  <c r="R34" i="37"/>
  <c r="R33" i="37"/>
  <c r="R31" i="37"/>
  <c r="R29" i="37"/>
  <c r="R27" i="37"/>
  <c r="R25" i="37"/>
  <c r="R24" i="37"/>
  <c r="R22" i="37"/>
  <c r="R20" i="37"/>
  <c r="R18" i="37"/>
  <c r="R16" i="37"/>
  <c r="P18" i="37"/>
  <c r="R15" i="37"/>
  <c r="R21" i="37"/>
  <c r="Z22" i="37"/>
  <c r="Z24" i="37"/>
  <c r="Z21" i="38"/>
  <c r="X25" i="38"/>
  <c r="X29" i="38"/>
  <c r="X33" i="38"/>
  <c r="X34" i="38"/>
  <c r="X20" i="40"/>
  <c r="N33" i="41"/>
  <c r="X16" i="43"/>
  <c r="X16" i="44"/>
  <c r="L13" i="35"/>
  <c r="N21" i="35"/>
  <c r="L25" i="35"/>
  <c r="L29" i="35"/>
  <c r="L33" i="35"/>
  <c r="L34" i="35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Z12" i="37"/>
  <c r="T18" i="37"/>
  <c r="V15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X12" i="38"/>
  <c r="Z22" i="38"/>
  <c r="Z24" i="38"/>
  <c r="L16" i="40"/>
  <c r="L15" i="41"/>
  <c r="Z33" i="41"/>
  <c r="Z16" i="43"/>
  <c r="Z25" i="44"/>
  <c r="N24" i="46"/>
  <c r="L16" i="37"/>
  <c r="L20" i="37"/>
  <c r="V24" i="38"/>
  <c r="V22" i="38"/>
  <c r="V21" i="38"/>
  <c r="V20" i="38"/>
  <c r="V18" i="38"/>
  <c r="V16" i="38"/>
  <c r="T18" i="38"/>
  <c r="V15" i="38"/>
  <c r="V34" i="38"/>
  <c r="V33" i="38"/>
  <c r="Z12" i="38"/>
  <c r="V31" i="38"/>
  <c r="V29" i="38"/>
  <c r="V36" i="38"/>
  <c r="V25" i="38"/>
  <c r="V27" i="38"/>
  <c r="L15" i="38"/>
  <c r="Z25" i="38"/>
  <c r="Z29" i="38"/>
  <c r="Z33" i="38"/>
  <c r="Z34" i="38"/>
  <c r="N16" i="40"/>
  <c r="N15" i="41"/>
  <c r="Z21" i="47"/>
  <c r="L13" i="40"/>
  <c r="N21" i="40"/>
  <c r="L25" i="40"/>
  <c r="L29" i="40"/>
  <c r="L33" i="40"/>
  <c r="L34" i="40"/>
  <c r="N16" i="41"/>
  <c r="N20" i="41"/>
  <c r="L22" i="41"/>
  <c r="L24" i="41"/>
  <c r="X15" i="43"/>
  <c r="L22" i="43"/>
  <c r="X25" i="43"/>
  <c r="X33" i="43"/>
  <c r="L20" i="44"/>
  <c r="N25" i="44"/>
  <c r="N15" i="46"/>
  <c r="Z29" i="47"/>
  <c r="X15" i="40"/>
  <c r="N25" i="40"/>
  <c r="N29" i="40"/>
  <c r="N33" i="40"/>
  <c r="N34" i="40"/>
  <c r="N13" i="41"/>
  <c r="N22" i="41"/>
  <c r="N24" i="41"/>
  <c r="J16" i="43"/>
  <c r="J33" i="43"/>
  <c r="J25" i="43"/>
  <c r="J15" i="43"/>
  <c r="J18" i="43"/>
  <c r="H18" i="43"/>
  <c r="J34" i="43"/>
  <c r="J27" i="43"/>
  <c r="J20" i="43"/>
  <c r="J21" i="43"/>
  <c r="N12" i="43"/>
  <c r="J22" i="43"/>
  <c r="J31" i="43"/>
  <c r="J24" i="43"/>
  <c r="J29" i="43"/>
  <c r="J36" i="43"/>
  <c r="X13" i="43"/>
  <c r="Z15" i="43"/>
  <c r="L21" i="43"/>
  <c r="X24" i="43"/>
  <c r="N29" i="43"/>
  <c r="Z16" i="44"/>
  <c r="L29" i="44"/>
  <c r="L34" i="44"/>
  <c r="Z24" i="46"/>
  <c r="X21" i="47"/>
  <c r="N15" i="52"/>
  <c r="X34" i="52"/>
  <c r="N12" i="40"/>
  <c r="J24" i="40"/>
  <c r="J22" i="40"/>
  <c r="J20" i="40"/>
  <c r="J18" i="40"/>
  <c r="J16" i="40"/>
  <c r="J34" i="40"/>
  <c r="J29" i="40"/>
  <c r="J15" i="40"/>
  <c r="J33" i="40"/>
  <c r="J27" i="40"/>
  <c r="H18" i="40"/>
  <c r="J25" i="40"/>
  <c r="J21" i="40"/>
  <c r="J36" i="40"/>
  <c r="J31" i="40"/>
  <c r="X13" i="40"/>
  <c r="Z15" i="40"/>
  <c r="X21" i="40"/>
  <c r="D18" i="41"/>
  <c r="F15" i="41"/>
  <c r="L12" i="41"/>
  <c r="F36" i="41"/>
  <c r="F34" i="41"/>
  <c r="F33" i="41"/>
  <c r="F31" i="41"/>
  <c r="F29" i="41"/>
  <c r="F27" i="41"/>
  <c r="F25" i="41"/>
  <c r="F21" i="41"/>
  <c r="F20" i="41"/>
  <c r="F22" i="41"/>
  <c r="F18" i="41"/>
  <c r="F16" i="41"/>
  <c r="F24" i="41"/>
  <c r="X16" i="41"/>
  <c r="X20" i="41"/>
  <c r="X15" i="44"/>
  <c r="N29" i="44"/>
  <c r="N34" i="44"/>
  <c r="L21" i="46"/>
  <c r="N15" i="47"/>
  <c r="L20" i="52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1" i="41"/>
  <c r="H18" i="41"/>
  <c r="J15" i="41"/>
  <c r="J22" i="41"/>
  <c r="J18" i="41"/>
  <c r="J16" i="41"/>
  <c r="J24" i="41"/>
  <c r="J20" i="41"/>
  <c r="X13" i="41"/>
  <c r="Z15" i="41"/>
  <c r="X21" i="41"/>
  <c r="R36" i="43"/>
  <c r="R34" i="43"/>
  <c r="R33" i="43"/>
  <c r="R31" i="43"/>
  <c r="R29" i="43"/>
  <c r="R27" i="43"/>
  <c r="R25" i="43"/>
  <c r="R20" i="43"/>
  <c r="R21" i="43"/>
  <c r="X12" i="43"/>
  <c r="R22" i="43"/>
  <c r="R16" i="43"/>
  <c r="R18" i="43"/>
  <c r="P18" i="43"/>
  <c r="R24" i="43"/>
  <c r="R15" i="43"/>
  <c r="N20" i="43"/>
  <c r="X22" i="43"/>
  <c r="N34" i="43"/>
  <c r="X20" i="44"/>
  <c r="Z21" i="40"/>
  <c r="X25" i="40"/>
  <c r="X29" i="40"/>
  <c r="X33" i="40"/>
  <c r="X34" i="40"/>
  <c r="Z13" i="41"/>
  <c r="Z16" i="41"/>
  <c r="Z20" i="41"/>
  <c r="X22" i="41"/>
  <c r="X24" i="41"/>
  <c r="V24" i="43"/>
  <c r="V22" i="43"/>
  <c r="V21" i="43"/>
  <c r="V34" i="43"/>
  <c r="V27" i="43"/>
  <c r="Z12" i="43"/>
  <c r="V36" i="43"/>
  <c r="V29" i="43"/>
  <c r="V31" i="43"/>
  <c r="V16" i="43"/>
  <c r="V18" i="43"/>
  <c r="V20" i="43"/>
  <c r="V33" i="43"/>
  <c r="V15" i="43"/>
  <c r="V25" i="43"/>
  <c r="T18" i="43"/>
  <c r="L15" i="43"/>
  <c r="X29" i="43"/>
  <c r="L13" i="44"/>
  <c r="Z20" i="44"/>
  <c r="X24" i="44"/>
  <c r="L33" i="44"/>
  <c r="R20" i="46"/>
  <c r="R18" i="46"/>
  <c r="R16" i="46"/>
  <c r="P18" i="46"/>
  <c r="R15" i="46"/>
  <c r="X12" i="46"/>
  <c r="R24" i="46"/>
  <c r="R22" i="46"/>
  <c r="R21" i="46"/>
  <c r="R33" i="46"/>
  <c r="R27" i="46"/>
  <c r="R36" i="46"/>
  <c r="R31" i="46"/>
  <c r="R25" i="46"/>
  <c r="R34" i="46"/>
  <c r="R29" i="46"/>
  <c r="L25" i="50"/>
  <c r="N21" i="52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R15" i="40"/>
  <c r="P18" i="40"/>
  <c r="X12" i="40"/>
  <c r="Z22" i="40"/>
  <c r="Z24" i="40"/>
  <c r="Z21" i="41"/>
  <c r="X25" i="41"/>
  <c r="X29" i="41"/>
  <c r="X33" i="41"/>
  <c r="X34" i="41"/>
  <c r="L16" i="43"/>
  <c r="X21" i="43"/>
  <c r="N13" i="44"/>
  <c r="N22" i="44"/>
  <c r="Z29" i="44"/>
  <c r="Z34" i="44"/>
  <c r="V36" i="46"/>
  <c r="V34" i="46"/>
  <c r="V33" i="46"/>
  <c r="V31" i="46"/>
  <c r="V29" i="46"/>
  <c r="V27" i="46"/>
  <c r="V25" i="46"/>
  <c r="V20" i="46"/>
  <c r="V18" i="46"/>
  <c r="V16" i="46"/>
  <c r="T18" i="46"/>
  <c r="V15" i="46"/>
  <c r="Z12" i="46"/>
  <c r="V21" i="46"/>
  <c r="V24" i="46"/>
  <c r="V22" i="46"/>
  <c r="Z25" i="46"/>
  <c r="Z12" i="40"/>
  <c r="V24" i="40"/>
  <c r="V22" i="40"/>
  <c r="V21" i="40"/>
  <c r="V20" i="40"/>
  <c r="V18" i="40"/>
  <c r="V16" i="40"/>
  <c r="T18" i="40"/>
  <c r="V15" i="40"/>
  <c r="V34" i="40"/>
  <c r="V29" i="40"/>
  <c r="V33" i="40"/>
  <c r="V27" i="40"/>
  <c r="V36" i="40"/>
  <c r="V31" i="40"/>
  <c r="V2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N15" i="43"/>
  <c r="N25" i="43"/>
  <c r="N33" i="43"/>
  <c r="L16" i="44"/>
  <c r="N33" i="44"/>
  <c r="Z25" i="47"/>
  <c r="X20" i="49"/>
  <c r="N16" i="43"/>
  <c r="X20" i="43"/>
  <c r="Z21" i="43"/>
  <c r="L24" i="43"/>
  <c r="X34" i="43"/>
  <c r="L21" i="44"/>
  <c r="N13" i="46"/>
  <c r="N22" i="46"/>
  <c r="L25" i="52"/>
  <c r="N15" i="40"/>
  <c r="L21" i="40"/>
  <c r="L16" i="41"/>
  <c r="L20" i="41"/>
  <c r="L13" i="43"/>
  <c r="N24" i="43"/>
  <c r="Z13" i="44"/>
  <c r="N21" i="44"/>
  <c r="X22" i="44"/>
  <c r="L25" i="44"/>
  <c r="Z22" i="46"/>
  <c r="X22" i="49"/>
  <c r="N33" i="50"/>
  <c r="Z13" i="46"/>
  <c r="Z16" i="46"/>
  <c r="Z20" i="46"/>
  <c r="X22" i="46"/>
  <c r="X24" i="46"/>
  <c r="J21" i="47"/>
  <c r="J20" i="47"/>
  <c r="J18" i="47"/>
  <c r="J16" i="47"/>
  <c r="H18" i="47"/>
  <c r="J15" i="47"/>
  <c r="J36" i="47"/>
  <c r="J33" i="47"/>
  <c r="J29" i="47"/>
  <c r="J25" i="47"/>
  <c r="J22" i="47"/>
  <c r="J34" i="47"/>
  <c r="J31" i="47"/>
  <c r="J27" i="47"/>
  <c r="N12" i="47"/>
  <c r="J24" i="47"/>
  <c r="X13" i="47"/>
  <c r="X25" i="47"/>
  <c r="L13" i="50"/>
  <c r="L33" i="50"/>
  <c r="L13" i="52"/>
  <c r="Z34" i="53"/>
  <c r="Z21" i="46"/>
  <c r="X25" i="46"/>
  <c r="X29" i="46"/>
  <c r="X33" i="46"/>
  <c r="X34" i="46"/>
  <c r="L16" i="47"/>
  <c r="X29" i="47"/>
  <c r="X33" i="47"/>
  <c r="N13" i="50"/>
  <c r="N22" i="50"/>
  <c r="L15" i="52"/>
  <c r="H18" i="44"/>
  <c r="J15" i="44"/>
  <c r="N12" i="44"/>
  <c r="J16" i="44"/>
  <c r="J33" i="44"/>
  <c r="J27" i="44"/>
  <c r="J22" i="44"/>
  <c r="J18" i="44"/>
  <c r="J34" i="44"/>
  <c r="J29" i="44"/>
  <c r="J24" i="44"/>
  <c r="J20" i="44"/>
  <c r="J36" i="44"/>
  <c r="J25" i="44"/>
  <c r="J31" i="44"/>
  <c r="J21" i="44"/>
  <c r="X13" i="44"/>
  <c r="Z15" i="44"/>
  <c r="X21" i="44"/>
  <c r="L16" i="46"/>
  <c r="L20" i="46"/>
  <c r="T18" i="47"/>
  <c r="V15" i="47"/>
  <c r="V36" i="47"/>
  <c r="V34" i="47"/>
  <c r="V33" i="47"/>
  <c r="V31" i="47"/>
  <c r="V29" i="47"/>
  <c r="V27" i="47"/>
  <c r="V25" i="47"/>
  <c r="V24" i="47"/>
  <c r="V16" i="47"/>
  <c r="Z12" i="47"/>
  <c r="V21" i="47"/>
  <c r="V18" i="47"/>
  <c r="V22" i="47"/>
  <c r="V20" i="47"/>
  <c r="X16" i="47"/>
  <c r="Z20" i="49"/>
  <c r="N24" i="49"/>
  <c r="L29" i="50"/>
  <c r="L34" i="50"/>
  <c r="L29" i="52"/>
  <c r="N13" i="49"/>
  <c r="X16" i="49"/>
  <c r="L21" i="49"/>
  <c r="N24" i="50"/>
  <c r="Z29" i="52"/>
  <c r="F36" i="53"/>
  <c r="F34" i="53"/>
  <c r="F33" i="53"/>
  <c r="F31" i="53"/>
  <c r="F29" i="53"/>
  <c r="F27" i="53"/>
  <c r="F25" i="53"/>
  <c r="F24" i="53"/>
  <c r="F22" i="53"/>
  <c r="F21" i="53"/>
  <c r="D18" i="53"/>
  <c r="F15" i="53"/>
  <c r="F18" i="53"/>
  <c r="F20" i="53"/>
  <c r="F16" i="53"/>
  <c r="L12" i="53"/>
  <c r="Z22" i="43"/>
  <c r="Z24" i="43"/>
  <c r="Z21" i="44"/>
  <c r="X25" i="44"/>
  <c r="X29" i="44"/>
  <c r="X33" i="44"/>
  <c r="X34" i="44"/>
  <c r="N16" i="46"/>
  <c r="N20" i="46"/>
  <c r="L22" i="46"/>
  <c r="L24" i="46"/>
  <c r="X20" i="47"/>
  <c r="Z24" i="47"/>
  <c r="Z16" i="49"/>
  <c r="N33" i="49"/>
  <c r="X15" i="50"/>
  <c r="N29" i="50"/>
  <c r="N34" i="50"/>
  <c r="L16" i="52"/>
  <c r="J24" i="53"/>
  <c r="J22" i="53"/>
  <c r="J21" i="53"/>
  <c r="J20" i="53"/>
  <c r="J18" i="53"/>
  <c r="J16" i="53"/>
  <c r="H18" i="53"/>
  <c r="J15" i="53"/>
  <c r="N12" i="53"/>
  <c r="J36" i="53"/>
  <c r="J33" i="53"/>
  <c r="J29" i="53"/>
  <c r="J25" i="53"/>
  <c r="J34" i="53"/>
  <c r="J31" i="53"/>
  <c r="J27" i="53"/>
  <c r="X21" i="53"/>
  <c r="Z25" i="43"/>
  <c r="Z29" i="43"/>
  <c r="Z33" i="43"/>
  <c r="Z34" i="43"/>
  <c r="R36" i="44"/>
  <c r="R34" i="44"/>
  <c r="R33" i="44"/>
  <c r="R31" i="44"/>
  <c r="R29" i="44"/>
  <c r="R27" i="44"/>
  <c r="R25" i="44"/>
  <c r="R24" i="44"/>
  <c r="R22" i="44"/>
  <c r="R20" i="44"/>
  <c r="R18" i="44"/>
  <c r="R16" i="44"/>
  <c r="P18" i="44"/>
  <c r="R15" i="44"/>
  <c r="X12" i="44"/>
  <c r="R21" i="44"/>
  <c r="Z22" i="44"/>
  <c r="Z24" i="44"/>
  <c r="L13" i="46"/>
  <c r="N21" i="46"/>
  <c r="L25" i="46"/>
  <c r="L29" i="46"/>
  <c r="L33" i="46"/>
  <c r="L34" i="46"/>
  <c r="X15" i="47"/>
  <c r="X34" i="47"/>
  <c r="X24" i="49"/>
  <c r="Z15" i="50"/>
  <c r="L21" i="52"/>
  <c r="X15" i="46"/>
  <c r="N25" i="46"/>
  <c r="N29" i="46"/>
  <c r="N33" i="46"/>
  <c r="N34" i="46"/>
  <c r="N13" i="47"/>
  <c r="Z15" i="47"/>
  <c r="N25" i="47"/>
  <c r="Z34" i="47"/>
  <c r="N15" i="49"/>
  <c r="V21" i="52"/>
  <c r="V36" i="52"/>
  <c r="V33" i="52"/>
  <c r="V20" i="52"/>
  <c r="V18" i="52"/>
  <c r="V16" i="52"/>
  <c r="T18" i="52"/>
  <c r="V15" i="52"/>
  <c r="Z12" i="52"/>
  <c r="V31" i="52"/>
  <c r="V25" i="52"/>
  <c r="V29" i="52"/>
  <c r="V24" i="52"/>
  <c r="V34" i="52"/>
  <c r="V22" i="52"/>
  <c r="V27" i="52"/>
  <c r="Z25" i="52"/>
  <c r="F24" i="46"/>
  <c r="F22" i="46"/>
  <c r="F21" i="46"/>
  <c r="D18" i="46"/>
  <c r="F15" i="46"/>
  <c r="L12" i="46"/>
  <c r="F33" i="46"/>
  <c r="F27" i="46"/>
  <c r="F18" i="46"/>
  <c r="F36" i="46"/>
  <c r="F31" i="46"/>
  <c r="F25" i="46"/>
  <c r="F16" i="46"/>
  <c r="F20" i="46"/>
  <c r="F34" i="46"/>
  <c r="F29" i="46"/>
  <c r="X16" i="46"/>
  <c r="X20" i="46"/>
  <c r="N25" i="49"/>
  <c r="N25" i="50"/>
  <c r="Z15" i="53"/>
  <c r="N21" i="43"/>
  <c r="L25" i="43"/>
  <c r="L29" i="43"/>
  <c r="L33" i="43"/>
  <c r="L34" i="43"/>
  <c r="N16" i="44"/>
  <c r="N20" i="44"/>
  <c r="L22" i="44"/>
  <c r="L24" i="44"/>
  <c r="J36" i="46"/>
  <c r="J34" i="46"/>
  <c r="J33" i="46"/>
  <c r="J31" i="46"/>
  <c r="J29" i="46"/>
  <c r="J27" i="46"/>
  <c r="J25" i="46"/>
  <c r="J24" i="46"/>
  <c r="J22" i="46"/>
  <c r="J20" i="46"/>
  <c r="J18" i="46"/>
  <c r="J16" i="46"/>
  <c r="H18" i="46"/>
  <c r="J15" i="46"/>
  <c r="N12" i="46"/>
  <c r="J21" i="46"/>
  <c r="X13" i="46"/>
  <c r="Z15" i="46"/>
  <c r="X21" i="46"/>
  <c r="F36" i="47"/>
  <c r="F34" i="47"/>
  <c r="F33" i="47"/>
  <c r="F31" i="47"/>
  <c r="F29" i="47"/>
  <c r="F27" i="47"/>
  <c r="F25" i="47"/>
  <c r="F24" i="47"/>
  <c r="F22" i="47"/>
  <c r="F21" i="47"/>
  <c r="D18" i="47"/>
  <c r="F18" i="47"/>
  <c r="F20" i="47"/>
  <c r="F15" i="47"/>
  <c r="L12" i="47"/>
  <c r="F16" i="47"/>
  <c r="L21" i="47"/>
  <c r="Z22" i="47"/>
  <c r="X15" i="49"/>
  <c r="N22" i="49"/>
  <c r="N34" i="49"/>
  <c r="H18" i="50"/>
  <c r="J15" i="50"/>
  <c r="N12" i="50"/>
  <c r="J36" i="50"/>
  <c r="J34" i="50"/>
  <c r="J33" i="50"/>
  <c r="J31" i="50"/>
  <c r="J29" i="50"/>
  <c r="J27" i="50"/>
  <c r="J25" i="50"/>
  <c r="J21" i="50"/>
  <c r="J24" i="50"/>
  <c r="J20" i="50"/>
  <c r="J18" i="50"/>
  <c r="J22" i="50"/>
  <c r="J16" i="50"/>
  <c r="X21" i="50"/>
  <c r="X24" i="53"/>
  <c r="L20" i="47"/>
  <c r="J20" i="49"/>
  <c r="J18" i="49"/>
  <c r="J16" i="49"/>
  <c r="H18" i="49"/>
  <c r="J15" i="49"/>
  <c r="N12" i="49"/>
  <c r="J25" i="49"/>
  <c r="J29" i="49"/>
  <c r="J33" i="49"/>
  <c r="J21" i="49"/>
  <c r="J36" i="49"/>
  <c r="J24" i="49"/>
  <c r="J27" i="49"/>
  <c r="J34" i="49"/>
  <c r="J22" i="49"/>
  <c r="J31" i="49"/>
  <c r="X13" i="49"/>
  <c r="Z15" i="49"/>
  <c r="X21" i="49"/>
  <c r="F21" i="50"/>
  <c r="F20" i="50"/>
  <c r="F18" i="50"/>
  <c r="F16" i="50"/>
  <c r="D18" i="50"/>
  <c r="F15" i="50"/>
  <c r="L12" i="50"/>
  <c r="F36" i="50"/>
  <c r="F31" i="50"/>
  <c r="F25" i="50"/>
  <c r="F34" i="50"/>
  <c r="F29" i="50"/>
  <c r="F24" i="50"/>
  <c r="F33" i="50"/>
  <c r="F27" i="50"/>
  <c r="F22" i="50"/>
  <c r="X16" i="50"/>
  <c r="X20" i="50"/>
  <c r="N16" i="52"/>
  <c r="N20" i="52"/>
  <c r="L22" i="52"/>
  <c r="L24" i="52"/>
  <c r="Z34" i="52"/>
  <c r="X12" i="53"/>
  <c r="R24" i="53"/>
  <c r="R22" i="53"/>
  <c r="R36" i="53"/>
  <c r="R33" i="53"/>
  <c r="R29" i="53"/>
  <c r="R25" i="53"/>
  <c r="R20" i="53"/>
  <c r="R16" i="53"/>
  <c r="R34" i="53"/>
  <c r="R31" i="53"/>
  <c r="R27" i="53"/>
  <c r="R15" i="53"/>
  <c r="R21" i="53"/>
  <c r="P18" i="53"/>
  <c r="R18" i="53"/>
  <c r="Z24" i="53"/>
  <c r="N16" i="47"/>
  <c r="N20" i="47"/>
  <c r="L22" i="47"/>
  <c r="L24" i="47"/>
  <c r="Z21" i="49"/>
  <c r="X25" i="49"/>
  <c r="X29" i="49"/>
  <c r="X33" i="49"/>
  <c r="X34" i="49"/>
  <c r="Z13" i="50"/>
  <c r="Z16" i="50"/>
  <c r="Z20" i="50"/>
  <c r="X22" i="50"/>
  <c r="X24" i="50"/>
  <c r="N13" i="52"/>
  <c r="N22" i="52"/>
  <c r="N24" i="52"/>
  <c r="N21" i="47"/>
  <c r="L25" i="47"/>
  <c r="L29" i="47"/>
  <c r="L33" i="47"/>
  <c r="L34" i="47"/>
  <c r="X12" i="49"/>
  <c r="R36" i="49"/>
  <c r="R34" i="49"/>
  <c r="R33" i="49"/>
  <c r="R31" i="49"/>
  <c r="R29" i="49"/>
  <c r="R27" i="49"/>
  <c r="R25" i="49"/>
  <c r="R24" i="49"/>
  <c r="R22" i="49"/>
  <c r="R20" i="49"/>
  <c r="R18" i="49"/>
  <c r="R16" i="49"/>
  <c r="P18" i="49"/>
  <c r="R21" i="49"/>
  <c r="R15" i="49"/>
  <c r="Z22" i="49"/>
  <c r="Z24" i="49"/>
  <c r="Z21" i="50"/>
  <c r="X25" i="50"/>
  <c r="X29" i="50"/>
  <c r="X33" i="50"/>
  <c r="X34" i="50"/>
  <c r="X15" i="52"/>
  <c r="N25" i="52"/>
  <c r="N29" i="52"/>
  <c r="X16" i="53"/>
  <c r="X20" i="53"/>
  <c r="N22" i="47"/>
  <c r="N24" i="47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Z12" i="49"/>
  <c r="V15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1" i="50"/>
  <c r="P18" i="50"/>
  <c r="R15" i="50"/>
  <c r="R16" i="50"/>
  <c r="R20" i="50"/>
  <c r="R18" i="50"/>
  <c r="Z22" i="50"/>
  <c r="Z24" i="50"/>
  <c r="F36" i="52"/>
  <c r="F34" i="52"/>
  <c r="F33" i="52"/>
  <c r="L12" i="52"/>
  <c r="F31" i="52"/>
  <c r="F29" i="52"/>
  <c r="F27" i="52"/>
  <c r="F25" i="52"/>
  <c r="F21" i="52"/>
  <c r="F18" i="52"/>
  <c r="D18" i="52"/>
  <c r="F16" i="52"/>
  <c r="F24" i="52"/>
  <c r="F22" i="52"/>
  <c r="F20" i="52"/>
  <c r="F15" i="52"/>
  <c r="X16" i="52"/>
  <c r="X20" i="52"/>
  <c r="X33" i="52"/>
  <c r="X13" i="53"/>
  <c r="N29" i="47"/>
  <c r="N33" i="47"/>
  <c r="N34" i="47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L15" i="50"/>
  <c r="Z25" i="50"/>
  <c r="Z29" i="50"/>
  <c r="Z33" i="50"/>
  <c r="Z34" i="50"/>
  <c r="J36" i="52"/>
  <c r="J34" i="52"/>
  <c r="N12" i="52"/>
  <c r="J31" i="52"/>
  <c r="J29" i="52"/>
  <c r="J27" i="52"/>
  <c r="J25" i="52"/>
  <c r="J24" i="52"/>
  <c r="J22" i="52"/>
  <c r="J21" i="52"/>
  <c r="H18" i="52"/>
  <c r="J15" i="52"/>
  <c r="J20" i="52"/>
  <c r="J33" i="52"/>
  <c r="J18" i="52"/>
  <c r="J16" i="52"/>
  <c r="X13" i="52"/>
  <c r="Z15" i="52"/>
  <c r="X21" i="52"/>
  <c r="Z13" i="53"/>
  <c r="Z16" i="53"/>
  <c r="Z20" i="53"/>
  <c r="X22" i="53"/>
  <c r="L16" i="50"/>
  <c r="L20" i="50"/>
  <c r="Z13" i="52"/>
  <c r="Z16" i="52"/>
  <c r="Z20" i="52"/>
  <c r="X22" i="52"/>
  <c r="X24" i="52"/>
  <c r="Z33" i="52"/>
  <c r="Z22" i="53"/>
  <c r="N16" i="49"/>
  <c r="N20" i="49"/>
  <c r="L22" i="49"/>
  <c r="L24" i="49"/>
  <c r="N15" i="50"/>
  <c r="L21" i="50"/>
  <c r="Z21" i="52"/>
  <c r="X25" i="52"/>
  <c r="X29" i="52"/>
  <c r="L15" i="53"/>
  <c r="Z25" i="53"/>
  <c r="Z29" i="53"/>
  <c r="Z33" i="53"/>
  <c r="Z13" i="47"/>
  <c r="Z16" i="47"/>
  <c r="Z20" i="47"/>
  <c r="X22" i="47"/>
  <c r="X24" i="47"/>
  <c r="L13" i="49"/>
  <c r="N21" i="49"/>
  <c r="L25" i="49"/>
  <c r="L29" i="49"/>
  <c r="L33" i="49"/>
  <c r="L34" i="49"/>
  <c r="N16" i="50"/>
  <c r="N20" i="50"/>
  <c r="L22" i="50"/>
  <c r="L24" i="50"/>
  <c r="R36" i="52"/>
  <c r="R34" i="52"/>
  <c r="R31" i="52"/>
  <c r="R29" i="52"/>
  <c r="R27" i="52"/>
  <c r="R25" i="52"/>
  <c r="R24" i="52"/>
  <c r="R22" i="52"/>
  <c r="R21" i="52"/>
  <c r="R33" i="52"/>
  <c r="R20" i="52"/>
  <c r="R18" i="52"/>
  <c r="R16" i="52"/>
  <c r="P18" i="52"/>
  <c r="R15" i="52"/>
  <c r="X12" i="52"/>
  <c r="Z22" i="52"/>
  <c r="Z24" i="52"/>
  <c r="N15" i="53"/>
  <c r="L21" i="53"/>
  <c r="Z21" i="53"/>
  <c r="X25" i="53"/>
  <c r="X29" i="53"/>
  <c r="X33" i="53"/>
  <c r="X34" i="53"/>
  <c r="L16" i="53"/>
  <c r="L20" i="53"/>
  <c r="L33" i="52"/>
  <c r="L34" i="52"/>
  <c r="N16" i="53"/>
  <c r="N20" i="53"/>
  <c r="L22" i="53"/>
  <c r="L24" i="53"/>
  <c r="L13" i="53"/>
  <c r="N21" i="53"/>
  <c r="L25" i="53"/>
  <c r="L29" i="53"/>
  <c r="L33" i="53"/>
  <c r="L34" i="53"/>
  <c r="N33" i="52"/>
  <c r="N34" i="52"/>
  <c r="N13" i="53"/>
  <c r="N22" i="53"/>
  <c r="N24" i="53"/>
  <c r="X15" i="53"/>
  <c r="N25" i="53"/>
  <c r="N29" i="53"/>
  <c r="N33" i="53"/>
  <c r="N34" i="53"/>
  <c r="R21" i="111"/>
  <c r="R20" i="111"/>
  <c r="R18" i="111"/>
  <c r="R16" i="111"/>
  <c r="P18" i="111"/>
  <c r="R15" i="111"/>
  <c r="X12" i="111"/>
  <c r="R29" i="111"/>
  <c r="R27" i="111"/>
  <c r="R36" i="111"/>
  <c r="R25" i="111"/>
  <c r="R34" i="111"/>
  <c r="R24" i="111"/>
  <c r="R33" i="111"/>
  <c r="R31" i="111"/>
  <c r="R22" i="111"/>
  <c r="X24" i="112"/>
  <c r="Z21" i="111"/>
  <c r="X33" i="111"/>
  <c r="Z15" i="112"/>
  <c r="N29" i="113"/>
  <c r="Z22" i="111"/>
  <c r="Z16" i="112"/>
  <c r="X20" i="113"/>
  <c r="X34" i="111"/>
  <c r="Z24" i="111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25" i="111"/>
  <c r="N33" i="113"/>
  <c r="Z20" i="112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21" i="112"/>
  <c r="X15" i="113"/>
  <c r="N34" i="113"/>
  <c r="X29" i="111"/>
  <c r="X13" i="112"/>
  <c r="N25" i="113"/>
  <c r="Z13" i="112"/>
  <c r="X22" i="112"/>
  <c r="X16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0" i="111"/>
  <c r="V18" i="111"/>
  <c r="V16" i="111"/>
  <c r="V21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25" i="113"/>
  <c r="J34" i="113"/>
  <c r="J24" i="113"/>
  <c r="J33" i="113"/>
  <c r="J22" i="113"/>
  <c r="J31" i="113"/>
  <c r="J29" i="113"/>
  <c r="J27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R15" i="113"/>
  <c r="P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V258" i="3"/>
  <c r="V250" i="3"/>
  <c r="V234" i="3"/>
  <c r="V230" i="3"/>
  <c r="V214" i="3"/>
  <c r="V202" i="3"/>
  <c r="V194" i="3"/>
  <c r="V253" i="3"/>
  <c r="V245" i="3"/>
  <c r="V241" i="3"/>
  <c r="V252" i="3"/>
  <c r="V236" i="3"/>
  <c r="V224" i="3"/>
  <c r="V216" i="3"/>
  <c r="V204" i="3"/>
  <c r="V196" i="3"/>
  <c r="V269" i="3"/>
  <c r="V235" i="3"/>
  <c r="V231" i="3"/>
  <c r="V215" i="3"/>
  <c r="V268" i="3"/>
  <c r="V267" i="3"/>
  <c r="V237" i="3"/>
  <c r="V225" i="3"/>
  <c r="V217" i="3"/>
  <c r="V197" i="3"/>
  <c r="V266" i="3"/>
  <c r="V248" i="3"/>
  <c r="V232" i="3"/>
  <c r="V220" i="3"/>
  <c r="V208" i="3"/>
  <c r="V278" i="3"/>
  <c r="V277" i="3"/>
  <c r="V273" i="3"/>
  <c r="V265" i="3"/>
  <c r="V255" i="3"/>
  <c r="V264" i="3"/>
  <c r="V261" i="3"/>
  <c r="V239" i="3"/>
  <c r="V201" i="3"/>
  <c r="V198" i="3"/>
  <c r="V195" i="3"/>
  <c r="V182" i="3"/>
  <c r="V178" i="3"/>
  <c r="T165" i="3"/>
  <c r="V251" i="3"/>
  <c r="V227" i="3"/>
  <c r="V177" i="3"/>
  <c r="V173" i="3"/>
  <c r="V169" i="3"/>
  <c r="V187" i="3"/>
  <c r="V163" i="3"/>
  <c r="V155" i="3"/>
  <c r="V123" i="3"/>
  <c r="V257" i="3"/>
  <c r="V243" i="3"/>
  <c r="V219" i="3"/>
  <c r="V199" i="3"/>
  <c r="V193" i="3"/>
  <c r="V190" i="3"/>
  <c r="V189" i="3"/>
  <c r="V160" i="3"/>
  <c r="V156" i="3"/>
  <c r="V152" i="3"/>
  <c r="V148" i="3"/>
  <c r="V144" i="3"/>
  <c r="V140" i="3"/>
  <c r="V136" i="3"/>
  <c r="V132" i="3"/>
  <c r="V128" i="3"/>
  <c r="V124" i="3"/>
  <c r="V120" i="3"/>
  <c r="V116" i="3"/>
  <c r="V159" i="3"/>
  <c r="V147" i="3"/>
  <c r="V127" i="3"/>
  <c r="V115" i="3"/>
  <c r="V249" i="3"/>
  <c r="V229" i="3"/>
  <c r="V213" i="3"/>
  <c r="V207" i="3"/>
  <c r="V183" i="3"/>
  <c r="V179" i="3"/>
  <c r="V262" i="3"/>
  <c r="V205" i="3"/>
  <c r="V174" i="3"/>
  <c r="V170" i="3"/>
  <c r="V167" i="3"/>
  <c r="V139" i="3"/>
  <c r="V247" i="3"/>
  <c r="V223" i="3"/>
  <c r="V211" i="3"/>
  <c r="V161" i="3"/>
  <c r="V157" i="3"/>
  <c r="V153" i="3"/>
  <c r="V149" i="3"/>
  <c r="V145" i="3"/>
  <c r="V141" i="3"/>
  <c r="V137" i="3"/>
  <c r="V133" i="3"/>
  <c r="V129" i="3"/>
  <c r="V125" i="3"/>
  <c r="V121" i="3"/>
  <c r="V117" i="3"/>
  <c r="V131" i="3"/>
  <c r="V119" i="3"/>
  <c r="V184" i="3"/>
  <c r="V180" i="3"/>
  <c r="V246" i="3"/>
  <c r="V143" i="3"/>
  <c r="V226" i="3"/>
  <c r="V203" i="3"/>
  <c r="V191" i="3"/>
  <c r="V175" i="3"/>
  <c r="V171" i="3"/>
  <c r="V222" i="3"/>
  <c r="V210" i="3"/>
  <c r="V263" i="3"/>
  <c r="V254" i="3"/>
  <c r="V240" i="3"/>
  <c r="V233" i="3"/>
  <c r="V228" i="3"/>
  <c r="V218" i="3"/>
  <c r="V212" i="3"/>
  <c r="V186" i="3"/>
  <c r="V162" i="3"/>
  <c r="V158" i="3"/>
  <c r="V154" i="3"/>
  <c r="V150" i="3"/>
  <c r="V146" i="3"/>
  <c r="V142" i="3"/>
  <c r="V138" i="3"/>
  <c r="V134" i="3"/>
  <c r="V130" i="3"/>
  <c r="V126" i="3"/>
  <c r="V122" i="3"/>
  <c r="V118" i="3"/>
  <c r="V114" i="3"/>
  <c r="V165" i="3"/>
  <c r="V244" i="3"/>
  <c r="V242" i="3"/>
  <c r="V238" i="3"/>
  <c r="V192" i="3"/>
  <c r="V185" i="3"/>
  <c r="V181" i="3"/>
  <c r="V256" i="3"/>
  <c r="V221" i="3"/>
  <c r="V209" i="3"/>
  <c r="V206" i="3"/>
  <c r="V200" i="3"/>
  <c r="V188" i="3"/>
  <c r="V176" i="3"/>
  <c r="V172" i="3"/>
  <c r="V168" i="3"/>
  <c r="V151" i="3"/>
  <c r="V135" i="3"/>
  <c r="Z32" i="3"/>
  <c r="Z55" i="3"/>
  <c r="Z57" i="3"/>
  <c r="Z76" i="3"/>
  <c r="N83" i="3"/>
  <c r="Z87" i="3"/>
  <c r="Z89" i="3"/>
  <c r="Z100" i="3"/>
  <c r="Z111" i="3"/>
  <c r="N188" i="3"/>
  <c r="Z51" i="3"/>
  <c r="N167" i="3"/>
  <c r="Z24" i="3"/>
  <c r="Z47" i="3"/>
  <c r="Z49" i="3"/>
  <c r="Z70" i="3"/>
  <c r="Z43" i="3"/>
  <c r="Z45" i="3"/>
  <c r="Z68" i="3"/>
  <c r="Z41" i="3"/>
  <c r="Z64" i="3"/>
  <c r="Z66" i="3"/>
  <c r="Z35" i="3"/>
  <c r="Z37" i="3"/>
  <c r="Z60" i="3"/>
  <c r="Z62" i="3"/>
  <c r="Z31" i="3"/>
  <c r="Z33" i="3"/>
  <c r="Z75" i="3"/>
  <c r="Z77" i="3"/>
  <c r="Z88" i="3"/>
  <c r="Z99" i="3"/>
  <c r="Z101" i="3"/>
  <c r="N168" i="3"/>
  <c r="Z27" i="3"/>
  <c r="Z29" i="3"/>
  <c r="Z52" i="3"/>
  <c r="Z54" i="3"/>
  <c r="Z71" i="3"/>
  <c r="Z73" i="3"/>
  <c r="J266" i="3"/>
  <c r="J248" i="3"/>
  <c r="J238" i="3"/>
  <c r="J220" i="3"/>
  <c r="J208" i="3"/>
  <c r="J198" i="3"/>
  <c r="J192" i="3"/>
  <c r="J278" i="3"/>
  <c r="J277" i="3"/>
  <c r="J265" i="3"/>
  <c r="J249" i="3"/>
  <c r="J239" i="3"/>
  <c r="J233" i="3"/>
  <c r="J264" i="3"/>
  <c r="J256" i="3"/>
  <c r="J244" i="3"/>
  <c r="J240" i="3"/>
  <c r="J228" i="3"/>
  <c r="J222" i="3"/>
  <c r="J210" i="3"/>
  <c r="J200" i="3"/>
  <c r="J263" i="3"/>
  <c r="J257" i="3"/>
  <c r="J223" i="3"/>
  <c r="J211" i="3"/>
  <c r="J201" i="3"/>
  <c r="J262" i="3"/>
  <c r="J258" i="3"/>
  <c r="J261" i="3"/>
  <c r="J251" i="3"/>
  <c r="J245" i="3"/>
  <c r="J241" i="3"/>
  <c r="J229" i="3"/>
  <c r="J213" i="3"/>
  <c r="J203" i="3"/>
  <c r="J252" i="3"/>
  <c r="J230" i="3"/>
  <c r="J224" i="3"/>
  <c r="J214" i="3"/>
  <c r="J204" i="3"/>
  <c r="J253" i="3"/>
  <c r="J254" i="3"/>
  <c r="J246" i="3"/>
  <c r="J226" i="3"/>
  <c r="J206" i="3"/>
  <c r="J162" i="3"/>
  <c r="J158" i="3"/>
  <c r="J154" i="3"/>
  <c r="J150" i="3"/>
  <c r="J146" i="3"/>
  <c r="J142" i="3"/>
  <c r="J138" i="3"/>
  <c r="J134" i="3"/>
  <c r="J130" i="3"/>
  <c r="J126" i="3"/>
  <c r="J122" i="3"/>
  <c r="J118" i="3"/>
  <c r="J236" i="3"/>
  <c r="J231" i="3"/>
  <c r="J218" i="3"/>
  <c r="J215" i="3"/>
  <c r="J185" i="3"/>
  <c r="J181" i="3"/>
  <c r="J171" i="3"/>
  <c r="L12" i="3"/>
  <c r="J269" i="3"/>
  <c r="J221" i="3"/>
  <c r="J209" i="3"/>
  <c r="J186" i="3"/>
  <c r="J176" i="3"/>
  <c r="J172" i="3"/>
  <c r="J114" i="3"/>
  <c r="J250" i="3"/>
  <c r="J212" i="3"/>
  <c r="J195" i="3"/>
  <c r="J187" i="3"/>
  <c r="J163" i="3"/>
  <c r="J159" i="3"/>
  <c r="J155" i="3"/>
  <c r="J151" i="3"/>
  <c r="J147" i="3"/>
  <c r="J143" i="3"/>
  <c r="J139" i="3"/>
  <c r="J135" i="3"/>
  <c r="J131" i="3"/>
  <c r="J127" i="3"/>
  <c r="J123" i="3"/>
  <c r="J119" i="3"/>
  <c r="J115" i="3"/>
  <c r="J242" i="3"/>
  <c r="J234" i="3"/>
  <c r="J216" i="3"/>
  <c r="J188" i="3"/>
  <c r="J182" i="3"/>
  <c r="J168" i="3"/>
  <c r="J255" i="3"/>
  <c r="J237" i="3"/>
  <c r="J227" i="3"/>
  <c r="J196" i="3"/>
  <c r="J177" i="3"/>
  <c r="J173" i="3"/>
  <c r="J169" i="3"/>
  <c r="J167" i="3"/>
  <c r="J165" i="3"/>
  <c r="J191" i="3"/>
  <c r="J243" i="3"/>
  <c r="J232" i="3"/>
  <c r="J219" i="3"/>
  <c r="J193" i="3"/>
  <c r="J189" i="3"/>
  <c r="J178" i="3"/>
  <c r="H165" i="3"/>
  <c r="J160" i="3"/>
  <c r="J156" i="3"/>
  <c r="J152" i="3"/>
  <c r="J148" i="3"/>
  <c r="J144" i="3"/>
  <c r="J140" i="3"/>
  <c r="J136" i="3"/>
  <c r="J132" i="3"/>
  <c r="J128" i="3"/>
  <c r="J124" i="3"/>
  <c r="J120" i="3"/>
  <c r="J116" i="3"/>
  <c r="J267" i="3"/>
  <c r="J225" i="3"/>
  <c r="J207" i="3"/>
  <c r="J205" i="3"/>
  <c r="J199" i="3"/>
  <c r="J183" i="3"/>
  <c r="J179" i="3"/>
  <c r="J175" i="3"/>
  <c r="J273" i="3"/>
  <c r="J247" i="3"/>
  <c r="J217" i="3"/>
  <c r="J202" i="3"/>
  <c r="J190" i="3"/>
  <c r="J174" i="3"/>
  <c r="J170" i="3"/>
  <c r="J197" i="3"/>
  <c r="J161" i="3"/>
  <c r="J157" i="3"/>
  <c r="J153" i="3"/>
  <c r="J149" i="3"/>
  <c r="J145" i="3"/>
  <c r="J141" i="3"/>
  <c r="J137" i="3"/>
  <c r="J133" i="3"/>
  <c r="J129" i="3"/>
  <c r="J125" i="3"/>
  <c r="J121" i="3"/>
  <c r="J117" i="3"/>
  <c r="J268" i="3"/>
  <c r="J235" i="3"/>
  <c r="J194" i="3"/>
  <c r="J184" i="3"/>
  <c r="J180" i="3"/>
  <c r="N12" i="3"/>
  <c r="Z23" i="3"/>
  <c r="Z25" i="3"/>
  <c r="Z48" i="3"/>
  <c r="N63" i="3"/>
  <c r="Z84" i="3"/>
  <c r="Z95" i="3"/>
  <c r="Z97" i="3"/>
  <c r="Z108" i="3"/>
  <c r="Z19" i="3"/>
  <c r="Z21" i="3"/>
  <c r="Z44" i="3"/>
  <c r="Z46" i="3"/>
  <c r="Z15" i="3"/>
  <c r="Z40" i="3"/>
  <c r="Z63" i="3"/>
  <c r="Z65" i="3"/>
  <c r="Z80" i="3"/>
  <c r="Z91" i="3"/>
  <c r="Z93" i="3"/>
  <c r="Z114" i="3"/>
  <c r="X16" i="6"/>
  <c r="P22" i="6"/>
  <c r="J204" i="12"/>
  <c r="J223" i="12"/>
  <c r="J215" i="12"/>
  <c r="J211" i="12"/>
  <c r="J199" i="12"/>
  <c r="J216" i="12"/>
  <c r="J200" i="12"/>
  <c r="J194" i="12"/>
  <c r="J184" i="12"/>
  <c r="J233" i="12"/>
  <c r="J217" i="12"/>
  <c r="J205" i="12"/>
  <c r="J201" i="12"/>
  <c r="J185" i="12"/>
  <c r="J232" i="12"/>
  <c r="J224" i="12"/>
  <c r="J212" i="12"/>
  <c r="J206" i="12"/>
  <c r="J186" i="12"/>
  <c r="J237" i="12"/>
  <c r="J231" i="12"/>
  <c r="J225" i="12"/>
  <c r="J207" i="12"/>
  <c r="J195" i="12"/>
  <c r="J230" i="12"/>
  <c r="J226" i="12"/>
  <c r="J218" i="12"/>
  <c r="J202" i="12"/>
  <c r="J196" i="12"/>
  <c r="J188" i="12"/>
  <c r="J229" i="12"/>
  <c r="J219" i="12"/>
  <c r="J213" i="12"/>
  <c r="J197" i="12"/>
  <c r="J189" i="12"/>
  <c r="J221" i="12"/>
  <c r="J209" i="12"/>
  <c r="J203" i="12"/>
  <c r="J191" i="12"/>
  <c r="J175" i="12"/>
  <c r="J157" i="12"/>
  <c r="J153" i="12"/>
  <c r="J192" i="12"/>
  <c r="J176" i="12"/>
  <c r="J148" i="12"/>
  <c r="J144" i="12"/>
  <c r="J94" i="12"/>
  <c r="J177" i="12"/>
  <c r="J167" i="12"/>
  <c r="J135" i="12"/>
  <c r="J131" i="12"/>
  <c r="J127" i="12"/>
  <c r="J123" i="12"/>
  <c r="J119" i="12"/>
  <c r="J115" i="12"/>
  <c r="J111" i="12"/>
  <c r="J107" i="12"/>
  <c r="J103" i="12"/>
  <c r="J99" i="12"/>
  <c r="J95" i="12"/>
  <c r="J178" i="12"/>
  <c r="J168" i="12"/>
  <c r="J158" i="12"/>
  <c r="J154" i="12"/>
  <c r="J210" i="12"/>
  <c r="J169" i="12"/>
  <c r="J159" i="12"/>
  <c r="J149" i="12"/>
  <c r="J145" i="12"/>
  <c r="J160" i="12"/>
  <c r="J136" i="12"/>
  <c r="J132" i="12"/>
  <c r="J128" i="12"/>
  <c r="J124" i="12"/>
  <c r="J120" i="12"/>
  <c r="J116" i="12"/>
  <c r="J112" i="12"/>
  <c r="J108" i="12"/>
  <c r="J104" i="12"/>
  <c r="J100" i="12"/>
  <c r="J96" i="12"/>
  <c r="J208" i="12"/>
  <c r="J179" i="12"/>
  <c r="J161" i="12"/>
  <c r="J155" i="12"/>
  <c r="J141" i="12"/>
  <c r="J214" i="12"/>
  <c r="J180" i="12"/>
  <c r="J170" i="12"/>
  <c r="J162" i="12"/>
  <c r="J150" i="12"/>
  <c r="J146" i="12"/>
  <c r="J142" i="12"/>
  <c r="J140" i="12"/>
  <c r="J138" i="12"/>
  <c r="J193" i="12"/>
  <c r="J181" i="12"/>
  <c r="J171" i="12"/>
  <c r="J163" i="12"/>
  <c r="J151" i="12"/>
  <c r="H138" i="12"/>
  <c r="J133" i="12"/>
  <c r="J129" i="12"/>
  <c r="J125" i="12"/>
  <c r="J121" i="12"/>
  <c r="J117" i="12"/>
  <c r="J113" i="12"/>
  <c r="J109" i="12"/>
  <c r="J105" i="12"/>
  <c r="J101" i="12"/>
  <c r="J97" i="12"/>
  <c r="J222" i="12"/>
  <c r="J182" i="12"/>
  <c r="J172" i="12"/>
  <c r="J164" i="12"/>
  <c r="J156" i="12"/>
  <c r="J152" i="12"/>
  <c r="J220" i="12"/>
  <c r="J198" i="12"/>
  <c r="J173" i="12"/>
  <c r="J165" i="12"/>
  <c r="J147" i="12"/>
  <c r="J143" i="12"/>
  <c r="R114" i="3"/>
  <c r="F117" i="3"/>
  <c r="F121" i="3"/>
  <c r="F125" i="3"/>
  <c r="F129" i="3"/>
  <c r="F133" i="3"/>
  <c r="F137" i="3"/>
  <c r="F141" i="3"/>
  <c r="F145" i="3"/>
  <c r="F149" i="3"/>
  <c r="F153" i="3"/>
  <c r="F157" i="3"/>
  <c r="F161" i="3"/>
  <c r="R181" i="3"/>
  <c r="R185" i="3"/>
  <c r="R186" i="3"/>
  <c r="F197" i="3"/>
  <c r="F214" i="3"/>
  <c r="F230" i="3"/>
  <c r="R236" i="3"/>
  <c r="R238" i="3"/>
  <c r="R244" i="3"/>
  <c r="X248" i="3"/>
  <c r="Z248" i="3" s="1"/>
  <c r="F254" i="3"/>
  <c r="R263" i="3"/>
  <c r="N49" i="9"/>
  <c r="N31" i="12"/>
  <c r="Z37" i="12"/>
  <c r="L52" i="12"/>
  <c r="N52" i="12" s="1"/>
  <c r="Z60" i="12"/>
  <c r="N79" i="12"/>
  <c r="J130" i="12"/>
  <c r="F143" i="12"/>
  <c r="J190" i="12"/>
  <c r="R118" i="3"/>
  <c r="R122" i="3"/>
  <c r="R126" i="3"/>
  <c r="R130" i="3"/>
  <c r="R134" i="3"/>
  <c r="R138" i="3"/>
  <c r="R142" i="3"/>
  <c r="R146" i="3"/>
  <c r="R150" i="3"/>
  <c r="R154" i="3"/>
  <c r="R158" i="3"/>
  <c r="R162" i="3"/>
  <c r="X168" i="3"/>
  <c r="Z168" i="3" s="1"/>
  <c r="F170" i="3"/>
  <c r="F174" i="3"/>
  <c r="R203" i="3"/>
  <c r="F205" i="3"/>
  <c r="F217" i="3"/>
  <c r="R228" i="3"/>
  <c r="R233" i="3"/>
  <c r="R240" i="3"/>
  <c r="Z263" i="3"/>
  <c r="X263" i="3"/>
  <c r="R277" i="3"/>
  <c r="L48" i="12"/>
  <c r="N48" i="12" s="1"/>
  <c r="N165" i="12"/>
  <c r="L165" i="12"/>
  <c r="Z13" i="3"/>
  <c r="L27" i="3"/>
  <c r="N27" i="3" s="1"/>
  <c r="L35" i="3"/>
  <c r="N35" i="3" s="1"/>
  <c r="L51" i="3"/>
  <c r="N51" i="3" s="1"/>
  <c r="L55" i="3"/>
  <c r="N55" i="3" s="1"/>
  <c r="L59" i="3"/>
  <c r="N59" i="3" s="1"/>
  <c r="L67" i="3"/>
  <c r="N67" i="3" s="1"/>
  <c r="L79" i="3"/>
  <c r="N79" i="3" s="1"/>
  <c r="L83" i="3"/>
  <c r="L87" i="3"/>
  <c r="N87" i="3" s="1"/>
  <c r="L91" i="3"/>
  <c r="N91" i="3" s="1"/>
  <c r="L95" i="3"/>
  <c r="N95" i="3" s="1"/>
  <c r="L99" i="3"/>
  <c r="N99" i="3" s="1"/>
  <c r="L103" i="3"/>
  <c r="N103" i="3" s="1"/>
  <c r="L107" i="3"/>
  <c r="N107" i="3" s="1"/>
  <c r="L111" i="3"/>
  <c r="N111" i="3" s="1"/>
  <c r="D165" i="3"/>
  <c r="R171" i="3"/>
  <c r="R175" i="3"/>
  <c r="F178" i="3"/>
  <c r="F179" i="3"/>
  <c r="F183" i="3"/>
  <c r="R191" i="3"/>
  <c r="R194" i="3"/>
  <c r="N205" i="3"/>
  <c r="F211" i="3"/>
  <c r="F223" i="3"/>
  <c r="F225" i="3"/>
  <c r="R235" i="3"/>
  <c r="Z277" i="3"/>
  <c r="X18" i="6"/>
  <c r="T22" i="6"/>
  <c r="L51" i="9"/>
  <c r="N51" i="9" s="1"/>
  <c r="N23" i="12"/>
  <c r="Z29" i="12"/>
  <c r="Z31" i="12"/>
  <c r="N44" i="12"/>
  <c r="L44" i="12"/>
  <c r="Z52" i="12"/>
  <c r="N71" i="12"/>
  <c r="N92" i="12"/>
  <c r="L92" i="12"/>
  <c r="Z177" i="12"/>
  <c r="F182" i="12"/>
  <c r="J98" i="12"/>
  <c r="J122" i="12"/>
  <c r="L43" i="3"/>
  <c r="N43" i="3" s="1"/>
  <c r="L63" i="3"/>
  <c r="L71" i="3"/>
  <c r="N71" i="3" s="1"/>
  <c r="L75" i="3"/>
  <c r="N75" i="3" s="1"/>
  <c r="X12" i="3"/>
  <c r="Z12" i="3" s="1"/>
  <c r="N19" i="3"/>
  <c r="N23" i="3"/>
  <c r="N31" i="3"/>
  <c r="N39" i="3"/>
  <c r="N47" i="3"/>
  <c r="F116" i="3"/>
  <c r="F120" i="3"/>
  <c r="F124" i="3"/>
  <c r="F128" i="3"/>
  <c r="F132" i="3"/>
  <c r="F136" i="3"/>
  <c r="F140" i="3"/>
  <c r="F144" i="3"/>
  <c r="F148" i="3"/>
  <c r="F152" i="3"/>
  <c r="F156" i="3"/>
  <c r="F160" i="3"/>
  <c r="F165" i="3"/>
  <c r="F167" i="3"/>
  <c r="R180" i="3"/>
  <c r="R184" i="3"/>
  <c r="F189" i="3"/>
  <c r="L190" i="3"/>
  <c r="N190" i="3" s="1"/>
  <c r="F196" i="3"/>
  <c r="X208" i="3"/>
  <c r="Z208" i="3" s="1"/>
  <c r="X212" i="3"/>
  <c r="Z212" i="3" s="1"/>
  <c r="X220" i="3"/>
  <c r="Z220" i="3" s="1"/>
  <c r="F232" i="3"/>
  <c r="R265" i="3"/>
  <c r="X14" i="6"/>
  <c r="N19" i="9"/>
  <c r="N78" i="9"/>
  <c r="L40" i="12"/>
  <c r="N40" i="12" s="1"/>
  <c r="N88" i="12"/>
  <c r="L88" i="12"/>
  <c r="J110" i="12"/>
  <c r="L173" i="12"/>
  <c r="N173" i="12" s="1"/>
  <c r="H260" i="3"/>
  <c r="N268" i="3"/>
  <c r="L56" i="12"/>
  <c r="N56" i="12" s="1"/>
  <c r="R117" i="3"/>
  <c r="R121" i="3"/>
  <c r="R125" i="3"/>
  <c r="R129" i="3"/>
  <c r="R133" i="3"/>
  <c r="R137" i="3"/>
  <c r="R141" i="3"/>
  <c r="R145" i="3"/>
  <c r="R149" i="3"/>
  <c r="R153" i="3"/>
  <c r="R157" i="3"/>
  <c r="R161" i="3"/>
  <c r="F168" i="3"/>
  <c r="F169" i="3"/>
  <c r="F173" i="3"/>
  <c r="F177" i="3"/>
  <c r="F188" i="3"/>
  <c r="R202" i="3"/>
  <c r="R208" i="3"/>
  <c r="F216" i="3"/>
  <c r="R220" i="3"/>
  <c r="F237" i="3"/>
  <c r="P260" i="3"/>
  <c r="Z53" i="9"/>
  <c r="N59" i="9"/>
  <c r="N36" i="12"/>
  <c r="L36" i="12"/>
  <c r="Z44" i="12"/>
  <c r="N63" i="12"/>
  <c r="Z69" i="12"/>
  <c r="Z71" i="12"/>
  <c r="L84" i="12"/>
  <c r="N84" i="12" s="1"/>
  <c r="J102" i="12"/>
  <c r="F147" i="12"/>
  <c r="N163" i="12"/>
  <c r="Z175" i="12"/>
  <c r="F198" i="12"/>
  <c r="L70" i="3"/>
  <c r="N70" i="3" s="1"/>
  <c r="L78" i="3"/>
  <c r="N78" i="3" s="1"/>
  <c r="L82" i="3"/>
  <c r="N82" i="3" s="1"/>
  <c r="L86" i="3"/>
  <c r="N86" i="3" s="1"/>
  <c r="L90" i="3"/>
  <c r="N90" i="3" s="1"/>
  <c r="L94" i="3"/>
  <c r="N94" i="3" s="1"/>
  <c r="L98" i="3"/>
  <c r="N98" i="3" s="1"/>
  <c r="L102" i="3"/>
  <c r="N102" i="3" s="1"/>
  <c r="L106" i="3"/>
  <c r="N106" i="3" s="1"/>
  <c r="L110" i="3"/>
  <c r="N110" i="3" s="1"/>
  <c r="R170" i="3"/>
  <c r="R174" i="3"/>
  <c r="F182" i="3"/>
  <c r="F210" i="3"/>
  <c r="X214" i="3"/>
  <c r="Z214" i="3" s="1"/>
  <c r="N216" i="3"/>
  <c r="F222" i="3"/>
  <c r="T260" i="3"/>
  <c r="P12" i="12"/>
  <c r="X13" i="12"/>
  <c r="Z17" i="12"/>
  <c r="L32" i="12"/>
  <c r="N32" i="12" s="1"/>
  <c r="N80" i="12"/>
  <c r="L80" i="12"/>
  <c r="J118" i="12"/>
  <c r="Z141" i="12"/>
  <c r="J166" i="12"/>
  <c r="Z184" i="12"/>
  <c r="J187" i="12"/>
  <c r="J114" i="12"/>
  <c r="L15" i="3"/>
  <c r="N15" i="3" s="1"/>
  <c r="F114" i="3"/>
  <c r="F115" i="3"/>
  <c r="F119" i="3"/>
  <c r="F123" i="3"/>
  <c r="F127" i="3"/>
  <c r="F131" i="3"/>
  <c r="F135" i="3"/>
  <c r="F139" i="3"/>
  <c r="F143" i="3"/>
  <c r="F147" i="3"/>
  <c r="F151" i="3"/>
  <c r="F155" i="3"/>
  <c r="F159" i="3"/>
  <c r="F163" i="3"/>
  <c r="R179" i="3"/>
  <c r="R183" i="3"/>
  <c r="F186" i="3"/>
  <c r="F187" i="3"/>
  <c r="R190" i="3"/>
  <c r="F195" i="3"/>
  <c r="L196" i="3"/>
  <c r="N196" i="3" s="1"/>
  <c r="F198" i="3"/>
  <c r="R199" i="3"/>
  <c r="R207" i="3"/>
  <c r="R249" i="3"/>
  <c r="F253" i="3"/>
  <c r="R257" i="3"/>
  <c r="F269" i="3"/>
  <c r="Z13" i="12"/>
  <c r="N28" i="12"/>
  <c r="L28" i="12"/>
  <c r="Z36" i="12"/>
  <c r="N55" i="12"/>
  <c r="Z61" i="12"/>
  <c r="L76" i="12"/>
  <c r="N76" i="12" s="1"/>
  <c r="J126" i="12"/>
  <c r="J134" i="12"/>
  <c r="N161" i="12"/>
  <c r="N171" i="12"/>
  <c r="Z188" i="3"/>
  <c r="Z159" i="12"/>
  <c r="X159" i="12"/>
  <c r="R116" i="3"/>
  <c r="R120" i="3"/>
  <c r="R124" i="3"/>
  <c r="R128" i="3"/>
  <c r="R132" i="3"/>
  <c r="R136" i="3"/>
  <c r="R140" i="3"/>
  <c r="R144" i="3"/>
  <c r="R148" i="3"/>
  <c r="R152" i="3"/>
  <c r="R156" i="3"/>
  <c r="R160" i="3"/>
  <c r="F172" i="3"/>
  <c r="F176" i="3"/>
  <c r="R189" i="3"/>
  <c r="Z190" i="3"/>
  <c r="R193" i="3"/>
  <c r="Z199" i="3"/>
  <c r="F204" i="3"/>
  <c r="R219" i="3"/>
  <c r="R232" i="3"/>
  <c r="F236" i="3"/>
  <c r="X239" i="3"/>
  <c r="R243" i="3"/>
  <c r="N253" i="3"/>
  <c r="Z257" i="3"/>
  <c r="X257" i="3"/>
  <c r="X262" i="3"/>
  <c r="Z262" i="3" s="1"/>
  <c r="X264" i="3"/>
  <c r="N269" i="3"/>
  <c r="L269" i="3"/>
  <c r="R278" i="3"/>
  <c r="N18" i="9"/>
  <c r="L24" i="12"/>
  <c r="N24" i="12" s="1"/>
  <c r="Z32" i="12"/>
  <c r="N51" i="12"/>
  <c r="Z57" i="12"/>
  <c r="N72" i="12"/>
  <c r="L72" i="12"/>
  <c r="Z80" i="12"/>
  <c r="J174" i="12"/>
  <c r="P165" i="3"/>
  <c r="R169" i="3"/>
  <c r="R173" i="3"/>
  <c r="R177" i="3"/>
  <c r="R178" i="3"/>
  <c r="F181" i="3"/>
  <c r="F185" i="3"/>
  <c r="R196" i="3"/>
  <c r="R201" i="3"/>
  <c r="F215" i="3"/>
  <c r="R227" i="3"/>
  <c r="N236" i="3"/>
  <c r="R239" i="3"/>
  <c r="R264" i="3"/>
  <c r="R24" i="6"/>
  <c r="R31" i="6"/>
  <c r="R29" i="6"/>
  <c r="R28" i="6"/>
  <c r="R26" i="6"/>
  <c r="X12" i="6"/>
  <c r="R22" i="6"/>
  <c r="R20" i="6"/>
  <c r="R18" i="6"/>
  <c r="R16" i="6"/>
  <c r="R14" i="6"/>
  <c r="F193" i="12"/>
  <c r="F192" i="12"/>
  <c r="F204" i="12"/>
  <c r="F223" i="12"/>
  <c r="F215" i="12"/>
  <c r="F211" i="12"/>
  <c r="F199" i="12"/>
  <c r="F183" i="12"/>
  <c r="F194" i="12"/>
  <c r="F217" i="12"/>
  <c r="F216" i="12"/>
  <c r="F205" i="12"/>
  <c r="F201" i="12"/>
  <c r="F200" i="12"/>
  <c r="F185" i="12"/>
  <c r="F184" i="12"/>
  <c r="F233" i="12"/>
  <c r="F224" i="12"/>
  <c r="F212" i="12"/>
  <c r="F237" i="12"/>
  <c r="F232" i="12"/>
  <c r="F207" i="12"/>
  <c r="F206" i="12"/>
  <c r="F195" i="12"/>
  <c r="F231" i="12"/>
  <c r="F226" i="12"/>
  <c r="F225" i="12"/>
  <c r="F218" i="12"/>
  <c r="F202" i="12"/>
  <c r="F229" i="12"/>
  <c r="F220" i="12"/>
  <c r="F219" i="12"/>
  <c r="F208" i="12"/>
  <c r="F187" i="12"/>
  <c r="F174" i="12"/>
  <c r="F173" i="12"/>
  <c r="F166" i="12"/>
  <c r="F165" i="12"/>
  <c r="F134" i="12"/>
  <c r="F130" i="12"/>
  <c r="F126" i="12"/>
  <c r="F122" i="12"/>
  <c r="F118" i="12"/>
  <c r="F114" i="12"/>
  <c r="F110" i="12"/>
  <c r="F106" i="12"/>
  <c r="F102" i="12"/>
  <c r="F98" i="12"/>
  <c r="F196" i="12"/>
  <c r="F190" i="12"/>
  <c r="F157" i="12"/>
  <c r="F153" i="12"/>
  <c r="F213" i="12"/>
  <c r="F176" i="12"/>
  <c r="F175" i="12"/>
  <c r="F148" i="12"/>
  <c r="F144" i="12"/>
  <c r="F167" i="12"/>
  <c r="F135" i="12"/>
  <c r="F131" i="12"/>
  <c r="F127" i="12"/>
  <c r="F123" i="12"/>
  <c r="F119" i="12"/>
  <c r="F115" i="12"/>
  <c r="F111" i="12"/>
  <c r="F107" i="12"/>
  <c r="F103" i="12"/>
  <c r="F99" i="12"/>
  <c r="F95" i="12"/>
  <c r="F94" i="12"/>
  <c r="F221" i="12"/>
  <c r="F188" i="12"/>
  <c r="F178" i="12"/>
  <c r="F177" i="12"/>
  <c r="F158" i="12"/>
  <c r="F154" i="12"/>
  <c r="F210" i="12"/>
  <c r="F197" i="12"/>
  <c r="F169" i="12"/>
  <c r="F168" i="12"/>
  <c r="F149" i="12"/>
  <c r="F145" i="12"/>
  <c r="F160" i="12"/>
  <c r="F159" i="12"/>
  <c r="F136" i="12"/>
  <c r="F132" i="12"/>
  <c r="F128" i="12"/>
  <c r="F124" i="12"/>
  <c r="F120" i="12"/>
  <c r="F116" i="12"/>
  <c r="F112" i="12"/>
  <c r="F108" i="12"/>
  <c r="F104" i="12"/>
  <c r="F100" i="12"/>
  <c r="F96" i="12"/>
  <c r="F230" i="12"/>
  <c r="F191" i="12"/>
  <c r="F179" i="12"/>
  <c r="F155" i="12"/>
  <c r="F214" i="12"/>
  <c r="F189" i="12"/>
  <c r="F186" i="12"/>
  <c r="F170" i="12"/>
  <c r="F162" i="12"/>
  <c r="F161" i="12"/>
  <c r="F150" i="12"/>
  <c r="F146" i="12"/>
  <c r="F142" i="12"/>
  <c r="F141" i="12"/>
  <c r="F203" i="12"/>
  <c r="F181" i="12"/>
  <c r="F180" i="12"/>
  <c r="F140" i="12"/>
  <c r="F133" i="12"/>
  <c r="F129" i="12"/>
  <c r="F125" i="12"/>
  <c r="F121" i="12"/>
  <c r="F117" i="12"/>
  <c r="F113" i="12"/>
  <c r="F109" i="12"/>
  <c r="F105" i="12"/>
  <c r="F101" i="12"/>
  <c r="F97" i="12"/>
  <c r="F222" i="12"/>
  <c r="F172" i="12"/>
  <c r="F171" i="12"/>
  <c r="F164" i="12"/>
  <c r="F163" i="12"/>
  <c r="F156" i="12"/>
  <c r="F152" i="12"/>
  <c r="F151" i="12"/>
  <c r="D138" i="12"/>
  <c r="L12" i="12"/>
  <c r="N12" i="12" s="1"/>
  <c r="N20" i="12"/>
  <c r="L20" i="12"/>
  <c r="Z55" i="12"/>
  <c r="L68" i="12"/>
  <c r="N68" i="12" s="1"/>
  <c r="J183" i="12"/>
  <c r="F273" i="3"/>
  <c r="F268" i="3"/>
  <c r="F255" i="3"/>
  <c r="F247" i="3"/>
  <c r="F243" i="3"/>
  <c r="F227" i="3"/>
  <c r="F226" i="3"/>
  <c r="F219" i="3"/>
  <c r="F218" i="3"/>
  <c r="F207" i="3"/>
  <c r="F191" i="3"/>
  <c r="F190" i="3"/>
  <c r="F267" i="3"/>
  <c r="F238" i="3"/>
  <c r="F266" i="3"/>
  <c r="F249" i="3"/>
  <c r="F248" i="3"/>
  <c r="F233" i="3"/>
  <c r="F221" i="3"/>
  <c r="F220" i="3"/>
  <c r="F209" i="3"/>
  <c r="F208" i="3"/>
  <c r="F193" i="3"/>
  <c r="F192" i="3"/>
  <c r="F278" i="3"/>
  <c r="F277" i="3"/>
  <c r="F265" i="3"/>
  <c r="F256" i="3"/>
  <c r="F244" i="3"/>
  <c r="F240" i="3"/>
  <c r="F239" i="3"/>
  <c r="F228" i="3"/>
  <c r="F200" i="3"/>
  <c r="F199" i="3"/>
  <c r="F264" i="3"/>
  <c r="F263" i="3"/>
  <c r="F258" i="3"/>
  <c r="F257" i="3"/>
  <c r="F250" i="3"/>
  <c r="F234" i="3"/>
  <c r="F202" i="3"/>
  <c r="F201" i="3"/>
  <c r="F194" i="3"/>
  <c r="F262" i="3"/>
  <c r="F245" i="3"/>
  <c r="F241" i="3"/>
  <c r="F229" i="3"/>
  <c r="F213" i="3"/>
  <c r="F212" i="3"/>
  <c r="F261" i="3"/>
  <c r="F252" i="3"/>
  <c r="F251" i="3"/>
  <c r="F260" i="3"/>
  <c r="X14" i="3"/>
  <c r="Z14" i="3" s="1"/>
  <c r="X18" i="3"/>
  <c r="Z18" i="3" s="1"/>
  <c r="X22" i="3"/>
  <c r="Z22" i="3" s="1"/>
  <c r="X26" i="3"/>
  <c r="Z26" i="3" s="1"/>
  <c r="X34" i="3"/>
  <c r="Z34" i="3" s="1"/>
  <c r="X38" i="3"/>
  <c r="Z38" i="3" s="1"/>
  <c r="X42" i="3"/>
  <c r="Z42" i="3" s="1"/>
  <c r="X46" i="3"/>
  <c r="X50" i="3"/>
  <c r="Z50" i="3" s="1"/>
  <c r="F118" i="3"/>
  <c r="F122" i="3"/>
  <c r="F126" i="3"/>
  <c r="F130" i="3"/>
  <c r="F134" i="3"/>
  <c r="F138" i="3"/>
  <c r="F142" i="3"/>
  <c r="F146" i="3"/>
  <c r="F150" i="3"/>
  <c r="F154" i="3"/>
  <c r="F158" i="3"/>
  <c r="F162" i="3"/>
  <c r="R165" i="3"/>
  <c r="R167" i="3"/>
  <c r="R182" i="3"/>
  <c r="R195" i="3"/>
  <c r="Z196" i="3"/>
  <c r="R198" i="3"/>
  <c r="F203" i="3"/>
  <c r="F206" i="3"/>
  <c r="R210" i="3"/>
  <c r="R216" i="3"/>
  <c r="F224" i="3"/>
  <c r="Z239" i="3"/>
  <c r="F246" i="3"/>
  <c r="X20" i="6"/>
  <c r="Z57" i="9"/>
  <c r="X57" i="9"/>
  <c r="L16" i="12"/>
  <c r="N16" i="12" s="1"/>
  <c r="Z24" i="12"/>
  <c r="N43" i="12"/>
  <c r="Z49" i="12"/>
  <c r="N64" i="12"/>
  <c r="L64" i="12"/>
  <c r="Z72" i="12"/>
  <c r="N91" i="12"/>
  <c r="Z94" i="12"/>
  <c r="J106" i="12"/>
  <c r="N151" i="12"/>
  <c r="L231" i="12"/>
  <c r="D228" i="12"/>
  <c r="F228" i="12" s="1"/>
  <c r="R262" i="3"/>
  <c r="R223" i="3"/>
  <c r="R212" i="3"/>
  <c r="R211" i="3"/>
  <c r="R261" i="3"/>
  <c r="R258" i="3"/>
  <c r="R251" i="3"/>
  <c r="R250" i="3"/>
  <c r="R234" i="3"/>
  <c r="R260" i="3"/>
  <c r="R245" i="3"/>
  <c r="R241" i="3"/>
  <c r="R230" i="3"/>
  <c r="R229" i="3"/>
  <c r="R214" i="3"/>
  <c r="R213" i="3"/>
  <c r="R253" i="3"/>
  <c r="R252" i="3"/>
  <c r="R224" i="3"/>
  <c r="R205" i="3"/>
  <c r="R204" i="3"/>
  <c r="R269" i="3"/>
  <c r="R254" i="3"/>
  <c r="R246" i="3"/>
  <c r="R242" i="3"/>
  <c r="R206" i="3"/>
  <c r="R268" i="3"/>
  <c r="R237" i="3"/>
  <c r="R226" i="3"/>
  <c r="R225" i="3"/>
  <c r="R218" i="3"/>
  <c r="R217" i="3"/>
  <c r="R197" i="3"/>
  <c r="R267" i="3"/>
  <c r="R273" i="3"/>
  <c r="R266" i="3"/>
  <c r="R255" i="3"/>
  <c r="R248" i="3"/>
  <c r="R247" i="3"/>
  <c r="R115" i="3"/>
  <c r="R119" i="3"/>
  <c r="R123" i="3"/>
  <c r="R127" i="3"/>
  <c r="R131" i="3"/>
  <c r="R135" i="3"/>
  <c r="R139" i="3"/>
  <c r="R143" i="3"/>
  <c r="R147" i="3"/>
  <c r="R151" i="3"/>
  <c r="R155" i="3"/>
  <c r="R159" i="3"/>
  <c r="R163" i="3"/>
  <c r="R168" i="3"/>
  <c r="F171" i="3"/>
  <c r="F175" i="3"/>
  <c r="R187" i="3"/>
  <c r="R188" i="3"/>
  <c r="Z210" i="3"/>
  <c r="Z216" i="3"/>
  <c r="Z222" i="3"/>
  <c r="F242" i="3"/>
  <c r="N60" i="12"/>
  <c r="L60" i="12"/>
  <c r="X160" i="15"/>
  <c r="R160" i="15"/>
  <c r="J241" i="18"/>
  <c r="J231" i="18"/>
  <c r="J225" i="18"/>
  <c r="J199" i="18"/>
  <c r="J189" i="18"/>
  <c r="J181" i="18"/>
  <c r="J149" i="18"/>
  <c r="J145" i="18"/>
  <c r="J141" i="18"/>
  <c r="J137" i="18"/>
  <c r="J133" i="18"/>
  <c r="J129" i="18"/>
  <c r="J125" i="18"/>
  <c r="J121" i="18"/>
  <c r="J117" i="18"/>
  <c r="J113" i="18"/>
  <c r="J109" i="18"/>
  <c r="J105" i="18"/>
  <c r="J232" i="18"/>
  <c r="J220" i="18"/>
  <c r="J208" i="18"/>
  <c r="J200" i="18"/>
  <c r="J190" i="18"/>
  <c r="J172" i="18"/>
  <c r="J168" i="18"/>
  <c r="J233" i="18"/>
  <c r="J221" i="18"/>
  <c r="J215" i="18"/>
  <c r="J209" i="18"/>
  <c r="J201" i="18"/>
  <c r="J191" i="18"/>
  <c r="J163" i="18"/>
  <c r="J159" i="18"/>
  <c r="L12" i="18"/>
  <c r="N12" i="18" s="1"/>
  <c r="J234" i="18"/>
  <c r="J226" i="18"/>
  <c r="J222" i="18"/>
  <c r="J210" i="18"/>
  <c r="J202" i="18"/>
  <c r="J192" i="18"/>
  <c r="J182" i="18"/>
  <c r="J150" i="18"/>
  <c r="J146" i="18"/>
  <c r="J142" i="18"/>
  <c r="J138" i="18"/>
  <c r="J134" i="18"/>
  <c r="J130" i="18"/>
  <c r="J126" i="18"/>
  <c r="J122" i="18"/>
  <c r="J118" i="18"/>
  <c r="J114" i="18"/>
  <c r="J110" i="18"/>
  <c r="J106" i="18"/>
  <c r="J203" i="18"/>
  <c r="J193" i="18"/>
  <c r="J183" i="18"/>
  <c r="J173" i="18"/>
  <c r="J169" i="18"/>
  <c r="J216" i="18"/>
  <c r="J204" i="18"/>
  <c r="J184" i="18"/>
  <c r="J174" i="18"/>
  <c r="J164" i="18"/>
  <c r="J160" i="18"/>
  <c r="J247" i="18"/>
  <c r="J235" i="18"/>
  <c r="J227" i="18"/>
  <c r="J223" i="18"/>
  <c r="J211" i="18"/>
  <c r="J205" i="18"/>
  <c r="J175" i="18"/>
  <c r="J151" i="18"/>
  <c r="J147" i="18"/>
  <c r="J143" i="18"/>
  <c r="J139" i="18"/>
  <c r="J135" i="18"/>
  <c r="J131" i="18"/>
  <c r="J127" i="18"/>
  <c r="J123" i="18"/>
  <c r="J119" i="18"/>
  <c r="J115" i="18"/>
  <c r="J111" i="18"/>
  <c r="J107" i="18"/>
  <c r="J246" i="18"/>
  <c r="J228" i="18"/>
  <c r="J206" i="18"/>
  <c r="J194" i="18"/>
  <c r="J176" i="18"/>
  <c r="J170" i="18"/>
  <c r="J156" i="18"/>
  <c r="J251" i="18"/>
  <c r="J245" i="18"/>
  <c r="J229" i="18"/>
  <c r="J217" i="18"/>
  <c r="J195" i="18"/>
  <c r="J185" i="18"/>
  <c r="J177" i="18"/>
  <c r="J165" i="18"/>
  <c r="J161" i="18"/>
  <c r="J157" i="18"/>
  <c r="J155" i="18"/>
  <c r="J153" i="18"/>
  <c r="J244" i="18"/>
  <c r="J236" i="18"/>
  <c r="J224" i="18"/>
  <c r="J218" i="18"/>
  <c r="J212" i="18"/>
  <c r="J196" i="18"/>
  <c r="J186" i="18"/>
  <c r="J178" i="18"/>
  <c r="J166" i="18"/>
  <c r="H153" i="18"/>
  <c r="J148" i="18"/>
  <c r="J144" i="18"/>
  <c r="J140" i="18"/>
  <c r="J136" i="18"/>
  <c r="J132" i="18"/>
  <c r="J128" i="18"/>
  <c r="J124" i="18"/>
  <c r="J120" i="18"/>
  <c r="J116" i="18"/>
  <c r="J112" i="18"/>
  <c r="J108" i="18"/>
  <c r="J243" i="18"/>
  <c r="J237" i="18"/>
  <c r="J219" i="18"/>
  <c r="J213" i="18"/>
  <c r="J207" i="18"/>
  <c r="J197" i="18"/>
  <c r="J187" i="18"/>
  <c r="J179" i="18"/>
  <c r="J171" i="18"/>
  <c r="J167" i="18"/>
  <c r="J162" i="18"/>
  <c r="J104" i="18"/>
  <c r="J158" i="18"/>
  <c r="J242" i="18"/>
  <c r="J198" i="18"/>
  <c r="J188" i="18"/>
  <c r="J238" i="18"/>
  <c r="J230" i="18"/>
  <c r="J214" i="18"/>
  <c r="J180" i="18"/>
  <c r="X24" i="18"/>
  <c r="Z24" i="18" s="1"/>
  <c r="Z70" i="18"/>
  <c r="X72" i="18"/>
  <c r="Z72" i="18" s="1"/>
  <c r="D16" i="9"/>
  <c r="V45" i="9"/>
  <c r="V57" i="9"/>
  <c r="V69" i="9"/>
  <c r="R82" i="9"/>
  <c r="R83" i="9"/>
  <c r="V95" i="12"/>
  <c r="V99" i="12"/>
  <c r="V103" i="12"/>
  <c r="V107" i="12"/>
  <c r="V111" i="12"/>
  <c r="V115" i="12"/>
  <c r="V119" i="12"/>
  <c r="V123" i="12"/>
  <c r="V127" i="12"/>
  <c r="V131" i="12"/>
  <c r="V135" i="12"/>
  <c r="V159" i="12"/>
  <c r="V167" i="12"/>
  <c r="Z192" i="12"/>
  <c r="N209" i="12"/>
  <c r="N231" i="12"/>
  <c r="X14" i="15"/>
  <c r="Z14" i="15" s="1"/>
  <c r="Z27" i="15"/>
  <c r="Z38" i="15"/>
  <c r="Z51" i="15"/>
  <c r="X62" i="15"/>
  <c r="Z62" i="15" s="1"/>
  <c r="Z75" i="15"/>
  <c r="N85" i="15"/>
  <c r="N163" i="15"/>
  <c r="Z213" i="15"/>
  <c r="X20" i="18"/>
  <c r="Z20" i="18" s="1"/>
  <c r="N31" i="18"/>
  <c r="Z43" i="18"/>
  <c r="Z45" i="18"/>
  <c r="Z68" i="18"/>
  <c r="X68" i="18"/>
  <c r="Z91" i="18"/>
  <c r="N180" i="18"/>
  <c r="R192" i="18"/>
  <c r="N195" i="18"/>
  <c r="Z213" i="18"/>
  <c r="Z237" i="18"/>
  <c r="Z245" i="18"/>
  <c r="V82" i="9"/>
  <c r="V144" i="12"/>
  <c r="V148" i="12"/>
  <c r="V168" i="12"/>
  <c r="V176" i="12"/>
  <c r="V187" i="12"/>
  <c r="V205" i="12"/>
  <c r="D12" i="15"/>
  <c r="Z160" i="15"/>
  <c r="X179" i="15"/>
  <c r="Z179" i="15" s="1"/>
  <c r="Z16" i="18"/>
  <c r="X16" i="18"/>
  <c r="N54" i="18"/>
  <c r="X64" i="18"/>
  <c r="Z64" i="18" s="1"/>
  <c r="Z247" i="18"/>
  <c r="V14" i="6"/>
  <c r="V16" i="6"/>
  <c r="V18" i="6"/>
  <c r="V20" i="6"/>
  <c r="V22" i="6"/>
  <c r="F26" i="6"/>
  <c r="F28" i="6"/>
  <c r="F29" i="6"/>
  <c r="F31" i="6"/>
  <c r="H16" i="9"/>
  <c r="V31" i="9"/>
  <c r="V35" i="9"/>
  <c r="V43" i="9"/>
  <c r="R52" i="9"/>
  <c r="R53" i="9"/>
  <c r="V55" i="9"/>
  <c r="F59" i="9"/>
  <c r="F60" i="9"/>
  <c r="V67" i="9"/>
  <c r="F71" i="9"/>
  <c r="F72" i="9"/>
  <c r="J73" i="9"/>
  <c r="V75" i="9"/>
  <c r="J79" i="9"/>
  <c r="R80" i="9"/>
  <c r="R81" i="9"/>
  <c r="V83" i="9"/>
  <c r="J87" i="9"/>
  <c r="J89" i="9"/>
  <c r="R93" i="9"/>
  <c r="R96" i="9"/>
  <c r="V153" i="12"/>
  <c r="V157" i="12"/>
  <c r="V177" i="12"/>
  <c r="N233" i="12"/>
  <c r="X18" i="15"/>
  <c r="Z18" i="15" s="1"/>
  <c r="Z31" i="15"/>
  <c r="X42" i="15"/>
  <c r="Z42" i="15" s="1"/>
  <c r="Z55" i="15"/>
  <c r="N61" i="15"/>
  <c r="Z66" i="15"/>
  <c r="X66" i="15"/>
  <c r="Z79" i="15"/>
  <c r="Z81" i="15"/>
  <c r="Z175" i="15"/>
  <c r="X211" i="15"/>
  <c r="Z211" i="15" s="1"/>
  <c r="T12" i="18"/>
  <c r="Z35" i="18"/>
  <c r="Z37" i="18"/>
  <c r="Z58" i="18"/>
  <c r="Z60" i="18"/>
  <c r="X60" i="18"/>
  <c r="Z83" i="18"/>
  <c r="Z85" i="18"/>
  <c r="R95" i="24"/>
  <c r="R94" i="24"/>
  <c r="R91" i="24"/>
  <c r="R80" i="24"/>
  <c r="R79" i="24"/>
  <c r="R78" i="24"/>
  <c r="R61" i="24"/>
  <c r="R57" i="24"/>
  <c r="R53" i="24"/>
  <c r="R49" i="24"/>
  <c r="R84" i="24"/>
  <c r="R83" i="24"/>
  <c r="R89" i="24"/>
  <c r="R71" i="24"/>
  <c r="R102" i="24"/>
  <c r="R90" i="24"/>
  <c r="R67" i="24"/>
  <c r="R62" i="24"/>
  <c r="R58" i="24"/>
  <c r="R54" i="24"/>
  <c r="R50" i="24"/>
  <c r="R85" i="24"/>
  <c r="R76" i="24"/>
  <c r="R75" i="24"/>
  <c r="R66" i="24"/>
  <c r="R72" i="24"/>
  <c r="R68" i="24"/>
  <c r="P64" i="24"/>
  <c r="R64" i="24" s="1"/>
  <c r="R96" i="24"/>
  <c r="R86" i="24"/>
  <c r="R59" i="24"/>
  <c r="R55" i="24"/>
  <c r="R51" i="24"/>
  <c r="R77" i="24"/>
  <c r="R47" i="24"/>
  <c r="R98" i="24"/>
  <c r="R81" i="24"/>
  <c r="R73" i="24"/>
  <c r="R69" i="24"/>
  <c r="R92" i="24"/>
  <c r="R87" i="24"/>
  <c r="R82" i="24"/>
  <c r="R60" i="24"/>
  <c r="R56" i="24"/>
  <c r="R52" i="24"/>
  <c r="R48" i="24"/>
  <c r="R93" i="24"/>
  <c r="R74" i="24"/>
  <c r="R88" i="24"/>
  <c r="R70" i="24"/>
  <c r="V44" i="9"/>
  <c r="V52" i="9"/>
  <c r="V68" i="9"/>
  <c r="V80" i="9"/>
  <c r="R91" i="9"/>
  <c r="V230" i="12"/>
  <c r="V224" i="12"/>
  <c r="V212" i="12"/>
  <c r="V196" i="12"/>
  <c r="V188" i="12"/>
  <c r="V237" i="12"/>
  <c r="V229" i="12"/>
  <c r="V219" i="12"/>
  <c r="V207" i="12"/>
  <c r="V195" i="12"/>
  <c r="V228" i="12"/>
  <c r="V226" i="12"/>
  <c r="V218" i="12"/>
  <c r="V202" i="12"/>
  <c r="V190" i="12"/>
  <c r="V221" i="12"/>
  <c r="V213" i="12"/>
  <c r="V209" i="12"/>
  <c r="V197" i="12"/>
  <c r="V189" i="12"/>
  <c r="V220" i="12"/>
  <c r="V208" i="12"/>
  <c r="V192" i="12"/>
  <c r="V203" i="12"/>
  <c r="V191" i="12"/>
  <c r="V222" i="12"/>
  <c r="V214" i="12"/>
  <c r="V210" i="12"/>
  <c r="V198" i="12"/>
  <c r="V193" i="12"/>
  <c r="V233" i="12"/>
  <c r="V223" i="12"/>
  <c r="V215" i="12"/>
  <c r="V211" i="12"/>
  <c r="V199" i="12"/>
  <c r="V94" i="12"/>
  <c r="V98" i="12"/>
  <c r="V102" i="12"/>
  <c r="V106" i="12"/>
  <c r="V110" i="12"/>
  <c r="V114" i="12"/>
  <c r="V118" i="12"/>
  <c r="V122" i="12"/>
  <c r="V126" i="12"/>
  <c r="V130" i="12"/>
  <c r="V134" i="12"/>
  <c r="V166" i="12"/>
  <c r="V174" i="12"/>
  <c r="V183" i="12"/>
  <c r="N186" i="12"/>
  <c r="V200" i="12"/>
  <c r="V231" i="12"/>
  <c r="L13" i="15"/>
  <c r="N13" i="15" s="1"/>
  <c r="N46" i="18"/>
  <c r="X56" i="18"/>
  <c r="Z56" i="18" s="1"/>
  <c r="N174" i="18"/>
  <c r="Z180" i="18"/>
  <c r="X183" i="18"/>
  <c r="N242" i="18"/>
  <c r="P12" i="21"/>
  <c r="X13" i="21"/>
  <c r="Z12" i="6"/>
  <c r="J26" i="6"/>
  <c r="J28" i="6"/>
  <c r="J29" i="6"/>
  <c r="V21" i="9"/>
  <c r="V25" i="9"/>
  <c r="V29" i="9"/>
  <c r="J33" i="9"/>
  <c r="R34" i="9"/>
  <c r="J37" i="9"/>
  <c r="V41" i="9"/>
  <c r="F46" i="9"/>
  <c r="J47" i="9"/>
  <c r="R50" i="9"/>
  <c r="R51" i="9"/>
  <c r="V53" i="9"/>
  <c r="F57" i="9"/>
  <c r="F58" i="9"/>
  <c r="J59" i="9"/>
  <c r="V61" i="9"/>
  <c r="J65" i="9"/>
  <c r="R66" i="9"/>
  <c r="F70" i="9"/>
  <c r="J71" i="9"/>
  <c r="R74" i="9"/>
  <c r="J77" i="9"/>
  <c r="V81" i="9"/>
  <c r="J85" i="9"/>
  <c r="V91" i="9"/>
  <c r="V93" i="9"/>
  <c r="V96" i="9"/>
  <c r="L140" i="12"/>
  <c r="N140" i="12" s="1"/>
  <c r="V143" i="12"/>
  <c r="V147" i="12"/>
  <c r="V175" i="12"/>
  <c r="L180" i="12"/>
  <c r="N180" i="12" s="1"/>
  <c r="Z22" i="15"/>
  <c r="X22" i="15"/>
  <c r="Z35" i="15"/>
  <c r="X46" i="15"/>
  <c r="Z46" i="15" s="1"/>
  <c r="X70" i="15"/>
  <c r="Z70" i="15" s="1"/>
  <c r="X83" i="15"/>
  <c r="Z83" i="15" s="1"/>
  <c r="Z135" i="15"/>
  <c r="Z146" i="15"/>
  <c r="Z27" i="18"/>
  <c r="Z29" i="18"/>
  <c r="Z50" i="18"/>
  <c r="Z52" i="18"/>
  <c r="X52" i="18"/>
  <c r="Z75" i="18"/>
  <c r="Z77" i="18"/>
  <c r="Z100" i="18"/>
  <c r="N155" i="18"/>
  <c r="Z183" i="18"/>
  <c r="D16" i="6"/>
  <c r="F23" i="9"/>
  <c r="F27" i="9"/>
  <c r="V30" i="9"/>
  <c r="V34" i="9"/>
  <c r="R39" i="9"/>
  <c r="R40" i="9"/>
  <c r="V42" i="9"/>
  <c r="J46" i="9"/>
  <c r="V50" i="9"/>
  <c r="J58" i="9"/>
  <c r="F63" i="9"/>
  <c r="J64" i="9"/>
  <c r="V66" i="9"/>
  <c r="J70" i="9"/>
  <c r="V74" i="9"/>
  <c r="R79" i="9"/>
  <c r="V152" i="12"/>
  <c r="V156" i="12"/>
  <c r="V164" i="12"/>
  <c r="V172" i="12"/>
  <c r="N206" i="12"/>
  <c r="L219" i="12"/>
  <c r="N225" i="12"/>
  <c r="X228" i="12"/>
  <c r="Z233" i="12"/>
  <c r="T12" i="15"/>
  <c r="X35" i="15"/>
  <c r="Z37" i="15"/>
  <c r="X59" i="15"/>
  <c r="Z59" i="15" s="1"/>
  <c r="Z61" i="15"/>
  <c r="X74" i="15"/>
  <c r="X87" i="15"/>
  <c r="Z87" i="15" s="1"/>
  <c r="N217" i="15"/>
  <c r="Z23" i="18"/>
  <c r="Z25" i="18"/>
  <c r="Z46" i="18"/>
  <c r="X48" i="18"/>
  <c r="Z48" i="18" s="1"/>
  <c r="Z71" i="18"/>
  <c r="Z73" i="18"/>
  <c r="X96" i="18"/>
  <c r="Z96" i="18" s="1"/>
  <c r="Z166" i="18"/>
  <c r="Z174" i="18"/>
  <c r="Z188" i="18"/>
  <c r="Z209" i="18"/>
  <c r="P16" i="9"/>
  <c r="V39" i="9"/>
  <c r="V51" i="9"/>
  <c r="R60" i="9"/>
  <c r="R72" i="9"/>
  <c r="R73" i="9"/>
  <c r="F76" i="9"/>
  <c r="V79" i="9"/>
  <c r="F83" i="9"/>
  <c r="F84" i="9"/>
  <c r="R87" i="9"/>
  <c r="R89" i="9"/>
  <c r="V97" i="12"/>
  <c r="V101" i="12"/>
  <c r="V105" i="12"/>
  <c r="V109" i="12"/>
  <c r="V113" i="12"/>
  <c r="V117" i="12"/>
  <c r="V121" i="12"/>
  <c r="V125" i="12"/>
  <c r="V129" i="12"/>
  <c r="V133" i="12"/>
  <c r="V165" i="12"/>
  <c r="V173" i="12"/>
  <c r="V181" i="12"/>
  <c r="V186" i="12"/>
  <c r="V216" i="12"/>
  <c r="N219" i="12"/>
  <c r="Z15" i="15"/>
  <c r="X26" i="15"/>
  <c r="Z26" i="15" s="1"/>
  <c r="X50" i="15"/>
  <c r="Z50" i="15" s="1"/>
  <c r="Z74" i="15"/>
  <c r="Z193" i="15"/>
  <c r="N225" i="15"/>
  <c r="R234" i="18"/>
  <c r="R226" i="18"/>
  <c r="R222" i="18"/>
  <c r="R210" i="18"/>
  <c r="R203" i="18"/>
  <c r="R202" i="18"/>
  <c r="R183" i="18"/>
  <c r="R182" i="18"/>
  <c r="R150" i="18"/>
  <c r="R146" i="18"/>
  <c r="R142" i="18"/>
  <c r="R138" i="18"/>
  <c r="R134" i="18"/>
  <c r="R130" i="18"/>
  <c r="R126" i="18"/>
  <c r="R122" i="18"/>
  <c r="R118" i="18"/>
  <c r="R114" i="18"/>
  <c r="R110" i="18"/>
  <c r="R106" i="18"/>
  <c r="R193" i="18"/>
  <c r="R174" i="18"/>
  <c r="R173" i="18"/>
  <c r="R169" i="18"/>
  <c r="R247" i="18"/>
  <c r="R216" i="18"/>
  <c r="R205" i="18"/>
  <c r="R204" i="18"/>
  <c r="R184" i="18"/>
  <c r="R164" i="18"/>
  <c r="R160" i="18"/>
  <c r="R246" i="18"/>
  <c r="R235" i="18"/>
  <c r="R228" i="18"/>
  <c r="R227" i="18"/>
  <c r="R223" i="18"/>
  <c r="R211" i="18"/>
  <c r="R176" i="18"/>
  <c r="R175" i="18"/>
  <c r="R156" i="18"/>
  <c r="R151" i="18"/>
  <c r="R147" i="18"/>
  <c r="R143" i="18"/>
  <c r="R139" i="18"/>
  <c r="R135" i="18"/>
  <c r="R131" i="18"/>
  <c r="R127" i="18"/>
  <c r="R123" i="18"/>
  <c r="R119" i="18"/>
  <c r="R115" i="18"/>
  <c r="R111" i="18"/>
  <c r="R107" i="18"/>
  <c r="R245" i="18"/>
  <c r="R206" i="18"/>
  <c r="R195" i="18"/>
  <c r="R194" i="18"/>
  <c r="R170" i="18"/>
  <c r="R155" i="18"/>
  <c r="R251" i="18"/>
  <c r="R244" i="18"/>
  <c r="R229" i="18"/>
  <c r="R218" i="18"/>
  <c r="R217" i="18"/>
  <c r="R186" i="18"/>
  <c r="R185" i="18"/>
  <c r="R178" i="18"/>
  <c r="R177" i="18"/>
  <c r="R166" i="18"/>
  <c r="R165" i="18"/>
  <c r="R161" i="18"/>
  <c r="R157" i="18"/>
  <c r="P153" i="18"/>
  <c r="R243" i="18"/>
  <c r="R237" i="18"/>
  <c r="R236" i="18"/>
  <c r="R224" i="18"/>
  <c r="R213" i="18"/>
  <c r="R212" i="18"/>
  <c r="R197" i="18"/>
  <c r="R196" i="18"/>
  <c r="R148" i="18"/>
  <c r="R144" i="18"/>
  <c r="R140" i="18"/>
  <c r="R136" i="18"/>
  <c r="R132" i="18"/>
  <c r="R128" i="18"/>
  <c r="R124" i="18"/>
  <c r="R120" i="18"/>
  <c r="R116" i="18"/>
  <c r="R112" i="18"/>
  <c r="R108" i="18"/>
  <c r="R242" i="18"/>
  <c r="R219" i="18"/>
  <c r="R207" i="18"/>
  <c r="R188" i="18"/>
  <c r="R187" i="18"/>
  <c r="R180" i="18"/>
  <c r="R179" i="18"/>
  <c r="R171" i="18"/>
  <c r="R167" i="18"/>
  <c r="R104" i="18"/>
  <c r="R241" i="18"/>
  <c r="R238" i="18"/>
  <c r="R231" i="18"/>
  <c r="R230" i="18"/>
  <c r="R214" i="18"/>
  <c r="R199" i="18"/>
  <c r="R198" i="18"/>
  <c r="R162" i="18"/>
  <c r="R158" i="18"/>
  <c r="R225" i="18"/>
  <c r="R190" i="18"/>
  <c r="R189" i="18"/>
  <c r="R181" i="18"/>
  <c r="R149" i="18"/>
  <c r="R145" i="18"/>
  <c r="R141" i="18"/>
  <c r="R137" i="18"/>
  <c r="R133" i="18"/>
  <c r="R129" i="18"/>
  <c r="R125" i="18"/>
  <c r="R121" i="18"/>
  <c r="R117" i="18"/>
  <c r="R113" i="18"/>
  <c r="R109" i="18"/>
  <c r="R105" i="18"/>
  <c r="R233" i="18"/>
  <c r="R232" i="18"/>
  <c r="R221" i="18"/>
  <c r="R220" i="18"/>
  <c r="R209" i="18"/>
  <c r="R208" i="18"/>
  <c r="R201" i="18"/>
  <c r="R200" i="18"/>
  <c r="R172" i="18"/>
  <c r="R168" i="18"/>
  <c r="X12" i="18"/>
  <c r="Z44" i="18"/>
  <c r="X44" i="18"/>
  <c r="Z69" i="18"/>
  <c r="Z92" i="18"/>
  <c r="X92" i="18"/>
  <c r="Z155" i="18"/>
  <c r="R191" i="18"/>
  <c r="N205" i="18"/>
  <c r="N233" i="18"/>
  <c r="H16" i="6"/>
  <c r="R14" i="9"/>
  <c r="R16" i="9"/>
  <c r="R18" i="9"/>
  <c r="V20" i="9"/>
  <c r="V24" i="9"/>
  <c r="V28" i="9"/>
  <c r="J32" i="9"/>
  <c r="R33" i="9"/>
  <c r="J36" i="9"/>
  <c r="R37" i="9"/>
  <c r="R38" i="9"/>
  <c r="V40" i="9"/>
  <c r="F44" i="9"/>
  <c r="F45" i="9"/>
  <c r="V48" i="9"/>
  <c r="J56" i="9"/>
  <c r="V60" i="9"/>
  <c r="R65" i="9"/>
  <c r="F68" i="9"/>
  <c r="F69" i="9"/>
  <c r="V72" i="9"/>
  <c r="J76" i="9"/>
  <c r="R77" i="9"/>
  <c r="R78" i="9"/>
  <c r="J84" i="9"/>
  <c r="R85" i="9"/>
  <c r="X15" i="12"/>
  <c r="Z15" i="12" s="1"/>
  <c r="X19" i="12"/>
  <c r="Z19" i="12" s="1"/>
  <c r="X23" i="12"/>
  <c r="Z23" i="12" s="1"/>
  <c r="X27" i="12"/>
  <c r="Z27" i="12" s="1"/>
  <c r="X31" i="12"/>
  <c r="X35" i="12"/>
  <c r="Z35" i="12" s="1"/>
  <c r="X39" i="12"/>
  <c r="Z39" i="12" s="1"/>
  <c r="X43" i="12"/>
  <c r="Z43" i="12" s="1"/>
  <c r="X47" i="12"/>
  <c r="Z47" i="12" s="1"/>
  <c r="X51" i="12"/>
  <c r="Z51" i="12" s="1"/>
  <c r="X55" i="12"/>
  <c r="X59" i="12"/>
  <c r="Z59" i="12" s="1"/>
  <c r="X63" i="12"/>
  <c r="Z63" i="12" s="1"/>
  <c r="X67" i="12"/>
  <c r="Z67" i="12" s="1"/>
  <c r="X71" i="12"/>
  <c r="X75" i="12"/>
  <c r="Z75" i="12" s="1"/>
  <c r="X79" i="12"/>
  <c r="Z79" i="12" s="1"/>
  <c r="X83" i="12"/>
  <c r="Z83" i="12" s="1"/>
  <c r="X87" i="12"/>
  <c r="Z87" i="12" s="1"/>
  <c r="X91" i="12"/>
  <c r="Z91" i="12" s="1"/>
  <c r="V142" i="12"/>
  <c r="V146" i="12"/>
  <c r="V150" i="12"/>
  <c r="V162" i="12"/>
  <c r="V170" i="12"/>
  <c r="V182" i="12"/>
  <c r="N188" i="12"/>
  <c r="L192" i="12"/>
  <c r="N192" i="12" s="1"/>
  <c r="V201" i="12"/>
  <c r="V204" i="12"/>
  <c r="N221" i="12"/>
  <c r="L229" i="12"/>
  <c r="N232" i="12"/>
  <c r="X15" i="15"/>
  <c r="Z17" i="15"/>
  <c r="X39" i="15"/>
  <c r="Z39" i="15" s="1"/>
  <c r="Z52" i="15"/>
  <c r="X63" i="15"/>
  <c r="Z63" i="15" s="1"/>
  <c r="Z65" i="15"/>
  <c r="X78" i="15"/>
  <c r="N91" i="15"/>
  <c r="N170" i="15"/>
  <c r="T220" i="15"/>
  <c r="Z221" i="15"/>
  <c r="X221" i="15"/>
  <c r="P220" i="15"/>
  <c r="X223" i="15"/>
  <c r="X40" i="18"/>
  <c r="Z40" i="18" s="1"/>
  <c r="Z88" i="18"/>
  <c r="X88" i="18"/>
  <c r="R215" i="18"/>
  <c r="N231" i="18"/>
  <c r="T16" i="9"/>
  <c r="R19" i="9"/>
  <c r="F22" i="9"/>
  <c r="F26" i="9"/>
  <c r="V33" i="9"/>
  <c r="V37" i="9"/>
  <c r="J45" i="9"/>
  <c r="R46" i="9"/>
  <c r="R47" i="9"/>
  <c r="V49" i="9"/>
  <c r="F53" i="9"/>
  <c r="F54" i="9"/>
  <c r="J55" i="9"/>
  <c r="R58" i="9"/>
  <c r="R59" i="9"/>
  <c r="F62" i="9"/>
  <c r="V65" i="9"/>
  <c r="J69" i="9"/>
  <c r="R70" i="9"/>
  <c r="R71" i="9"/>
  <c r="V73" i="9"/>
  <c r="V77" i="9"/>
  <c r="F81" i="9"/>
  <c r="F82" i="9"/>
  <c r="J83" i="9"/>
  <c r="V85" i="9"/>
  <c r="V87" i="9"/>
  <c r="V89" i="9"/>
  <c r="F93" i="9"/>
  <c r="F96" i="9"/>
  <c r="T138" i="12"/>
  <c r="V151" i="12"/>
  <c r="V155" i="12"/>
  <c r="V163" i="12"/>
  <c r="V171" i="12"/>
  <c r="V179" i="12"/>
  <c r="V206" i="12"/>
  <c r="V225" i="12"/>
  <c r="N229" i="12"/>
  <c r="H228" i="12"/>
  <c r="J228" i="12" s="1"/>
  <c r="X232" i="12"/>
  <c r="Z232" i="12" s="1"/>
  <c r="X30" i="15"/>
  <c r="Z30" i="15" s="1"/>
  <c r="Z43" i="15"/>
  <c r="X54" i="15"/>
  <c r="Z54" i="15" s="1"/>
  <c r="Z67" i="15"/>
  <c r="Z78" i="15"/>
  <c r="N154" i="15"/>
  <c r="N168" i="15"/>
  <c r="X170" i="15"/>
  <c r="N183" i="15"/>
  <c r="L185" i="15"/>
  <c r="N185" i="15" s="1"/>
  <c r="Z223" i="15"/>
  <c r="Z13" i="18"/>
  <c r="Z34" i="18"/>
  <c r="X36" i="18"/>
  <c r="Z36" i="18" s="1"/>
  <c r="Z59" i="18"/>
  <c r="Z61" i="18"/>
  <c r="Z84" i="18"/>
  <c r="Z104" i="18"/>
  <c r="Z205" i="18"/>
  <c r="D240" i="18"/>
  <c r="L240" i="18" s="1"/>
  <c r="L243" i="18"/>
  <c r="V14" i="9"/>
  <c r="V16" i="9"/>
  <c r="V18" i="9"/>
  <c r="V38" i="9"/>
  <c r="V46" i="9"/>
  <c r="V58" i="9"/>
  <c r="V70" i="9"/>
  <c r="V78" i="9"/>
  <c r="J82" i="9"/>
  <c r="V96" i="12"/>
  <c r="V100" i="12"/>
  <c r="V104" i="12"/>
  <c r="V108" i="12"/>
  <c r="V112" i="12"/>
  <c r="V116" i="12"/>
  <c r="V120" i="12"/>
  <c r="V124" i="12"/>
  <c r="V128" i="12"/>
  <c r="V132" i="12"/>
  <c r="V136" i="12"/>
  <c r="V138" i="12"/>
  <c r="V140" i="12"/>
  <c r="V160" i="12"/>
  <c r="V180" i="12"/>
  <c r="V185" i="12"/>
  <c r="Z228" i="12"/>
  <c r="X19" i="15"/>
  <c r="Z19" i="15" s="1"/>
  <c r="Z21" i="15"/>
  <c r="X82" i="15"/>
  <c r="Z82" i="15" s="1"/>
  <c r="Z170" i="15"/>
  <c r="N22" i="18"/>
  <c r="Z32" i="18"/>
  <c r="X32" i="18"/>
  <c r="Z80" i="18"/>
  <c r="X80" i="18"/>
  <c r="H240" i="18"/>
  <c r="J240" i="18" s="1"/>
  <c r="N243" i="18"/>
  <c r="V24" i="6"/>
  <c r="V26" i="6"/>
  <c r="V28" i="6"/>
  <c r="V29" i="6"/>
  <c r="X12" i="9"/>
  <c r="V19" i="9"/>
  <c r="V23" i="9"/>
  <c r="V27" i="9"/>
  <c r="J31" i="9"/>
  <c r="R32" i="9"/>
  <c r="J35" i="9"/>
  <c r="R36" i="9"/>
  <c r="J43" i="9"/>
  <c r="V47" i="9"/>
  <c r="F51" i="9"/>
  <c r="F52" i="9"/>
  <c r="J53" i="9"/>
  <c r="R56" i="9"/>
  <c r="R57" i="9"/>
  <c r="V59" i="9"/>
  <c r="V63" i="9"/>
  <c r="J67" i="9"/>
  <c r="J75" i="9"/>
  <c r="R76" i="9"/>
  <c r="J81" i="9"/>
  <c r="J93" i="9"/>
  <c r="V141" i="12"/>
  <c r="V145" i="12"/>
  <c r="V149" i="12"/>
  <c r="V161" i="12"/>
  <c r="V169" i="12"/>
  <c r="V217" i="12"/>
  <c r="Z221" i="12"/>
  <c r="V232" i="12"/>
  <c r="Z23" i="15"/>
  <c r="Z34" i="15"/>
  <c r="X34" i="15"/>
  <c r="Z47" i="15"/>
  <c r="Z58" i="15"/>
  <c r="X58" i="15"/>
  <c r="Z71" i="15"/>
  <c r="N77" i="15"/>
  <c r="Z86" i="15"/>
  <c r="Z88" i="15"/>
  <c r="P133" i="15"/>
  <c r="N160" i="15"/>
  <c r="R168" i="15"/>
  <c r="N175" i="15"/>
  <c r="Z208" i="15"/>
  <c r="N213" i="15"/>
  <c r="Z26" i="18"/>
  <c r="X28" i="18"/>
  <c r="Z28" i="18" s="1"/>
  <c r="Z51" i="18"/>
  <c r="Z53" i="18"/>
  <c r="X76" i="18"/>
  <c r="Z76" i="18" s="1"/>
  <c r="Z99" i="18"/>
  <c r="Z101" i="18"/>
  <c r="R159" i="18"/>
  <c r="L197" i="18"/>
  <c r="N197" i="18" s="1"/>
  <c r="N199" i="18"/>
  <c r="Z203" i="18"/>
  <c r="N213" i="18"/>
  <c r="N237" i="18"/>
  <c r="N245" i="18"/>
  <c r="R92" i="15"/>
  <c r="J95" i="15"/>
  <c r="R96" i="15"/>
  <c r="J99" i="15"/>
  <c r="R100" i="15"/>
  <c r="J103" i="15"/>
  <c r="R104" i="15"/>
  <c r="J107" i="15"/>
  <c r="R108" i="15"/>
  <c r="J111" i="15"/>
  <c r="R112" i="15"/>
  <c r="J115" i="15"/>
  <c r="R116" i="15"/>
  <c r="J119" i="15"/>
  <c r="R120" i="15"/>
  <c r="J123" i="15"/>
  <c r="R124" i="15"/>
  <c r="J127" i="15"/>
  <c r="R128" i="15"/>
  <c r="J131" i="15"/>
  <c r="J155" i="15"/>
  <c r="R176" i="15"/>
  <c r="R177" i="15"/>
  <c r="J185" i="15"/>
  <c r="J191" i="15"/>
  <c r="R192" i="15"/>
  <c r="R193" i="15"/>
  <c r="J203" i="15"/>
  <c r="R204" i="15"/>
  <c r="J207" i="15"/>
  <c r="J215" i="15"/>
  <c r="R216" i="15"/>
  <c r="R217" i="15"/>
  <c r="R223" i="15"/>
  <c r="F108" i="18"/>
  <c r="F112" i="18"/>
  <c r="F116" i="18"/>
  <c r="F120" i="18"/>
  <c r="F124" i="18"/>
  <c r="F128" i="18"/>
  <c r="F132" i="18"/>
  <c r="F136" i="18"/>
  <c r="F140" i="18"/>
  <c r="F144" i="18"/>
  <c r="F148" i="18"/>
  <c r="F153" i="18"/>
  <c r="F155" i="18"/>
  <c r="F195" i="18"/>
  <c r="F196" i="18"/>
  <c r="F212" i="18"/>
  <c r="F224" i="18"/>
  <c r="F236" i="18"/>
  <c r="P240" i="18"/>
  <c r="R240" i="18" s="1"/>
  <c r="F245" i="18"/>
  <c r="Z13" i="21"/>
  <c r="Z19" i="21"/>
  <c r="N63" i="21"/>
  <c r="Z65" i="21"/>
  <c r="Z19" i="24"/>
  <c r="N26" i="24"/>
  <c r="N66" i="24"/>
  <c r="F156" i="18"/>
  <c r="F157" i="18"/>
  <c r="F161" i="18"/>
  <c r="F165" i="18"/>
  <c r="F176" i="18"/>
  <c r="F177" i="18"/>
  <c r="F185" i="18"/>
  <c r="F217" i="18"/>
  <c r="F228" i="18"/>
  <c r="F229" i="18"/>
  <c r="F246" i="18"/>
  <c r="F251" i="18"/>
  <c r="T12" i="24"/>
  <c r="Z15" i="24"/>
  <c r="X15" i="24"/>
  <c r="J47" i="24"/>
  <c r="R91" i="15"/>
  <c r="R133" i="15"/>
  <c r="R135" i="15"/>
  <c r="J149" i="15"/>
  <c r="R150" i="15"/>
  <c r="J153" i="15"/>
  <c r="J163" i="15"/>
  <c r="J173" i="15"/>
  <c r="R174" i="15"/>
  <c r="R175" i="15"/>
  <c r="J183" i="15"/>
  <c r="R186" i="15"/>
  <c r="D220" i="15"/>
  <c r="L220" i="15" s="1"/>
  <c r="N220" i="15" s="1"/>
  <c r="R225" i="15"/>
  <c r="L14" i="18"/>
  <c r="L18" i="18"/>
  <c r="N18" i="18" s="1"/>
  <c r="L22" i="18"/>
  <c r="L26" i="18"/>
  <c r="N26" i="18" s="1"/>
  <c r="L30" i="18"/>
  <c r="N30" i="18" s="1"/>
  <c r="L34" i="18"/>
  <c r="N34" i="18" s="1"/>
  <c r="L38" i="18"/>
  <c r="N38" i="18" s="1"/>
  <c r="L42" i="18"/>
  <c r="N42" i="18" s="1"/>
  <c r="L46" i="18"/>
  <c r="L50" i="18"/>
  <c r="N50" i="18" s="1"/>
  <c r="L54" i="18"/>
  <c r="L58" i="18"/>
  <c r="N58" i="18" s="1"/>
  <c r="L62" i="18"/>
  <c r="N62" i="18" s="1"/>
  <c r="L66" i="18"/>
  <c r="N66" i="18" s="1"/>
  <c r="L70" i="18"/>
  <c r="N70" i="18" s="1"/>
  <c r="L74" i="18"/>
  <c r="N74" i="18" s="1"/>
  <c r="L78" i="18"/>
  <c r="N78" i="18" s="1"/>
  <c r="L82" i="18"/>
  <c r="N82" i="18" s="1"/>
  <c r="L86" i="18"/>
  <c r="N86" i="18" s="1"/>
  <c r="L90" i="18"/>
  <c r="N90" i="18" s="1"/>
  <c r="L94" i="18"/>
  <c r="L98" i="18"/>
  <c r="N98" i="18" s="1"/>
  <c r="L102" i="18"/>
  <c r="F170" i="18"/>
  <c r="F194" i="18"/>
  <c r="F205" i="18"/>
  <c r="F206" i="18"/>
  <c r="T240" i="18"/>
  <c r="F247" i="18"/>
  <c r="N59" i="21"/>
  <c r="X63" i="21"/>
  <c r="Z63" i="21" s="1"/>
  <c r="N76" i="24"/>
  <c r="J94" i="15"/>
  <c r="R95" i="15"/>
  <c r="J98" i="15"/>
  <c r="R99" i="15"/>
  <c r="J102" i="15"/>
  <c r="R103" i="15"/>
  <c r="J106" i="15"/>
  <c r="R107" i="15"/>
  <c r="J110" i="15"/>
  <c r="R111" i="15"/>
  <c r="J114" i="15"/>
  <c r="R115" i="15"/>
  <c r="J118" i="15"/>
  <c r="R119" i="15"/>
  <c r="J122" i="15"/>
  <c r="R123" i="15"/>
  <c r="J126" i="15"/>
  <c r="R127" i="15"/>
  <c r="J130" i="15"/>
  <c r="R131" i="15"/>
  <c r="R136" i="15"/>
  <c r="R155" i="15"/>
  <c r="R156" i="15"/>
  <c r="J162" i="15"/>
  <c r="J172" i="15"/>
  <c r="J182" i="15"/>
  <c r="J190" i="15"/>
  <c r="R191" i="15"/>
  <c r="J202" i="15"/>
  <c r="R203" i="15"/>
  <c r="J206" i="15"/>
  <c r="R207" i="15"/>
  <c r="R208" i="15"/>
  <c r="J214" i="15"/>
  <c r="R215" i="15"/>
  <c r="N14" i="18"/>
  <c r="X15" i="18"/>
  <c r="Z15" i="18" s="1"/>
  <c r="F107" i="18"/>
  <c r="F111" i="18"/>
  <c r="F115" i="18"/>
  <c r="F119" i="18"/>
  <c r="F123" i="18"/>
  <c r="F127" i="18"/>
  <c r="F131" i="18"/>
  <c r="F135" i="18"/>
  <c r="F139" i="18"/>
  <c r="F143" i="18"/>
  <c r="F147" i="18"/>
  <c r="F151" i="18"/>
  <c r="F174" i="18"/>
  <c r="F175" i="18"/>
  <c r="F211" i="18"/>
  <c r="F223" i="18"/>
  <c r="F227" i="18"/>
  <c r="F235" i="18"/>
  <c r="L20" i="21"/>
  <c r="N20" i="21" s="1"/>
  <c r="L57" i="21"/>
  <c r="N57" i="21" s="1"/>
  <c r="L89" i="21"/>
  <c r="N89" i="21" s="1"/>
  <c r="L80" i="15"/>
  <c r="N80" i="15" s="1"/>
  <c r="L84" i="15"/>
  <c r="N84" i="15" s="1"/>
  <c r="L88" i="15"/>
  <c r="N88" i="15" s="1"/>
  <c r="J139" i="15"/>
  <c r="R140" i="15"/>
  <c r="J143" i="15"/>
  <c r="R144" i="15"/>
  <c r="R164" i="15"/>
  <c r="J171" i="15"/>
  <c r="J181" i="15"/>
  <c r="R184" i="15"/>
  <c r="R185" i="15"/>
  <c r="J189" i="15"/>
  <c r="J195" i="15"/>
  <c r="R196" i="15"/>
  <c r="J201" i="15"/>
  <c r="J213" i="15"/>
  <c r="F160" i="18"/>
  <c r="F164" i="18"/>
  <c r="F183" i="18"/>
  <c r="F184" i="18"/>
  <c r="F203" i="18"/>
  <c r="F204" i="18"/>
  <c r="F216" i="18"/>
  <c r="L16" i="21"/>
  <c r="N16" i="21" s="1"/>
  <c r="N73" i="21"/>
  <c r="Z91" i="21"/>
  <c r="Z28" i="24"/>
  <c r="X41" i="15"/>
  <c r="Z41" i="15" s="1"/>
  <c r="J148" i="15"/>
  <c r="R149" i="15"/>
  <c r="J152" i="15"/>
  <c r="R153" i="15"/>
  <c r="R154" i="15"/>
  <c r="J170" i="15"/>
  <c r="R173" i="15"/>
  <c r="J180" i="15"/>
  <c r="J188" i="15"/>
  <c r="J200" i="15"/>
  <c r="J212" i="15"/>
  <c r="J220" i="15"/>
  <c r="F169" i="18"/>
  <c r="F173" i="18"/>
  <c r="F192" i="18"/>
  <c r="F193" i="18"/>
  <c r="X231" i="18"/>
  <c r="Z231" i="18" s="1"/>
  <c r="X241" i="18"/>
  <c r="L247" i="18"/>
  <c r="N247" i="18" s="1"/>
  <c r="J69" i="24"/>
  <c r="N86" i="24"/>
  <c r="L86" i="24"/>
  <c r="Z13" i="15"/>
  <c r="J93" i="15"/>
  <c r="R94" i="15"/>
  <c r="J97" i="15"/>
  <c r="R98" i="15"/>
  <c r="J101" i="15"/>
  <c r="R102" i="15"/>
  <c r="J105" i="15"/>
  <c r="R106" i="15"/>
  <c r="J109" i="15"/>
  <c r="R110" i="15"/>
  <c r="J113" i="15"/>
  <c r="R114" i="15"/>
  <c r="J117" i="15"/>
  <c r="R118" i="15"/>
  <c r="J121" i="15"/>
  <c r="R122" i="15"/>
  <c r="J125" i="15"/>
  <c r="R126" i="15"/>
  <c r="J129" i="15"/>
  <c r="R130" i="15"/>
  <c r="J161" i="15"/>
  <c r="R162" i="15"/>
  <c r="R163" i="15"/>
  <c r="J169" i="15"/>
  <c r="J179" i="15"/>
  <c r="R182" i="15"/>
  <c r="R183" i="15"/>
  <c r="R190" i="15"/>
  <c r="R202" i="15"/>
  <c r="J205" i="15"/>
  <c r="R206" i="15"/>
  <c r="J211" i="15"/>
  <c r="R214" i="15"/>
  <c r="J221" i="15"/>
  <c r="X18" i="18"/>
  <c r="Z18" i="18" s="1"/>
  <c r="X22" i="18"/>
  <c r="Z22" i="18" s="1"/>
  <c r="X38" i="18"/>
  <c r="Z38" i="18" s="1"/>
  <c r="X42" i="18"/>
  <c r="Z42" i="18" s="1"/>
  <c r="X54" i="18"/>
  <c r="Z54" i="18" s="1"/>
  <c r="X66" i="18"/>
  <c r="Z66" i="18" s="1"/>
  <c r="X70" i="18"/>
  <c r="X74" i="18"/>
  <c r="Z74" i="18" s="1"/>
  <c r="X78" i="18"/>
  <c r="Z78" i="18" s="1"/>
  <c r="X82" i="18"/>
  <c r="Z82" i="18" s="1"/>
  <c r="X86" i="18"/>
  <c r="Z86" i="18" s="1"/>
  <c r="X90" i="18"/>
  <c r="Z90" i="18" s="1"/>
  <c r="X94" i="18"/>
  <c r="X98" i="18"/>
  <c r="Z98" i="18" s="1"/>
  <c r="F106" i="18"/>
  <c r="F110" i="18"/>
  <c r="F114" i="18"/>
  <c r="F118" i="18"/>
  <c r="F122" i="18"/>
  <c r="F126" i="18"/>
  <c r="F130" i="18"/>
  <c r="F134" i="18"/>
  <c r="F138" i="18"/>
  <c r="F142" i="18"/>
  <c r="F146" i="18"/>
  <c r="F150" i="18"/>
  <c r="F182" i="18"/>
  <c r="F201" i="18"/>
  <c r="F202" i="18"/>
  <c r="F209" i="18"/>
  <c r="F210" i="18"/>
  <c r="F221" i="18"/>
  <c r="F222" i="18"/>
  <c r="F226" i="18"/>
  <c r="F233" i="18"/>
  <c r="F234" i="18"/>
  <c r="H12" i="21"/>
  <c r="Z16" i="21"/>
  <c r="Z50" i="21"/>
  <c r="N53" i="21"/>
  <c r="Z73" i="21"/>
  <c r="Z16" i="24"/>
  <c r="R90" i="30"/>
  <c r="R115" i="30"/>
  <c r="R114" i="30"/>
  <c r="R66" i="30"/>
  <c r="R62" i="30"/>
  <c r="R117" i="30"/>
  <c r="R116" i="30"/>
  <c r="R108" i="30"/>
  <c r="R125" i="30"/>
  <c r="R88" i="30"/>
  <c r="R87" i="30"/>
  <c r="R76" i="30"/>
  <c r="R75" i="30"/>
  <c r="R60" i="30"/>
  <c r="R55" i="30"/>
  <c r="R51" i="30"/>
  <c r="R47" i="30"/>
  <c r="R43" i="30"/>
  <c r="R106" i="30"/>
  <c r="R103" i="30"/>
  <c r="R100" i="30"/>
  <c r="R73" i="30"/>
  <c r="R59" i="30"/>
  <c r="R50" i="30"/>
  <c r="R44" i="30"/>
  <c r="R41" i="30"/>
  <c r="R37" i="30"/>
  <c r="R97" i="30"/>
  <c r="R94" i="30"/>
  <c r="R80" i="30"/>
  <c r="R79" i="30"/>
  <c r="R74" i="30"/>
  <c r="R70" i="30"/>
  <c r="R112" i="30"/>
  <c r="R109" i="30"/>
  <c r="R85" i="30"/>
  <c r="R121" i="30"/>
  <c r="R86" i="30"/>
  <c r="R61" i="30"/>
  <c r="R38" i="30"/>
  <c r="R81" i="30"/>
  <c r="R67" i="30"/>
  <c r="R64" i="30"/>
  <c r="R54" i="30"/>
  <c r="R48" i="30"/>
  <c r="R45" i="30"/>
  <c r="R95" i="30"/>
  <c r="R91" i="30"/>
  <c r="R42" i="30"/>
  <c r="R113" i="30"/>
  <c r="R107" i="30"/>
  <c r="R104" i="30"/>
  <c r="R101" i="30"/>
  <c r="R98" i="30"/>
  <c r="R92" i="30"/>
  <c r="R82" i="30"/>
  <c r="R71" i="30"/>
  <c r="R39" i="30"/>
  <c r="R52" i="30"/>
  <c r="R49" i="30"/>
  <c r="R118" i="30"/>
  <c r="R89" i="30"/>
  <c r="R69" i="30"/>
  <c r="R36" i="30"/>
  <c r="R84" i="30"/>
  <c r="R72" i="30"/>
  <c r="R65" i="30"/>
  <c r="P57" i="30"/>
  <c r="R57" i="30" s="1"/>
  <c r="R53" i="30"/>
  <c r="R40" i="30"/>
  <c r="R105" i="30"/>
  <c r="R93" i="30"/>
  <c r="R110" i="30"/>
  <c r="R46" i="30"/>
  <c r="R96" i="30"/>
  <c r="R77" i="30"/>
  <c r="R111" i="30"/>
  <c r="R102" i="30"/>
  <c r="R83" i="30"/>
  <c r="R78" i="30"/>
  <c r="R63" i="30"/>
  <c r="R68" i="30"/>
  <c r="J138" i="15"/>
  <c r="R139" i="15"/>
  <c r="J142" i="15"/>
  <c r="R143" i="15"/>
  <c r="J160" i="15"/>
  <c r="J168" i="15"/>
  <c r="R171" i="15"/>
  <c r="R172" i="15"/>
  <c r="J178" i="15"/>
  <c r="J194" i="15"/>
  <c r="R195" i="15"/>
  <c r="J210" i="15"/>
  <c r="J218" i="15"/>
  <c r="J222" i="15"/>
  <c r="F159" i="18"/>
  <c r="F163" i="18"/>
  <c r="F190" i="18"/>
  <c r="F191" i="18"/>
  <c r="F215" i="18"/>
  <c r="F240" i="18"/>
  <c r="V85" i="21"/>
  <c r="V81" i="21"/>
  <c r="V65" i="21"/>
  <c r="V53" i="21"/>
  <c r="V37" i="21"/>
  <c r="V33" i="21"/>
  <c r="V29" i="21"/>
  <c r="V98" i="21"/>
  <c r="V80" i="21"/>
  <c r="V64" i="21"/>
  <c r="V52" i="21"/>
  <c r="V44" i="21"/>
  <c r="V28" i="21"/>
  <c r="V24" i="21"/>
  <c r="V87" i="21"/>
  <c r="V75" i="21"/>
  <c r="V67" i="21"/>
  <c r="V55" i="21"/>
  <c r="V43" i="21"/>
  <c r="V39" i="21"/>
  <c r="T26" i="21"/>
  <c r="V86" i="21"/>
  <c r="V82" i="21"/>
  <c r="V66" i="21"/>
  <c r="V54" i="21"/>
  <c r="V46" i="21"/>
  <c r="V34" i="21"/>
  <c r="V30" i="21"/>
  <c r="V89" i="21"/>
  <c r="V69" i="21"/>
  <c r="V57" i="21"/>
  <c r="V45" i="21"/>
  <c r="V88" i="21"/>
  <c r="V76" i="21"/>
  <c r="V68" i="21"/>
  <c r="V56" i="21"/>
  <c r="V48" i="21"/>
  <c r="V40" i="21"/>
  <c r="V91" i="21"/>
  <c r="V83" i="21"/>
  <c r="V71" i="21"/>
  <c r="V59" i="21"/>
  <c r="V47" i="21"/>
  <c r="V35" i="21"/>
  <c r="V31" i="21"/>
  <c r="V90" i="21"/>
  <c r="V78" i="21"/>
  <c r="V70" i="21"/>
  <c r="V58" i="21"/>
  <c r="V50" i="21"/>
  <c r="V22" i="21"/>
  <c r="V77" i="21"/>
  <c r="V73" i="21"/>
  <c r="V61" i="21"/>
  <c r="V49" i="21"/>
  <c r="V41" i="21"/>
  <c r="V94" i="21"/>
  <c r="V92" i="21"/>
  <c r="V84" i="21"/>
  <c r="V72" i="21"/>
  <c r="V60" i="21"/>
  <c r="V36" i="21"/>
  <c r="V32" i="21"/>
  <c r="V79" i="21"/>
  <c r="V63" i="21"/>
  <c r="V51" i="21"/>
  <c r="V23" i="21"/>
  <c r="Z29" i="21"/>
  <c r="V62" i="21"/>
  <c r="L69" i="21"/>
  <c r="N69" i="21" s="1"/>
  <c r="X12" i="15"/>
  <c r="X16" i="15"/>
  <c r="Z16" i="15" s="1"/>
  <c r="X20" i="15"/>
  <c r="Z20" i="15" s="1"/>
  <c r="X24" i="15"/>
  <c r="Z24" i="15" s="1"/>
  <c r="X28" i="15"/>
  <c r="Z28" i="15" s="1"/>
  <c r="X32" i="15"/>
  <c r="Z32" i="15" s="1"/>
  <c r="X36" i="15"/>
  <c r="Z36" i="15" s="1"/>
  <c r="X40" i="15"/>
  <c r="X48" i="15"/>
  <c r="Z48" i="15" s="1"/>
  <c r="X56" i="15"/>
  <c r="Z56" i="15" s="1"/>
  <c r="X60" i="15"/>
  <c r="Z60" i="15" s="1"/>
  <c r="X64" i="15"/>
  <c r="Z64" i="15" s="1"/>
  <c r="X68" i="15"/>
  <c r="Z68" i="15" s="1"/>
  <c r="X72" i="15"/>
  <c r="Z72" i="15" s="1"/>
  <c r="X76" i="15"/>
  <c r="Z76" i="15" s="1"/>
  <c r="X80" i="15"/>
  <c r="Z80" i="15" s="1"/>
  <c r="X84" i="15"/>
  <c r="Z84" i="15" s="1"/>
  <c r="J147" i="15"/>
  <c r="R148" i="15"/>
  <c r="J151" i="15"/>
  <c r="R152" i="15"/>
  <c r="J159" i="15"/>
  <c r="J167" i="15"/>
  <c r="J177" i="15"/>
  <c r="R180" i="15"/>
  <c r="R181" i="15"/>
  <c r="J187" i="15"/>
  <c r="R188" i="15"/>
  <c r="R189" i="15"/>
  <c r="J193" i="15"/>
  <c r="J199" i="15"/>
  <c r="R200" i="15"/>
  <c r="R201" i="15"/>
  <c r="R212" i="15"/>
  <c r="R213" i="15"/>
  <c r="J217" i="15"/>
  <c r="J223" i="15"/>
  <c r="J229" i="15"/>
  <c r="F168" i="18"/>
  <c r="F172" i="18"/>
  <c r="F199" i="18"/>
  <c r="F200" i="18"/>
  <c r="F208" i="18"/>
  <c r="F220" i="18"/>
  <c r="F231" i="18"/>
  <c r="F232" i="18"/>
  <c r="F241" i="18"/>
  <c r="R99" i="30"/>
  <c r="J92" i="15"/>
  <c r="R93" i="15"/>
  <c r="J96" i="15"/>
  <c r="R97" i="15"/>
  <c r="J100" i="15"/>
  <c r="R101" i="15"/>
  <c r="J104" i="15"/>
  <c r="R105" i="15"/>
  <c r="J108" i="15"/>
  <c r="R109" i="15"/>
  <c r="J112" i="15"/>
  <c r="R113" i="15"/>
  <c r="J116" i="15"/>
  <c r="R117" i="15"/>
  <c r="J120" i="15"/>
  <c r="R121" i="15"/>
  <c r="J124" i="15"/>
  <c r="R125" i="15"/>
  <c r="J128" i="15"/>
  <c r="R129" i="15"/>
  <c r="H133" i="15"/>
  <c r="J146" i="15"/>
  <c r="J158" i="15"/>
  <c r="R161" i="15"/>
  <c r="J166" i="15"/>
  <c r="R169" i="15"/>
  <c r="R170" i="15"/>
  <c r="J176" i="15"/>
  <c r="J192" i="15"/>
  <c r="J198" i="15"/>
  <c r="J204" i="15"/>
  <c r="R205" i="15"/>
  <c r="J216" i="15"/>
  <c r="R220" i="15"/>
  <c r="J224" i="15"/>
  <c r="X21" i="18"/>
  <c r="Z21" i="18" s="1"/>
  <c r="X29" i="18"/>
  <c r="X57" i="18"/>
  <c r="Z57" i="18" s="1"/>
  <c r="X69" i="18"/>
  <c r="X89" i="18"/>
  <c r="Z89" i="18" s="1"/>
  <c r="X93" i="18"/>
  <c r="Z93" i="18" s="1"/>
  <c r="X97" i="18"/>
  <c r="Z97" i="18" s="1"/>
  <c r="F104" i="18"/>
  <c r="F105" i="18"/>
  <c r="F109" i="18"/>
  <c r="F113" i="18"/>
  <c r="F117" i="18"/>
  <c r="F121" i="18"/>
  <c r="F125" i="18"/>
  <c r="F129" i="18"/>
  <c r="F133" i="18"/>
  <c r="F137" i="18"/>
  <c r="F141" i="18"/>
  <c r="F145" i="18"/>
  <c r="F149" i="18"/>
  <c r="F180" i="18"/>
  <c r="F181" i="18"/>
  <c r="F188" i="18"/>
  <c r="F189" i="18"/>
  <c r="F225" i="18"/>
  <c r="F242" i="18"/>
  <c r="F90" i="21"/>
  <c r="F89" i="21"/>
  <c r="F70" i="21"/>
  <c r="F69" i="21"/>
  <c r="F58" i="21"/>
  <c r="F57" i="21"/>
  <c r="F77" i="21"/>
  <c r="F49" i="21"/>
  <c r="F48" i="21"/>
  <c r="F41" i="21"/>
  <c r="F92" i="21"/>
  <c r="F91" i="21"/>
  <c r="F84" i="21"/>
  <c r="F72" i="21"/>
  <c r="F71" i="21"/>
  <c r="F60" i="21"/>
  <c r="F59" i="21"/>
  <c r="F36" i="21"/>
  <c r="F32" i="21"/>
  <c r="F79" i="21"/>
  <c r="F78" i="21"/>
  <c r="F51" i="21"/>
  <c r="F50" i="21"/>
  <c r="F23" i="21"/>
  <c r="F22" i="21"/>
  <c r="F74" i="21"/>
  <c r="F73" i="21"/>
  <c r="F62" i="21"/>
  <c r="F61" i="21"/>
  <c r="F42" i="21"/>
  <c r="F94" i="21"/>
  <c r="F85" i="21"/>
  <c r="F37" i="21"/>
  <c r="F33" i="21"/>
  <c r="F98" i="21"/>
  <c r="F80" i="21"/>
  <c r="F64" i="21"/>
  <c r="F63" i="21"/>
  <c r="F52" i="21"/>
  <c r="F24" i="21"/>
  <c r="F75" i="21"/>
  <c r="F43" i="21"/>
  <c r="F39" i="21"/>
  <c r="F38" i="21"/>
  <c r="F86" i="21"/>
  <c r="F82" i="21"/>
  <c r="F81" i="21"/>
  <c r="F66" i="21"/>
  <c r="F65" i="21"/>
  <c r="F54" i="21"/>
  <c r="F53" i="21"/>
  <c r="F34" i="21"/>
  <c r="F30" i="21"/>
  <c r="F29" i="21"/>
  <c r="F45" i="21"/>
  <c r="F44" i="21"/>
  <c r="F28" i="21"/>
  <c r="F26" i="21"/>
  <c r="F88" i="21"/>
  <c r="F87" i="21"/>
  <c r="F76" i="21"/>
  <c r="F68" i="21"/>
  <c r="F67" i="21"/>
  <c r="F56" i="21"/>
  <c r="F55" i="21"/>
  <c r="F40" i="21"/>
  <c r="D26" i="21"/>
  <c r="L12" i="21"/>
  <c r="N44" i="21"/>
  <c r="Z46" i="21"/>
  <c r="N67" i="21"/>
  <c r="Z69" i="21"/>
  <c r="V74" i="21"/>
  <c r="D12" i="27"/>
  <c r="J209" i="15"/>
  <c r="R210" i="15"/>
  <c r="R211" i="15"/>
  <c r="R218" i="15"/>
  <c r="R221" i="15"/>
  <c r="J225" i="15"/>
  <c r="F158" i="18"/>
  <c r="F162" i="18"/>
  <c r="F197" i="18"/>
  <c r="F198" i="18"/>
  <c r="F213" i="18"/>
  <c r="F214" i="18"/>
  <c r="F230" i="18"/>
  <c r="F237" i="18"/>
  <c r="F238" i="18"/>
  <c r="F243" i="18"/>
  <c r="N15" i="21"/>
  <c r="V38" i="21"/>
  <c r="J81" i="24"/>
  <c r="J98" i="24"/>
  <c r="J88" i="24"/>
  <c r="J78" i="24"/>
  <c r="J92" i="24"/>
  <c r="J87" i="24"/>
  <c r="J82" i="24"/>
  <c r="J60" i="24"/>
  <c r="J56" i="24"/>
  <c r="J52" i="24"/>
  <c r="J48" i="24"/>
  <c r="J93" i="24"/>
  <c r="J74" i="24"/>
  <c r="J70" i="24"/>
  <c r="J83" i="24"/>
  <c r="J61" i="24"/>
  <c r="J57" i="24"/>
  <c r="J53" i="24"/>
  <c r="J49" i="24"/>
  <c r="J102" i="24"/>
  <c r="J94" i="24"/>
  <c r="J89" i="24"/>
  <c r="J84" i="24"/>
  <c r="J71" i="24"/>
  <c r="J90" i="24"/>
  <c r="J79" i="24"/>
  <c r="J75" i="24"/>
  <c r="J62" i="24"/>
  <c r="J58" i="24"/>
  <c r="J54" i="24"/>
  <c r="J50" i="24"/>
  <c r="J95" i="24"/>
  <c r="J85" i="24"/>
  <c r="J67" i="24"/>
  <c r="J91" i="24"/>
  <c r="J80" i="24"/>
  <c r="J76" i="24"/>
  <c r="J72" i="24"/>
  <c r="J68" i="24"/>
  <c r="J66" i="24"/>
  <c r="J96" i="24"/>
  <c r="H64" i="24"/>
  <c r="J59" i="24"/>
  <c r="J55" i="24"/>
  <c r="J51" i="24"/>
  <c r="J86" i="24"/>
  <c r="J77" i="24"/>
  <c r="X23" i="24"/>
  <c r="Z23" i="24" s="1"/>
  <c r="X27" i="24"/>
  <c r="X31" i="24"/>
  <c r="Z31" i="24" s="1"/>
  <c r="X35" i="24"/>
  <c r="Z35" i="24" s="1"/>
  <c r="X39" i="24"/>
  <c r="Z39" i="24" s="1"/>
  <c r="X43" i="24"/>
  <c r="Z43" i="24" s="1"/>
  <c r="D100" i="24"/>
  <c r="L64" i="24"/>
  <c r="N75" i="27"/>
  <c r="L75" i="27"/>
  <c r="L33" i="30"/>
  <c r="N33" i="30" s="1"/>
  <c r="Z60" i="30"/>
  <c r="F51" i="24"/>
  <c r="F55" i="24"/>
  <c r="F59" i="24"/>
  <c r="F64" i="24"/>
  <c r="F66" i="24"/>
  <c r="F76" i="24"/>
  <c r="F80" i="24"/>
  <c r="F96" i="24"/>
  <c r="J87" i="27"/>
  <c r="J77" i="27"/>
  <c r="J63" i="27"/>
  <c r="J59" i="27"/>
  <c r="J55" i="27"/>
  <c r="J53" i="27"/>
  <c r="J94" i="27"/>
  <c r="J88" i="27"/>
  <c r="J78" i="27"/>
  <c r="J64" i="27"/>
  <c r="H51" i="27"/>
  <c r="J51" i="27" s="1"/>
  <c r="J46" i="27"/>
  <c r="J42" i="27"/>
  <c r="J38" i="27"/>
  <c r="J95" i="27"/>
  <c r="J89" i="27"/>
  <c r="J79" i="27"/>
  <c r="J69" i="27"/>
  <c r="J65" i="27"/>
  <c r="J100" i="27"/>
  <c r="J96" i="27"/>
  <c r="J80" i="27"/>
  <c r="J70" i="27"/>
  <c r="J60" i="27"/>
  <c r="J56" i="27"/>
  <c r="J99" i="27"/>
  <c r="J81" i="27"/>
  <c r="J71" i="27"/>
  <c r="J47" i="27"/>
  <c r="J43" i="27"/>
  <c r="J39" i="27"/>
  <c r="J104" i="27"/>
  <c r="J98" i="27"/>
  <c r="J90" i="27"/>
  <c r="J82" i="27"/>
  <c r="J72" i="27"/>
  <c r="J66" i="27"/>
  <c r="J83" i="27"/>
  <c r="J73" i="27"/>
  <c r="J61" i="27"/>
  <c r="J57" i="27"/>
  <c r="J84" i="27"/>
  <c r="J48" i="27"/>
  <c r="J44" i="27"/>
  <c r="J40" i="27"/>
  <c r="J93" i="27"/>
  <c r="J85" i="27"/>
  <c r="J75" i="27"/>
  <c r="J49" i="27"/>
  <c r="J45" i="27"/>
  <c r="J41" i="27"/>
  <c r="J37" i="27"/>
  <c r="Z16" i="27"/>
  <c r="X23" i="27"/>
  <c r="N77" i="27"/>
  <c r="X31" i="30"/>
  <c r="Z31" i="30" s="1"/>
  <c r="F104" i="30"/>
  <c r="L18" i="33"/>
  <c r="L22" i="33"/>
  <c r="T75" i="33"/>
  <c r="Z76" i="33"/>
  <c r="L79" i="36"/>
  <c r="N79" i="36" s="1"/>
  <c r="F67" i="24"/>
  <c r="F68" i="24"/>
  <c r="F72" i="24"/>
  <c r="F91" i="24"/>
  <c r="F95" i="24"/>
  <c r="Z23" i="27"/>
  <c r="N18" i="33"/>
  <c r="N22" i="33"/>
  <c r="L13" i="24"/>
  <c r="N13" i="24" s="1"/>
  <c r="F85" i="24"/>
  <c r="R99" i="27"/>
  <c r="R96" i="27"/>
  <c r="R81" i="27"/>
  <c r="R80" i="27"/>
  <c r="R60" i="27"/>
  <c r="R56" i="27"/>
  <c r="R98" i="27"/>
  <c r="R72" i="27"/>
  <c r="R71" i="27"/>
  <c r="R47" i="27"/>
  <c r="R43" i="27"/>
  <c r="R39" i="27"/>
  <c r="R104" i="27"/>
  <c r="R90" i="27"/>
  <c r="R83" i="27"/>
  <c r="R82" i="27"/>
  <c r="R66" i="27"/>
  <c r="R73" i="27"/>
  <c r="R61" i="27"/>
  <c r="R57" i="27"/>
  <c r="R84" i="27"/>
  <c r="R48" i="27"/>
  <c r="R44" i="27"/>
  <c r="R40" i="27"/>
  <c r="R92" i="27"/>
  <c r="R91" i="27"/>
  <c r="R67" i="27"/>
  <c r="R36" i="27"/>
  <c r="R75" i="27"/>
  <c r="R74" i="27"/>
  <c r="R62" i="27"/>
  <c r="R58" i="27"/>
  <c r="R93" i="27"/>
  <c r="R86" i="27"/>
  <c r="R85" i="27"/>
  <c r="R54" i="27"/>
  <c r="R49" i="27"/>
  <c r="R45" i="27"/>
  <c r="R41" i="27"/>
  <c r="R37" i="27"/>
  <c r="R95" i="27"/>
  <c r="R94" i="27"/>
  <c r="R79" i="27"/>
  <c r="R78" i="27"/>
  <c r="R46" i="27"/>
  <c r="R42" i="27"/>
  <c r="R38" i="27"/>
  <c r="N22" i="27"/>
  <c r="X32" i="27"/>
  <c r="Z32" i="27" s="1"/>
  <c r="R53" i="27"/>
  <c r="R55" i="27"/>
  <c r="X64" i="27"/>
  <c r="Z64" i="27" s="1"/>
  <c r="X79" i="27"/>
  <c r="Z83" i="27"/>
  <c r="Z95" i="27"/>
  <c r="Z36" i="30"/>
  <c r="F52" i="30"/>
  <c r="X78" i="30"/>
  <c r="Z78" i="30" s="1"/>
  <c r="X90" i="30"/>
  <c r="Z90" i="30" s="1"/>
  <c r="L113" i="30"/>
  <c r="N113" i="30" s="1"/>
  <c r="P12" i="33"/>
  <c r="X20" i="33"/>
  <c r="Z20" i="33" s="1"/>
  <c r="F87" i="24"/>
  <c r="F86" i="24"/>
  <c r="F50" i="24"/>
  <c r="F54" i="24"/>
  <c r="F58" i="24"/>
  <c r="F62" i="24"/>
  <c r="F75" i="24"/>
  <c r="F79" i="24"/>
  <c r="F84" i="24"/>
  <c r="L15" i="27"/>
  <c r="N15" i="27" s="1"/>
  <c r="Z79" i="27"/>
  <c r="F109" i="30"/>
  <c r="F97" i="30"/>
  <c r="F96" i="30"/>
  <c r="F110" i="30"/>
  <c r="F106" i="30"/>
  <c r="F105" i="30"/>
  <c r="F98" i="30"/>
  <c r="F70" i="30"/>
  <c r="F69" i="30"/>
  <c r="F112" i="30"/>
  <c r="F111" i="30"/>
  <c r="F100" i="30"/>
  <c r="F99" i="30"/>
  <c r="F95" i="30"/>
  <c r="F94" i="30"/>
  <c r="F83" i="30"/>
  <c r="F82" i="30"/>
  <c r="F67" i="30"/>
  <c r="F63" i="30"/>
  <c r="F88" i="30"/>
  <c r="F68" i="30"/>
  <c r="F46" i="30"/>
  <c r="F43" i="30"/>
  <c r="F118" i="30"/>
  <c r="F114" i="30"/>
  <c r="F108" i="30"/>
  <c r="F89" i="30"/>
  <c r="F72" i="30"/>
  <c r="F40" i="30"/>
  <c r="F102" i="30"/>
  <c r="F93" i="30"/>
  <c r="F78" i="30"/>
  <c r="F66" i="30"/>
  <c r="F53" i="30"/>
  <c r="F50" i="30"/>
  <c r="F125" i="30"/>
  <c r="F90" i="30"/>
  <c r="F84" i="30"/>
  <c r="F79" i="30"/>
  <c r="F73" i="30"/>
  <c r="D57" i="30"/>
  <c r="F47" i="30"/>
  <c r="F44" i="30"/>
  <c r="F41" i="30"/>
  <c r="F37" i="30"/>
  <c r="F36" i="30"/>
  <c r="F115" i="30"/>
  <c r="F103" i="30"/>
  <c r="F60" i="30"/>
  <c r="F59" i="30"/>
  <c r="L12" i="30"/>
  <c r="F85" i="30"/>
  <c r="F74" i="30"/>
  <c r="F61" i="30"/>
  <c r="F91" i="30"/>
  <c r="F80" i="30"/>
  <c r="F75" i="30"/>
  <c r="F64" i="30"/>
  <c r="F54" i="30"/>
  <c r="F51" i="30"/>
  <c r="F38" i="30"/>
  <c r="F113" i="30"/>
  <c r="F76" i="30"/>
  <c r="F62" i="30"/>
  <c r="F39" i="30"/>
  <c r="F87" i="30"/>
  <c r="D120" i="30"/>
  <c r="L120" i="30" s="1"/>
  <c r="L121" i="30"/>
  <c r="N121" i="30" s="1"/>
  <c r="F71" i="24"/>
  <c r="F89" i="24"/>
  <c r="F94" i="24"/>
  <c r="F102" i="24"/>
  <c r="Z20" i="27"/>
  <c r="Z27" i="27"/>
  <c r="R63" i="27"/>
  <c r="F48" i="30"/>
  <c r="F71" i="30"/>
  <c r="F107" i="30"/>
  <c r="F121" i="30"/>
  <c r="X65" i="36"/>
  <c r="Z65" i="36"/>
  <c r="L12" i="24"/>
  <c r="N12" i="24" s="1"/>
  <c r="L90" i="24"/>
  <c r="N90" i="24" s="1"/>
  <c r="X15" i="27"/>
  <c r="X20" i="27"/>
  <c r="N26" i="27"/>
  <c r="R65" i="27"/>
  <c r="J76" i="27"/>
  <c r="J86" i="27"/>
  <c r="N30" i="30"/>
  <c r="F55" i="30"/>
  <c r="F116" i="30"/>
  <c r="L15" i="33"/>
  <c r="Z66" i="33"/>
  <c r="F33" i="39"/>
  <c r="X13" i="24"/>
  <c r="Z13" i="24" s="1"/>
  <c r="X17" i="24"/>
  <c r="Z17" i="24" s="1"/>
  <c r="X21" i="24"/>
  <c r="Z21" i="24" s="1"/>
  <c r="X25" i="24"/>
  <c r="Z25" i="24" s="1"/>
  <c r="F49" i="24"/>
  <c r="F53" i="24"/>
  <c r="F57" i="24"/>
  <c r="F61" i="24"/>
  <c r="F83" i="24"/>
  <c r="F88" i="24"/>
  <c r="F93" i="24"/>
  <c r="Z15" i="27"/>
  <c r="Z20" i="30"/>
  <c r="N15" i="33"/>
  <c r="X15" i="21"/>
  <c r="Z15" i="21" s="1"/>
  <c r="F70" i="24"/>
  <c r="F74" i="24"/>
  <c r="Z76" i="24"/>
  <c r="F78" i="24"/>
  <c r="L82" i="24"/>
  <c r="N82" i="24" s="1"/>
  <c r="N93" i="24"/>
  <c r="F100" i="24"/>
  <c r="N14" i="27"/>
  <c r="Z17" i="27"/>
  <c r="Z24" i="27"/>
  <c r="Z31" i="27"/>
  <c r="Z33" i="27"/>
  <c r="J36" i="27"/>
  <c r="P51" i="27"/>
  <c r="X99" i="27"/>
  <c r="Z99" i="27" s="1"/>
  <c r="T12" i="30"/>
  <c r="X12" i="30" s="1"/>
  <c r="Z14" i="30"/>
  <c r="Z18" i="30"/>
  <c r="Z22" i="30"/>
  <c r="Z26" i="30"/>
  <c r="X30" i="30"/>
  <c r="Z30" i="30" s="1"/>
  <c r="F42" i="30"/>
  <c r="F65" i="30"/>
  <c r="F101" i="30"/>
  <c r="N13" i="33"/>
  <c r="L59" i="36"/>
  <c r="N59" i="36" s="1"/>
  <c r="X80" i="24"/>
  <c r="Z80" i="24" s="1"/>
  <c r="F82" i="24"/>
  <c r="T12" i="27"/>
  <c r="X12" i="27" s="1"/>
  <c r="R51" i="27"/>
  <c r="R76" i="27"/>
  <c r="R88" i="27"/>
  <c r="X69" i="30"/>
  <c r="Z69" i="30" s="1"/>
  <c r="L17" i="21"/>
  <c r="N17" i="21" s="1"/>
  <c r="X55" i="21"/>
  <c r="Z55" i="21" s="1"/>
  <c r="X87" i="21"/>
  <c r="Z87" i="21" s="1"/>
  <c r="X16" i="24"/>
  <c r="X20" i="24"/>
  <c r="Z20" i="24" s="1"/>
  <c r="X24" i="24"/>
  <c r="Z24" i="24" s="1"/>
  <c r="X28" i="24"/>
  <c r="X32" i="24"/>
  <c r="Z32" i="24" s="1"/>
  <c r="X36" i="24"/>
  <c r="Z36" i="24" s="1"/>
  <c r="X40" i="24"/>
  <c r="Z40" i="24" s="1"/>
  <c r="X44" i="24"/>
  <c r="Z44" i="24" s="1"/>
  <c r="F47" i="24"/>
  <c r="F48" i="24"/>
  <c r="F52" i="24"/>
  <c r="F56" i="24"/>
  <c r="F60" i="24"/>
  <c r="F92" i="24"/>
  <c r="F98" i="24"/>
  <c r="R59" i="27"/>
  <c r="Z88" i="27"/>
  <c r="X88" i="27"/>
  <c r="Z92" i="27"/>
  <c r="H12" i="30"/>
  <c r="N21" i="30"/>
  <c r="F86" i="30"/>
  <c r="F69" i="24"/>
  <c r="F73" i="24"/>
  <c r="Z84" i="24"/>
  <c r="Z19" i="27"/>
  <c r="Z21" i="27"/>
  <c r="Z28" i="27"/>
  <c r="Z36" i="27"/>
  <c r="R70" i="27"/>
  <c r="N98" i="27"/>
  <c r="L13" i="30"/>
  <c r="N13" i="30" s="1"/>
  <c r="L17" i="30"/>
  <c r="N17" i="30" s="1"/>
  <c r="L21" i="30"/>
  <c r="L25" i="30"/>
  <c r="N25" i="30" s="1"/>
  <c r="N29" i="30"/>
  <c r="F49" i="30"/>
  <c r="Z103" i="30"/>
  <c r="D12" i="33"/>
  <c r="N46" i="33"/>
  <c r="Z60" i="33"/>
  <c r="P75" i="33"/>
  <c r="X75" i="33" s="1"/>
  <c r="R32" i="36"/>
  <c r="Z105" i="30"/>
  <c r="X13" i="33"/>
  <c r="N51" i="33"/>
  <c r="L51" i="33"/>
  <c r="T12" i="33"/>
  <c r="L86" i="30"/>
  <c r="N86" i="30" s="1"/>
  <c r="Z92" i="30"/>
  <c r="X105" i="30"/>
  <c r="N120" i="30"/>
  <c r="Z13" i="33"/>
  <c r="Z15" i="33"/>
  <c r="Z22" i="33"/>
  <c r="L27" i="33"/>
  <c r="N27" i="33" s="1"/>
  <c r="Z78" i="33"/>
  <c r="R114" i="36"/>
  <c r="R107" i="36"/>
  <c r="R92" i="36"/>
  <c r="R88" i="36"/>
  <c r="R65" i="36"/>
  <c r="R64" i="36"/>
  <c r="R56" i="36"/>
  <c r="R100" i="36"/>
  <c r="R99" i="36"/>
  <c r="R76" i="36"/>
  <c r="R75" i="36"/>
  <c r="R47" i="36"/>
  <c r="R43" i="36"/>
  <c r="R24" i="36"/>
  <c r="R82" i="36"/>
  <c r="R67" i="36"/>
  <c r="R66" i="36"/>
  <c r="R38" i="36"/>
  <c r="R34" i="36"/>
  <c r="R101" i="36"/>
  <c r="R93" i="36"/>
  <c r="R89" i="36"/>
  <c r="R77" i="36"/>
  <c r="R57" i="36"/>
  <c r="R25" i="36"/>
  <c r="R83" i="36"/>
  <c r="R39" i="36"/>
  <c r="R35" i="36"/>
  <c r="R102" i="36"/>
  <c r="R94" i="36"/>
  <c r="R90" i="36"/>
  <c r="R79" i="36"/>
  <c r="R78" i="36"/>
  <c r="R71" i="36"/>
  <c r="R70" i="36"/>
  <c r="R59" i="36"/>
  <c r="R58" i="36"/>
  <c r="R51" i="36"/>
  <c r="R50" i="36"/>
  <c r="R31" i="36"/>
  <c r="R45" i="36"/>
  <c r="R30" i="36"/>
  <c r="R28" i="36"/>
  <c r="R85" i="36"/>
  <c r="R84" i="36"/>
  <c r="R80" i="36"/>
  <c r="R112" i="36"/>
  <c r="R110" i="36"/>
  <c r="R104" i="36"/>
  <c r="R103" i="36"/>
  <c r="R96" i="36"/>
  <c r="R95" i="36"/>
  <c r="R91" i="36"/>
  <c r="R63" i="36"/>
  <c r="R54" i="36"/>
  <c r="R49" i="36"/>
  <c r="R72" i="36"/>
  <c r="R41" i="36"/>
  <c r="R86" i="36"/>
  <c r="R61" i="36"/>
  <c r="R55" i="36"/>
  <c r="R52" i="36"/>
  <c r="R68" i="36"/>
  <c r="R97" i="36"/>
  <c r="R73" i="36"/>
  <c r="R26" i="36"/>
  <c r="R105" i="36"/>
  <c r="R87" i="36"/>
  <c r="R53" i="36"/>
  <c r="R37" i="36"/>
  <c r="R33" i="36"/>
  <c r="R108" i="36"/>
  <c r="R109" i="36"/>
  <c r="R48" i="36"/>
  <c r="X98" i="36"/>
  <c r="Z98" i="36" s="1"/>
  <c r="N26" i="39"/>
  <c r="N22" i="39"/>
  <c r="L74" i="30"/>
  <c r="N74" i="30" s="1"/>
  <c r="L78" i="30"/>
  <c r="N78" i="30" s="1"/>
  <c r="P120" i="30"/>
  <c r="R120" i="30" s="1"/>
  <c r="X19" i="33"/>
  <c r="L23" i="33"/>
  <c r="X14" i="36"/>
  <c r="N24" i="36"/>
  <c r="R36" i="36"/>
  <c r="N20" i="39"/>
  <c r="N68" i="39"/>
  <c r="D12" i="42"/>
  <c r="L13" i="42"/>
  <c r="X76" i="30"/>
  <c r="Z76" i="30" s="1"/>
  <c r="L115" i="30"/>
  <c r="N115" i="30" s="1"/>
  <c r="Z121" i="30"/>
  <c r="H12" i="33"/>
  <c r="Z19" i="33"/>
  <c r="P116" i="36"/>
  <c r="R116" i="36" s="1"/>
  <c r="N108" i="36"/>
  <c r="L108" i="36"/>
  <c r="H107" i="36"/>
  <c r="H12" i="39"/>
  <c r="X16" i="30"/>
  <c r="Z16" i="30" s="1"/>
  <c r="X20" i="30"/>
  <c r="X24" i="30"/>
  <c r="Z24" i="30" s="1"/>
  <c r="T120" i="30"/>
  <c r="L14" i="33"/>
  <c r="N14" i="33" s="1"/>
  <c r="Z55" i="33"/>
  <c r="Z57" i="33"/>
  <c r="X57" i="33"/>
  <c r="N62" i="33"/>
  <c r="L64" i="33"/>
  <c r="N64" i="33" s="1"/>
  <c r="Z72" i="33"/>
  <c r="N21" i="36"/>
  <c r="Z80" i="30"/>
  <c r="X14" i="33"/>
  <c r="Z14" i="33" s="1"/>
  <c r="X23" i="33"/>
  <c r="N60" i="33"/>
  <c r="H12" i="36"/>
  <c r="N13" i="36"/>
  <c r="R74" i="36"/>
  <c r="Z14" i="36"/>
  <c r="Z76" i="36"/>
  <c r="Z104" i="36"/>
  <c r="D107" i="36"/>
  <c r="L14" i="39"/>
  <c r="N14" i="39" s="1"/>
  <c r="L18" i="39"/>
  <c r="N18" i="39" s="1"/>
  <c r="L22" i="39"/>
  <c r="L26" i="39"/>
  <c r="R82" i="39"/>
  <c r="V57" i="45"/>
  <c r="N30" i="36"/>
  <c r="T33" i="39"/>
  <c r="X29" i="39"/>
  <c r="Z29" i="39" s="1"/>
  <c r="H75" i="33"/>
  <c r="Z21" i="36"/>
  <c r="Z24" i="36"/>
  <c r="X12" i="39"/>
  <c r="Z12" i="39" s="1"/>
  <c r="L35" i="39"/>
  <c r="N35" i="39" s="1"/>
  <c r="T12" i="36"/>
  <c r="X13" i="36"/>
  <c r="Z13" i="36" s="1"/>
  <c r="Z18" i="36"/>
  <c r="P109" i="42"/>
  <c r="L95" i="42"/>
  <c r="N95" i="42" s="1"/>
  <c r="N97" i="42"/>
  <c r="P115" i="39"/>
  <c r="X116" i="39"/>
  <c r="D12" i="36"/>
  <c r="L17" i="36"/>
  <c r="N17" i="36" s="1"/>
  <c r="Z30" i="36"/>
  <c r="Z110" i="36"/>
  <c r="F93" i="39"/>
  <c r="F92" i="39"/>
  <c r="F81" i="39"/>
  <c r="F80" i="39"/>
  <c r="F69" i="39"/>
  <c r="F68" i="39"/>
  <c r="F61" i="39"/>
  <c r="F60" i="39"/>
  <c r="F111" i="39"/>
  <c r="F103" i="39"/>
  <c r="F99" i="39"/>
  <c r="F71" i="39"/>
  <c r="F70" i="39"/>
  <c r="F94" i="39"/>
  <c r="F82" i="39"/>
  <c r="F118" i="39"/>
  <c r="F113" i="39"/>
  <c r="F112" i="39"/>
  <c r="F105" i="39"/>
  <c r="F104" i="39"/>
  <c r="F89" i="39"/>
  <c r="F73" i="39"/>
  <c r="F122" i="39"/>
  <c r="F117" i="39"/>
  <c r="F100" i="39"/>
  <c r="F96" i="39"/>
  <c r="F95" i="39"/>
  <c r="F116" i="39"/>
  <c r="F107" i="39"/>
  <c r="F106" i="39"/>
  <c r="F75" i="39"/>
  <c r="F74" i="39"/>
  <c r="F63" i="39"/>
  <c r="F109" i="39"/>
  <c r="F108" i="39"/>
  <c r="F101" i="39"/>
  <c r="F97" i="39"/>
  <c r="F85" i="39"/>
  <c r="F77" i="39"/>
  <c r="F76" i="39"/>
  <c r="F91" i="39"/>
  <c r="F59" i="39"/>
  <c r="F58" i="39"/>
  <c r="F51" i="39"/>
  <c r="F47" i="39"/>
  <c r="F46" i="39"/>
  <c r="D33" i="39"/>
  <c r="F42" i="39"/>
  <c r="F38" i="39"/>
  <c r="F64" i="39"/>
  <c r="F52" i="39"/>
  <c r="F48" i="39"/>
  <c r="L12" i="39"/>
  <c r="F90" i="39"/>
  <c r="F88" i="39"/>
  <c r="F78" i="39"/>
  <c r="F65" i="39"/>
  <c r="F43" i="39"/>
  <c r="F39" i="39"/>
  <c r="F98" i="39"/>
  <c r="F30" i="39"/>
  <c r="F29" i="39"/>
  <c r="F110" i="39"/>
  <c r="F102" i="39"/>
  <c r="F86" i="39"/>
  <c r="F83" i="39"/>
  <c r="F66" i="39"/>
  <c r="F53" i="39"/>
  <c r="F49" i="39"/>
  <c r="F62" i="39"/>
  <c r="F44" i="39"/>
  <c r="F40" i="39"/>
  <c r="F84" i="39"/>
  <c r="F67" i="39"/>
  <c r="F55" i="39"/>
  <c r="F54" i="39"/>
  <c r="F31" i="39"/>
  <c r="F79" i="39"/>
  <c r="F50" i="39"/>
  <c r="N46" i="39"/>
  <c r="Z64" i="39"/>
  <c r="T115" i="39"/>
  <c r="Z116" i="39"/>
  <c r="L19" i="36"/>
  <c r="N19" i="36" s="1"/>
  <c r="N76" i="36"/>
  <c r="Z107" i="36"/>
  <c r="R116" i="39"/>
  <c r="R113" i="39"/>
  <c r="R106" i="39"/>
  <c r="R105" i="39"/>
  <c r="R89" i="39"/>
  <c r="R74" i="39"/>
  <c r="R73" i="39"/>
  <c r="R108" i="39"/>
  <c r="R107" i="39"/>
  <c r="R76" i="39"/>
  <c r="R75" i="39"/>
  <c r="R90" i="39"/>
  <c r="R109" i="39"/>
  <c r="R101" i="39"/>
  <c r="R97" i="39"/>
  <c r="R86" i="39"/>
  <c r="R85" i="39"/>
  <c r="R78" i="39"/>
  <c r="R77" i="39"/>
  <c r="R92" i="39"/>
  <c r="R91" i="39"/>
  <c r="R87" i="39"/>
  <c r="R80" i="39"/>
  <c r="R79" i="39"/>
  <c r="R68" i="39"/>
  <c r="R67" i="39"/>
  <c r="R93" i="39"/>
  <c r="R81" i="39"/>
  <c r="R118" i="39"/>
  <c r="R112" i="39"/>
  <c r="R111" i="39"/>
  <c r="R104" i="39"/>
  <c r="R103" i="39"/>
  <c r="R99" i="39"/>
  <c r="R65" i="39"/>
  <c r="R61" i="39"/>
  <c r="R43" i="39"/>
  <c r="R39" i="39"/>
  <c r="R88" i="39"/>
  <c r="R83" i="39"/>
  <c r="R70" i="39"/>
  <c r="R66" i="39"/>
  <c r="R30" i="39"/>
  <c r="R117" i="39"/>
  <c r="R96" i="39"/>
  <c r="R54" i="39"/>
  <c r="R53" i="39"/>
  <c r="R49" i="39"/>
  <c r="R100" i="39"/>
  <c r="R98" i="39"/>
  <c r="R44" i="39"/>
  <c r="R40" i="39"/>
  <c r="R110" i="39"/>
  <c r="R102" i="39"/>
  <c r="R62" i="39"/>
  <c r="R56" i="39"/>
  <c r="R55" i="39"/>
  <c r="R36" i="39"/>
  <c r="R31" i="39"/>
  <c r="R115" i="39"/>
  <c r="R94" i="39"/>
  <c r="R84" i="39"/>
  <c r="R71" i="39"/>
  <c r="R50" i="39"/>
  <c r="R35" i="39"/>
  <c r="R58" i="39"/>
  <c r="R57" i="39"/>
  <c r="R46" i="39"/>
  <c r="R45" i="39"/>
  <c r="R41" i="39"/>
  <c r="R37" i="39"/>
  <c r="P33" i="39"/>
  <c r="R72" i="39"/>
  <c r="R63" i="39"/>
  <c r="R59" i="39"/>
  <c r="R51" i="39"/>
  <c r="R47" i="39"/>
  <c r="R122" i="39"/>
  <c r="R95" i="39"/>
  <c r="R64" i="39"/>
  <c r="R60" i="39"/>
  <c r="R42" i="39"/>
  <c r="R38" i="39"/>
  <c r="F36" i="39"/>
  <c r="F56" i="39"/>
  <c r="N58" i="39"/>
  <c r="Z22" i="36"/>
  <c r="L98" i="36"/>
  <c r="N98" i="36" s="1"/>
  <c r="N36" i="39"/>
  <c r="N56" i="39"/>
  <c r="R69" i="39"/>
  <c r="T12" i="42"/>
  <c r="L105" i="42"/>
  <c r="N105" i="42" s="1"/>
  <c r="D104" i="42"/>
  <c r="V61" i="45"/>
  <c r="V49" i="45"/>
  <c r="V17" i="45"/>
  <c r="V60" i="45"/>
  <c r="V52" i="45"/>
  <c r="V81" i="45"/>
  <c r="V79" i="45"/>
  <c r="V71" i="45"/>
  <c r="V67" i="45"/>
  <c r="V51" i="45"/>
  <c r="V73" i="45"/>
  <c r="V53" i="45"/>
  <c r="V41" i="45"/>
  <c r="V37" i="45"/>
  <c r="V72" i="45"/>
  <c r="V68" i="45"/>
  <c r="V56" i="45"/>
  <c r="V44" i="45"/>
  <c r="V32" i="45"/>
  <c r="V28" i="45"/>
  <c r="V24" i="45"/>
  <c r="V74" i="45"/>
  <c r="V58" i="45"/>
  <c r="V46" i="45"/>
  <c r="V38" i="45"/>
  <c r="V34" i="45"/>
  <c r="T21" i="45"/>
  <c r="V59" i="45"/>
  <c r="V47" i="45"/>
  <c r="V39" i="45"/>
  <c r="V35" i="45"/>
  <c r="V78" i="45"/>
  <c r="V70" i="45"/>
  <c r="V66" i="45"/>
  <c r="V50" i="45"/>
  <c r="V30" i="45"/>
  <c r="V42" i="45"/>
  <c r="V27" i="45"/>
  <c r="V62" i="45"/>
  <c r="V54" i="45"/>
  <c r="V19" i="45"/>
  <c r="V64" i="45"/>
  <c r="V85" i="45"/>
  <c r="V75" i="45"/>
  <c r="V25" i="45"/>
  <c r="V77" i="45"/>
  <c r="V48" i="45"/>
  <c r="V45" i="45"/>
  <c r="V21" i="45"/>
  <c r="V40" i="45"/>
  <c r="V43" i="45"/>
  <c r="V33" i="45"/>
  <c r="V31" i="45"/>
  <c r="V26" i="45"/>
  <c r="V29" i="45"/>
  <c r="V69" i="45"/>
  <c r="V63" i="45"/>
  <c r="V65" i="45"/>
  <c r="V23" i="45"/>
  <c r="V18" i="45"/>
  <c r="V55" i="45"/>
  <c r="V36" i="45"/>
  <c r="V29" i="39"/>
  <c r="Z80" i="39"/>
  <c r="V99" i="39"/>
  <c r="V105" i="39"/>
  <c r="V113" i="39"/>
  <c r="N13" i="42"/>
  <c r="N15" i="42"/>
  <c r="N93" i="42"/>
  <c r="Z101" i="42"/>
  <c r="H104" i="42"/>
  <c r="X108" i="36"/>
  <c r="Z108" i="36" s="1"/>
  <c r="V38" i="39"/>
  <c r="V42" i="39"/>
  <c r="V89" i="39"/>
  <c r="D12" i="45"/>
  <c r="L13" i="45"/>
  <c r="N13" i="45" s="1"/>
  <c r="X46" i="48"/>
  <c r="Z46" i="48"/>
  <c r="Z14" i="54"/>
  <c r="T16" i="54"/>
  <c r="X14" i="54"/>
  <c r="V47" i="39"/>
  <c r="V51" i="39"/>
  <c r="V59" i="39"/>
  <c r="V60" i="39"/>
  <c r="V63" i="39"/>
  <c r="N74" i="39"/>
  <c r="V87" i="39"/>
  <c r="V95" i="39"/>
  <c r="R109" i="42"/>
  <c r="R107" i="42"/>
  <c r="R101" i="42"/>
  <c r="R100" i="42"/>
  <c r="R93" i="42"/>
  <c r="R92" i="42"/>
  <c r="R88" i="42"/>
  <c r="R44" i="42"/>
  <c r="R29" i="42"/>
  <c r="R27" i="42"/>
  <c r="X12" i="42"/>
  <c r="R106" i="42"/>
  <c r="R84" i="42"/>
  <c r="R83" i="42"/>
  <c r="R71" i="42"/>
  <c r="R60" i="42"/>
  <c r="R59" i="42"/>
  <c r="R52" i="42"/>
  <c r="R51" i="42"/>
  <c r="R40" i="42"/>
  <c r="R39" i="42"/>
  <c r="R35" i="42"/>
  <c r="R31" i="42"/>
  <c r="R105" i="42"/>
  <c r="R102" i="42"/>
  <c r="R95" i="42"/>
  <c r="R94" i="42"/>
  <c r="R78" i="42"/>
  <c r="R111" i="42"/>
  <c r="R104" i="42"/>
  <c r="R89" i="42"/>
  <c r="R85" i="42"/>
  <c r="R62" i="42"/>
  <c r="R61" i="42"/>
  <c r="R54" i="42"/>
  <c r="R53" i="42"/>
  <c r="R45" i="42"/>
  <c r="R41" i="42"/>
  <c r="R97" i="42"/>
  <c r="R96" i="42"/>
  <c r="R73" i="42"/>
  <c r="R72" i="42"/>
  <c r="R36" i="42"/>
  <c r="R32" i="42"/>
  <c r="R79" i="42"/>
  <c r="R64" i="42"/>
  <c r="R63" i="42"/>
  <c r="R55" i="42"/>
  <c r="R98" i="42"/>
  <c r="R90" i="42"/>
  <c r="R86" i="42"/>
  <c r="R74" i="42"/>
  <c r="R46" i="42"/>
  <c r="R42" i="42"/>
  <c r="R23" i="42"/>
  <c r="R80" i="42"/>
  <c r="R56" i="42"/>
  <c r="R24" i="42"/>
  <c r="R38" i="42"/>
  <c r="R34" i="42"/>
  <c r="N21" i="42"/>
  <c r="R48" i="42"/>
  <c r="R91" i="42"/>
  <c r="T104" i="42"/>
  <c r="X104" i="42" s="1"/>
  <c r="L77" i="45"/>
  <c r="N77" i="45" s="1"/>
  <c r="J81" i="51"/>
  <c r="J77" i="51"/>
  <c r="J67" i="51"/>
  <c r="J53" i="51"/>
  <c r="J49" i="51"/>
  <c r="J86" i="51"/>
  <c r="J80" i="51"/>
  <c r="J68" i="51"/>
  <c r="J40" i="51"/>
  <c r="J36" i="51"/>
  <c r="J79" i="51"/>
  <c r="J69" i="51"/>
  <c r="J59" i="51"/>
  <c r="J70" i="51"/>
  <c r="J54" i="51"/>
  <c r="J50" i="51"/>
  <c r="J32" i="51"/>
  <c r="J71" i="51"/>
  <c r="J41" i="51"/>
  <c r="J37" i="51"/>
  <c r="J33" i="51"/>
  <c r="J72" i="51"/>
  <c r="J60" i="51"/>
  <c r="J46" i="51"/>
  <c r="J73" i="51"/>
  <c r="J61" i="51"/>
  <c r="J55" i="51"/>
  <c r="J51" i="51"/>
  <c r="J47" i="51"/>
  <c r="J45" i="51"/>
  <c r="J63" i="51"/>
  <c r="J57" i="51"/>
  <c r="J76" i="51"/>
  <c r="J82" i="51"/>
  <c r="J74" i="51"/>
  <c r="J34" i="51"/>
  <c r="J48" i="51"/>
  <c r="H43" i="51"/>
  <c r="J43" i="51" s="1"/>
  <c r="J66" i="51"/>
  <c r="J75" i="51"/>
  <c r="J64" i="51"/>
  <c r="J52" i="51"/>
  <c r="J35" i="51"/>
  <c r="J65" i="51"/>
  <c r="J58" i="51"/>
  <c r="J56" i="51"/>
  <c r="J62" i="51"/>
  <c r="J39" i="51"/>
  <c r="J38" i="51"/>
  <c r="L13" i="39"/>
  <c r="N13" i="39" s="1"/>
  <c r="Z68" i="39"/>
  <c r="Z72" i="39"/>
  <c r="N76" i="39"/>
  <c r="N92" i="39"/>
  <c r="Z15" i="42"/>
  <c r="N29" i="42"/>
  <c r="R37" i="42"/>
  <c r="Z48" i="42"/>
  <c r="R50" i="42"/>
  <c r="R68" i="42"/>
  <c r="R76" i="42"/>
  <c r="X93" i="42"/>
  <c r="Z93" i="42" s="1"/>
  <c r="Z65" i="45"/>
  <c r="L28" i="56"/>
  <c r="N28" i="56" s="1"/>
  <c r="V37" i="39"/>
  <c r="V41" i="39"/>
  <c r="V45" i="39"/>
  <c r="V57" i="39"/>
  <c r="N66" i="39"/>
  <c r="V68" i="39"/>
  <c r="V72" i="39"/>
  <c r="Z74" i="39"/>
  <c r="V79" i="39"/>
  <c r="N86" i="39"/>
  <c r="N104" i="39"/>
  <c r="N108" i="39"/>
  <c r="N112" i="39"/>
  <c r="Z118" i="39"/>
  <c r="Z19" i="42"/>
  <c r="N54" i="42"/>
  <c r="R66" i="42"/>
  <c r="Z68" i="42"/>
  <c r="R70" i="42"/>
  <c r="Z76" i="42"/>
  <c r="V46" i="39"/>
  <c r="V50" i="39"/>
  <c r="V58" i="39"/>
  <c r="V67" i="39"/>
  <c r="V71" i="39"/>
  <c r="V74" i="39"/>
  <c r="V81" i="39"/>
  <c r="V115" i="39"/>
  <c r="R81" i="42"/>
  <c r="L16" i="39"/>
  <c r="N16" i="39" s="1"/>
  <c r="L20" i="39"/>
  <c r="V31" i="39"/>
  <c r="V33" i="39"/>
  <c r="V35" i="39"/>
  <c r="V55" i="39"/>
  <c r="V62" i="39"/>
  <c r="N78" i="39"/>
  <c r="Z92" i="39"/>
  <c r="Z108" i="39"/>
  <c r="H12" i="42"/>
  <c r="L14" i="42"/>
  <c r="N14" i="42" s="1"/>
  <c r="X29" i="42"/>
  <c r="Z29" i="42" s="1"/>
  <c r="R33" i="42"/>
  <c r="R87" i="42"/>
  <c r="X13" i="39"/>
  <c r="Z13" i="39" s="1"/>
  <c r="L29" i="39"/>
  <c r="N29" i="39" s="1"/>
  <c r="X35" i="39"/>
  <c r="Z35" i="39" s="1"/>
  <c r="V36" i="39"/>
  <c r="V40" i="39"/>
  <c r="V44" i="39"/>
  <c r="V56" i="39"/>
  <c r="V49" i="39"/>
  <c r="N80" i="39"/>
  <c r="X104" i="39"/>
  <c r="Z104" i="39" s="1"/>
  <c r="X106" i="39"/>
  <c r="Z106" i="39" s="1"/>
  <c r="X112" i="39"/>
  <c r="Z112" i="39" s="1"/>
  <c r="L116" i="39"/>
  <c r="D115" i="39"/>
  <c r="F115" i="39" s="1"/>
  <c r="X14" i="42"/>
  <c r="X16" i="42"/>
  <c r="Z16" i="42" s="1"/>
  <c r="N18" i="42"/>
  <c r="L23" i="42"/>
  <c r="N23" i="42" s="1"/>
  <c r="R25" i="42"/>
  <c r="R67" i="42"/>
  <c r="R69" i="42"/>
  <c r="N73" i="42"/>
  <c r="R75" i="42"/>
  <c r="R77" i="42"/>
  <c r="X107" i="42"/>
  <c r="Z107" i="42" s="1"/>
  <c r="V122" i="39"/>
  <c r="V108" i="39"/>
  <c r="V100" i="39"/>
  <c r="V96" i="39"/>
  <c r="V84" i="39"/>
  <c r="V76" i="39"/>
  <c r="V64" i="39"/>
  <c r="V90" i="39"/>
  <c r="V86" i="39"/>
  <c r="V78" i="39"/>
  <c r="V109" i="39"/>
  <c r="V101" i="39"/>
  <c r="V97" i="39"/>
  <c r="V85" i="39"/>
  <c r="V77" i="39"/>
  <c r="V92" i="39"/>
  <c r="V80" i="39"/>
  <c r="V91" i="39"/>
  <c r="V110" i="39"/>
  <c r="V102" i="39"/>
  <c r="V98" i="39"/>
  <c r="V70" i="39"/>
  <c r="V118" i="39"/>
  <c r="V112" i="39"/>
  <c r="V104" i="39"/>
  <c r="V88" i="39"/>
  <c r="V116" i="39"/>
  <c r="V106" i="39"/>
  <c r="V94" i="39"/>
  <c r="V30" i="39"/>
  <c r="V54" i="39"/>
  <c r="Z66" i="39"/>
  <c r="V73" i="39"/>
  <c r="Z78" i="39"/>
  <c r="N116" i="39"/>
  <c r="V117" i="39"/>
  <c r="Z14" i="42"/>
  <c r="X18" i="42"/>
  <c r="Z18" i="42" s="1"/>
  <c r="X20" i="42"/>
  <c r="Z20" i="42" s="1"/>
  <c r="N52" i="45"/>
  <c r="L52" i="45"/>
  <c r="Z105" i="42"/>
  <c r="N65" i="45"/>
  <c r="L65" i="45"/>
  <c r="Z81" i="45"/>
  <c r="X81" i="45"/>
  <c r="R42" i="48"/>
  <c r="T12" i="51"/>
  <c r="Z14" i="51"/>
  <c r="F22" i="54"/>
  <c r="F20" i="54"/>
  <c r="F18" i="54"/>
  <c r="F16" i="54"/>
  <c r="F14" i="54"/>
  <c r="F24" i="54"/>
  <c r="D16" i="54"/>
  <c r="F31" i="54"/>
  <c r="F29" i="54"/>
  <c r="F28" i="54"/>
  <c r="F26" i="54"/>
  <c r="L12" i="54"/>
  <c r="N28" i="54"/>
  <c r="R61" i="59"/>
  <c r="R44" i="59"/>
  <c r="R43" i="59"/>
  <c r="R66" i="59"/>
  <c r="R63" i="59"/>
  <c r="R51" i="59"/>
  <c r="R50" i="59"/>
  <c r="R35" i="59"/>
  <c r="R34" i="59"/>
  <c r="R30" i="59"/>
  <c r="R45" i="59"/>
  <c r="R25" i="59"/>
  <c r="R21" i="59"/>
  <c r="R52" i="59"/>
  <c r="R37" i="59"/>
  <c r="R36" i="59"/>
  <c r="R31" i="59"/>
  <c r="R46" i="59"/>
  <c r="R38" i="59"/>
  <c r="R26" i="59"/>
  <c r="R22" i="59"/>
  <c r="R54" i="59"/>
  <c r="R53" i="59"/>
  <c r="R55" i="59"/>
  <c r="R48" i="59"/>
  <c r="R47" i="59"/>
  <c r="R40" i="59"/>
  <c r="R39" i="59"/>
  <c r="R27" i="59"/>
  <c r="R23" i="59"/>
  <c r="R57" i="59"/>
  <c r="R49" i="59"/>
  <c r="R24" i="59"/>
  <c r="R29" i="59"/>
  <c r="R14" i="59"/>
  <c r="R20" i="59"/>
  <c r="R41" i="59"/>
  <c r="R59" i="59"/>
  <c r="R16" i="59"/>
  <c r="X12" i="59"/>
  <c r="R18" i="59"/>
  <c r="R19" i="59"/>
  <c r="R32" i="59"/>
  <c r="R28" i="59"/>
  <c r="R42" i="59"/>
  <c r="Z14" i="45"/>
  <c r="Z23" i="45"/>
  <c r="Z34" i="45"/>
  <c r="N21" i="51"/>
  <c r="L21" i="51"/>
  <c r="P16" i="59"/>
  <c r="H115" i="39"/>
  <c r="H12" i="45"/>
  <c r="Z46" i="45"/>
  <c r="N54" i="45"/>
  <c r="X77" i="45"/>
  <c r="Z77" i="45" s="1"/>
  <c r="T54" i="48"/>
  <c r="X55" i="48"/>
  <c r="Z55" i="48" s="1"/>
  <c r="R55" i="48"/>
  <c r="R52" i="48"/>
  <c r="R29" i="48"/>
  <c r="R28" i="48"/>
  <c r="R24" i="48"/>
  <c r="R54" i="48"/>
  <c r="R44" i="48"/>
  <c r="R43" i="48"/>
  <c r="R20" i="48"/>
  <c r="R59" i="48"/>
  <c r="R46" i="48"/>
  <c r="R45" i="48"/>
  <c r="R25" i="48"/>
  <c r="R21" i="48"/>
  <c r="P17" i="48"/>
  <c r="R48" i="48"/>
  <c r="R47" i="48"/>
  <c r="R36" i="48"/>
  <c r="R35" i="48"/>
  <c r="R31" i="48"/>
  <c r="R26" i="48"/>
  <c r="R22" i="48"/>
  <c r="R32" i="48"/>
  <c r="X12" i="48"/>
  <c r="R50" i="48"/>
  <c r="R41" i="48"/>
  <c r="R39" i="48"/>
  <c r="R34" i="48"/>
  <c r="R30" i="48"/>
  <c r="R49" i="48"/>
  <c r="R37" i="48"/>
  <c r="R23" i="48"/>
  <c r="R40" i="48"/>
  <c r="R38" i="48"/>
  <c r="R27" i="48"/>
  <c r="R19" i="48"/>
  <c r="R33" i="48"/>
  <c r="R15" i="48"/>
  <c r="L73" i="51"/>
  <c r="N73" i="51" s="1"/>
  <c r="L16" i="42"/>
  <c r="N16" i="42" s="1"/>
  <c r="L20" i="42"/>
  <c r="N20" i="42" s="1"/>
  <c r="P12" i="51"/>
  <c r="X13" i="51"/>
  <c r="X13" i="42"/>
  <c r="Z13" i="42" s="1"/>
  <c r="P12" i="45"/>
  <c r="Z52" i="45"/>
  <c r="X56" i="45"/>
  <c r="Z56" i="45" s="1"/>
  <c r="N58" i="45"/>
  <c r="L81" i="45"/>
  <c r="L20" i="51"/>
  <c r="N20" i="51" s="1"/>
  <c r="N16" i="51"/>
  <c r="R33" i="59"/>
  <c r="Z44" i="59"/>
  <c r="X44" i="59"/>
  <c r="L14" i="45"/>
  <c r="N14" i="45" s="1"/>
  <c r="N34" i="45"/>
  <c r="Z58" i="45"/>
  <c r="X54" i="48"/>
  <c r="L59" i="56"/>
  <c r="N59" i="56" s="1"/>
  <c r="V45" i="48"/>
  <c r="V59" i="48"/>
  <c r="N42" i="58"/>
  <c r="X21" i="85"/>
  <c r="Z21" i="85"/>
  <c r="Z29" i="48"/>
  <c r="V33" i="48"/>
  <c r="V52" i="48"/>
  <c r="L16" i="51"/>
  <c r="Z63" i="51"/>
  <c r="T79" i="51"/>
  <c r="N57" i="56"/>
  <c r="N28" i="57"/>
  <c r="Z37" i="57"/>
  <c r="Z39" i="57"/>
  <c r="X41" i="57"/>
  <c r="Z41" i="57"/>
  <c r="Z40" i="59"/>
  <c r="L19" i="64"/>
  <c r="N19" i="64" s="1"/>
  <c r="D17" i="48"/>
  <c r="L36" i="48"/>
  <c r="N36" i="48" s="1"/>
  <c r="F46" i="48"/>
  <c r="L48" i="48"/>
  <c r="N48" i="48" s="1"/>
  <c r="X22" i="51"/>
  <c r="Z22" i="51" s="1"/>
  <c r="N24" i="51"/>
  <c r="L28" i="51"/>
  <c r="N28" i="51" s="1"/>
  <c r="X67" i="51"/>
  <c r="Z67" i="51" s="1"/>
  <c r="N71" i="51"/>
  <c r="Z76" i="51"/>
  <c r="X81" i="51"/>
  <c r="H57" i="48"/>
  <c r="D12" i="51"/>
  <c r="Z20" i="54"/>
  <c r="X20" i="54"/>
  <c r="X28" i="54"/>
  <c r="Z28" i="54"/>
  <c r="Z38" i="58"/>
  <c r="X13" i="45"/>
  <c r="Z13" i="45" s="1"/>
  <c r="F32" i="48"/>
  <c r="L12" i="48"/>
  <c r="N12" i="48" s="1"/>
  <c r="F39" i="48"/>
  <c r="F38" i="48"/>
  <c r="F27" i="48"/>
  <c r="F23" i="48"/>
  <c r="F41" i="48"/>
  <c r="F40" i="48"/>
  <c r="F33" i="48"/>
  <c r="F52" i="48"/>
  <c r="F51" i="48"/>
  <c r="F28" i="48"/>
  <c r="F24" i="48"/>
  <c r="F43" i="48"/>
  <c r="F42" i="48"/>
  <c r="F55" i="48"/>
  <c r="F34" i="48"/>
  <c r="F30" i="48"/>
  <c r="F29" i="48"/>
  <c r="F19" i="48"/>
  <c r="F17" i="48"/>
  <c r="F15" i="48"/>
  <c r="V32" i="48"/>
  <c r="V44" i="48"/>
  <c r="V54" i="48"/>
  <c r="Z69" i="51"/>
  <c r="Z71" i="51"/>
  <c r="N33" i="57"/>
  <c r="J39" i="48"/>
  <c r="J27" i="48"/>
  <c r="J23" i="48"/>
  <c r="J50" i="48"/>
  <c r="J40" i="48"/>
  <c r="J52" i="48"/>
  <c r="J42" i="48"/>
  <c r="J28" i="48"/>
  <c r="J24" i="48"/>
  <c r="J57" i="48"/>
  <c r="J55" i="48"/>
  <c r="J43" i="48"/>
  <c r="J29" i="48"/>
  <c r="J54" i="48"/>
  <c r="J44" i="48"/>
  <c r="J34" i="48"/>
  <c r="J30" i="48"/>
  <c r="J20" i="48"/>
  <c r="J59" i="48"/>
  <c r="J45" i="48"/>
  <c r="J25" i="48"/>
  <c r="J21" i="48"/>
  <c r="J19" i="48"/>
  <c r="J17" i="48"/>
  <c r="J15" i="48"/>
  <c r="J47" i="48"/>
  <c r="J35" i="48"/>
  <c r="J31" i="48"/>
  <c r="X13" i="48"/>
  <c r="Z13" i="48" s="1"/>
  <c r="F20" i="48"/>
  <c r="J36" i="48"/>
  <c r="J48" i="48"/>
  <c r="F50" i="48"/>
  <c r="L13" i="51"/>
  <c r="N13" i="51" s="1"/>
  <c r="N17" i="51"/>
  <c r="N46" i="51"/>
  <c r="L61" i="51"/>
  <c r="N61" i="51" s="1"/>
  <c r="H30" i="55"/>
  <c r="N16" i="55"/>
  <c r="L36" i="56"/>
  <c r="N36" i="56" s="1"/>
  <c r="P34" i="55"/>
  <c r="Z34" i="56"/>
  <c r="N14" i="58"/>
  <c r="H16" i="58"/>
  <c r="L15" i="48"/>
  <c r="Z13" i="51"/>
  <c r="N25" i="51"/>
  <c r="N49" i="56"/>
  <c r="P56" i="57"/>
  <c r="X16" i="57"/>
  <c r="V43" i="48"/>
  <c r="V19" i="48"/>
  <c r="V17" i="48"/>
  <c r="V15" i="48"/>
  <c r="V46" i="48"/>
  <c r="V34" i="48"/>
  <c r="V30" i="48"/>
  <c r="V48" i="48"/>
  <c r="V36" i="48"/>
  <c r="V47" i="48"/>
  <c r="V35" i="48"/>
  <c r="V31" i="48"/>
  <c r="V38" i="48"/>
  <c r="V26" i="48"/>
  <c r="V22" i="48"/>
  <c r="V49" i="48"/>
  <c r="V37" i="48"/>
  <c r="V51" i="48"/>
  <c r="V39" i="48"/>
  <c r="V27" i="48"/>
  <c r="V23" i="48"/>
  <c r="X51" i="48"/>
  <c r="Z51" i="48" s="1"/>
  <c r="L55" i="48"/>
  <c r="N55" i="48" s="1"/>
  <c r="D54" i="48"/>
  <c r="L54" i="48" s="1"/>
  <c r="Z17" i="51"/>
  <c r="N63" i="51"/>
  <c r="L79" i="51"/>
  <c r="N79" i="51" s="1"/>
  <c r="V21" i="55"/>
  <c r="T16" i="55"/>
  <c r="V20" i="55"/>
  <c r="V23" i="55"/>
  <c r="V22" i="55"/>
  <c r="V24" i="55"/>
  <c r="V19" i="55"/>
  <c r="V28" i="55"/>
  <c r="V14" i="55"/>
  <c r="V37" i="55"/>
  <c r="V32" i="55"/>
  <c r="V25" i="55"/>
  <c r="V34" i="55"/>
  <c r="Z12" i="55"/>
  <c r="V26" i="55"/>
  <c r="V30" i="55"/>
  <c r="X14" i="56"/>
  <c r="P16" i="56"/>
  <c r="V42" i="57"/>
  <c r="V26" i="57"/>
  <c r="V22" i="57"/>
  <c r="V45" i="57"/>
  <c r="V33" i="57"/>
  <c r="V63" i="57"/>
  <c r="V60" i="57"/>
  <c r="V58" i="57"/>
  <c r="V44" i="57"/>
  <c r="V32" i="57"/>
  <c r="V28" i="57"/>
  <c r="Z12" i="57"/>
  <c r="V47" i="57"/>
  <c r="V35" i="57"/>
  <c r="V27" i="57"/>
  <c r="V23" i="57"/>
  <c r="V19" i="57"/>
  <c r="V49" i="57"/>
  <c r="V37" i="57"/>
  <c r="V29" i="57"/>
  <c r="T16" i="57"/>
  <c r="V50" i="57"/>
  <c r="V38" i="57"/>
  <c r="V30" i="57"/>
  <c r="V31" i="57"/>
  <c r="V18" i="57"/>
  <c r="V48" i="57"/>
  <c r="V34" i="57"/>
  <c r="V40" i="57"/>
  <c r="V25" i="57"/>
  <c r="V14" i="57"/>
  <c r="V43" i="57"/>
  <c r="V21" i="57"/>
  <c r="V56" i="57"/>
  <c r="V46" i="57"/>
  <c r="V52" i="57"/>
  <c r="V41" i="57"/>
  <c r="V39" i="57"/>
  <c r="V16" i="57"/>
  <c r="N43" i="57"/>
  <c r="L43" i="57"/>
  <c r="V51" i="57"/>
  <c r="X54" i="57"/>
  <c r="L14" i="58"/>
  <c r="L18" i="58"/>
  <c r="N18" i="58" s="1"/>
  <c r="L34" i="58"/>
  <c r="N34" i="58" s="1"/>
  <c r="Z12" i="48"/>
  <c r="N19" i="48"/>
  <c r="V20" i="48"/>
  <c r="N40" i="48"/>
  <c r="F47" i="48"/>
  <c r="V50" i="48"/>
  <c r="N54" i="48"/>
  <c r="Z21" i="51"/>
  <c r="N45" i="51"/>
  <c r="N65" i="51"/>
  <c r="X12" i="55"/>
  <c r="F60" i="56"/>
  <c r="F59" i="56"/>
  <c r="F51" i="56"/>
  <c r="F43" i="56"/>
  <c r="F42" i="56"/>
  <c r="F31" i="56"/>
  <c r="F26" i="56"/>
  <c r="F22" i="56"/>
  <c r="F61" i="56"/>
  <c r="F53" i="56"/>
  <c r="F52" i="56"/>
  <c r="F45" i="56"/>
  <c r="F44" i="56"/>
  <c r="F33" i="56"/>
  <c r="F32" i="56"/>
  <c r="F55" i="56"/>
  <c r="F54" i="56"/>
  <c r="F47" i="56"/>
  <c r="F46" i="56"/>
  <c r="F35" i="56"/>
  <c r="F34" i="56"/>
  <c r="F27" i="56"/>
  <c r="F23" i="56"/>
  <c r="F56" i="56"/>
  <c r="F48" i="56"/>
  <c r="F24" i="56"/>
  <c r="F20" i="56"/>
  <c r="F19" i="56"/>
  <c r="F63" i="56"/>
  <c r="F50" i="56"/>
  <c r="F29" i="56"/>
  <c r="F14" i="56"/>
  <c r="F40" i="56"/>
  <c r="F37" i="56"/>
  <c r="F58" i="56"/>
  <c r="F69" i="56"/>
  <c r="F65" i="56"/>
  <c r="F16" i="56"/>
  <c r="F38" i="56"/>
  <c r="F30" i="56"/>
  <c r="D16" i="56"/>
  <c r="F49" i="56"/>
  <c r="F25" i="56"/>
  <c r="T69" i="56"/>
  <c r="X40" i="56"/>
  <c r="Z40" i="56" s="1"/>
  <c r="F72" i="56"/>
  <c r="Z18" i="59"/>
  <c r="D46" i="60"/>
  <c r="Z40" i="61"/>
  <c r="H16" i="54"/>
  <c r="J24" i="54"/>
  <c r="J31" i="54"/>
  <c r="J29" i="54"/>
  <c r="J28" i="54"/>
  <c r="J26" i="54"/>
  <c r="R14" i="54"/>
  <c r="R20" i="54"/>
  <c r="R28" i="54"/>
  <c r="N25" i="55"/>
  <c r="F43" i="57"/>
  <c r="X47" i="57"/>
  <c r="Z47" i="57" s="1"/>
  <c r="X19" i="58"/>
  <c r="Z19" i="58" s="1"/>
  <c r="V35" i="58"/>
  <c r="N40" i="58"/>
  <c r="L42" i="58"/>
  <c r="Z46" i="58"/>
  <c r="V51" i="58"/>
  <c r="N37" i="59"/>
  <c r="Z42" i="59"/>
  <c r="L19" i="60"/>
  <c r="N19" i="60" s="1"/>
  <c r="Z42" i="61"/>
  <c r="P31" i="54"/>
  <c r="F14" i="55"/>
  <c r="L54" i="56"/>
  <c r="X63" i="56"/>
  <c r="N19" i="57"/>
  <c r="N35" i="57"/>
  <c r="F47" i="58"/>
  <c r="F46" i="58"/>
  <c r="F35" i="58"/>
  <c r="F34" i="58"/>
  <c r="F18" i="58"/>
  <c r="F16" i="58"/>
  <c r="F14" i="58"/>
  <c r="F54" i="58"/>
  <c r="F30" i="58"/>
  <c r="F29" i="58"/>
  <c r="D16" i="58"/>
  <c r="F71" i="58"/>
  <c r="F68" i="58"/>
  <c r="F49" i="58"/>
  <c r="F48" i="58"/>
  <c r="F37" i="58"/>
  <c r="F36" i="58"/>
  <c r="F25" i="58"/>
  <c r="F21" i="58"/>
  <c r="F56" i="58"/>
  <c r="F55" i="58"/>
  <c r="F58" i="58"/>
  <c r="F57" i="58"/>
  <c r="F50" i="58"/>
  <c r="F26" i="58"/>
  <c r="F22" i="58"/>
  <c r="F43" i="58"/>
  <c r="F42" i="58"/>
  <c r="F27" i="58"/>
  <c r="F23" i="58"/>
  <c r="V21" i="58"/>
  <c r="L57" i="58"/>
  <c r="V71" i="58"/>
  <c r="X48" i="59"/>
  <c r="Z16" i="60"/>
  <c r="Z32" i="60"/>
  <c r="N34" i="60"/>
  <c r="L34" i="60"/>
  <c r="Z76" i="64"/>
  <c r="N54" i="56"/>
  <c r="Z57" i="56"/>
  <c r="Z28" i="57"/>
  <c r="N57" i="58"/>
  <c r="T63" i="59"/>
  <c r="Z48" i="59"/>
  <c r="N18" i="68"/>
  <c r="X12" i="54"/>
  <c r="L14" i="55"/>
  <c r="F24" i="55"/>
  <c r="L18" i="57"/>
  <c r="N18" i="57" s="1"/>
  <c r="Z19" i="57"/>
  <c r="Z35" i="57"/>
  <c r="L12" i="58"/>
  <c r="Z18" i="58"/>
  <c r="F24" i="58"/>
  <c r="F39" i="58"/>
  <c r="V40" i="58"/>
  <c r="F52" i="58"/>
  <c r="F59" i="58"/>
  <c r="N29" i="59"/>
  <c r="N54" i="59"/>
  <c r="Z36" i="64"/>
  <c r="X18" i="54"/>
  <c r="R26" i="54"/>
  <c r="N29" i="54"/>
  <c r="L40" i="56"/>
  <c r="N40" i="56" s="1"/>
  <c r="X42" i="56"/>
  <c r="Z42" i="56" s="1"/>
  <c r="N46" i="56"/>
  <c r="F18" i="57"/>
  <c r="F16" i="57"/>
  <c r="F14" i="57"/>
  <c r="F50" i="57"/>
  <c r="F49" i="57"/>
  <c r="F38" i="57"/>
  <c r="F37" i="57"/>
  <c r="F30" i="57"/>
  <c r="D16" i="57"/>
  <c r="F25" i="57"/>
  <c r="F21" i="57"/>
  <c r="F52" i="57"/>
  <c r="F51" i="57"/>
  <c r="F40" i="57"/>
  <c r="F39" i="57"/>
  <c r="F42" i="57"/>
  <c r="F41" i="57"/>
  <c r="F26" i="57"/>
  <c r="F22" i="57"/>
  <c r="F27" i="57"/>
  <c r="F23" i="57"/>
  <c r="F29" i="57"/>
  <c r="F45" i="57"/>
  <c r="F54" i="57"/>
  <c r="V18" i="58"/>
  <c r="F28" i="58"/>
  <c r="F31" i="58"/>
  <c r="F33" i="58"/>
  <c r="X40" i="58"/>
  <c r="Z40" i="58" s="1"/>
  <c r="L44" i="58"/>
  <c r="N44" i="58" s="1"/>
  <c r="V55" i="58"/>
  <c r="Z16" i="59"/>
  <c r="N18" i="60"/>
  <c r="R16" i="54"/>
  <c r="R22" i="54"/>
  <c r="N18" i="55"/>
  <c r="L34" i="56"/>
  <c r="Z49" i="56"/>
  <c r="Z59" i="56"/>
  <c r="F20" i="57"/>
  <c r="F31" i="57"/>
  <c r="F36" i="57"/>
  <c r="N45" i="57"/>
  <c r="Z49" i="57"/>
  <c r="F58" i="57"/>
  <c r="Z34" i="58"/>
  <c r="V39" i="58"/>
  <c r="L59" i="58"/>
  <c r="N59" i="58" s="1"/>
  <c r="F26" i="55"/>
  <c r="F25" i="55"/>
  <c r="L12" i="55"/>
  <c r="F30" i="55"/>
  <c r="F28" i="55"/>
  <c r="F22" i="55"/>
  <c r="F21" i="55"/>
  <c r="D16" i="55"/>
  <c r="Z19" i="55"/>
  <c r="F23" i="55"/>
  <c r="N34" i="56"/>
  <c r="H56" i="57"/>
  <c r="N16" i="57"/>
  <c r="V58" i="58"/>
  <c r="V50" i="58"/>
  <c r="V42" i="58"/>
  <c r="V26" i="58"/>
  <c r="V22" i="58"/>
  <c r="V41" i="58"/>
  <c r="V64" i="58"/>
  <c r="V62" i="58"/>
  <c r="V60" i="58"/>
  <c r="V52" i="58"/>
  <c r="V44" i="58"/>
  <c r="V32" i="58"/>
  <c r="Z12" i="58"/>
  <c r="V43" i="58"/>
  <c r="V27" i="58"/>
  <c r="V23" i="58"/>
  <c r="V19" i="58"/>
  <c r="X12" i="58"/>
  <c r="V53" i="58"/>
  <c r="V45" i="58"/>
  <c r="V33" i="58"/>
  <c r="V29" i="58"/>
  <c r="T16" i="58"/>
  <c r="V54" i="58"/>
  <c r="V38" i="58"/>
  <c r="V30" i="58"/>
  <c r="X16" i="58"/>
  <c r="P64" i="58"/>
  <c r="V20" i="58"/>
  <c r="V31" i="58"/>
  <c r="V34" i="58"/>
  <c r="N46" i="58"/>
  <c r="F51" i="58"/>
  <c r="V57" i="58"/>
  <c r="F62" i="58"/>
  <c r="X18" i="61"/>
  <c r="Z18" i="61" s="1"/>
  <c r="H12" i="69"/>
  <c r="J14" i="54"/>
  <c r="X16" i="54"/>
  <c r="J20" i="54"/>
  <c r="X34" i="56"/>
  <c r="Z54" i="56"/>
  <c r="F33" i="57"/>
  <c r="F47" i="57"/>
  <c r="Z51" i="57"/>
  <c r="F19" i="58"/>
  <c r="V24" i="58"/>
  <c r="Z29" i="58"/>
  <c r="F38" i="58"/>
  <c r="N51" i="58"/>
  <c r="Z57" i="58"/>
  <c r="F66" i="58"/>
  <c r="V68" i="58"/>
  <c r="N18" i="59"/>
  <c r="T50" i="60"/>
  <c r="X40" i="61"/>
  <c r="T12" i="69"/>
  <c r="X13" i="69"/>
  <c r="Z13" i="69"/>
  <c r="J25" i="61"/>
  <c r="J37" i="61"/>
  <c r="J39" i="61"/>
  <c r="J82" i="64"/>
  <c r="P12" i="69"/>
  <c r="R26" i="55"/>
  <c r="H16" i="56"/>
  <c r="V31" i="56"/>
  <c r="J39" i="56"/>
  <c r="V43" i="56"/>
  <c r="J49" i="56"/>
  <c r="V51" i="56"/>
  <c r="J57" i="56"/>
  <c r="R60" i="56"/>
  <c r="J69" i="56"/>
  <c r="J72" i="56"/>
  <c r="J28" i="57"/>
  <c r="J34" i="57"/>
  <c r="J46" i="57"/>
  <c r="J60" i="57"/>
  <c r="J63" i="57"/>
  <c r="R35" i="58"/>
  <c r="R36" i="58"/>
  <c r="J44" i="58"/>
  <c r="R47" i="58"/>
  <c r="R48" i="58"/>
  <c r="J62" i="58"/>
  <c r="J64" i="58"/>
  <c r="R68" i="58"/>
  <c r="R71" i="58"/>
  <c r="V14" i="59"/>
  <c r="V16" i="59"/>
  <c r="V18" i="59"/>
  <c r="V42" i="59"/>
  <c r="H16" i="60"/>
  <c r="L16" i="60" s="1"/>
  <c r="F19" i="60"/>
  <c r="F20" i="60"/>
  <c r="J23" i="64"/>
  <c r="J42" i="64"/>
  <c r="J44" i="64"/>
  <c r="J54" i="64"/>
  <c r="X87" i="64"/>
  <c r="P86" i="64"/>
  <c r="N17" i="69"/>
  <c r="F33" i="60"/>
  <c r="F32" i="60"/>
  <c r="F46" i="60"/>
  <c r="F44" i="60"/>
  <c r="F35" i="60"/>
  <c r="F34" i="60"/>
  <c r="F48" i="60"/>
  <c r="F53" i="60"/>
  <c r="F50" i="60"/>
  <c r="F39" i="60"/>
  <c r="F38" i="60"/>
  <c r="F27" i="60"/>
  <c r="F30" i="60"/>
  <c r="F36" i="60"/>
  <c r="F41" i="60"/>
  <c r="J40" i="61"/>
  <c r="J26" i="61"/>
  <c r="J22" i="61"/>
  <c r="J42" i="61"/>
  <c r="J32" i="61"/>
  <c r="N12" i="61"/>
  <c r="J43" i="61"/>
  <c r="J33" i="61"/>
  <c r="J27" i="61"/>
  <c r="J23" i="61"/>
  <c r="L12" i="61"/>
  <c r="J34" i="61"/>
  <c r="J28" i="61"/>
  <c r="J47" i="61"/>
  <c r="J45" i="61"/>
  <c r="J35" i="61"/>
  <c r="J29" i="61"/>
  <c r="J19" i="61"/>
  <c r="J36" i="61"/>
  <c r="J24" i="61"/>
  <c r="J20" i="61"/>
  <c r="J18" i="61"/>
  <c r="J16" i="61"/>
  <c r="J14" i="61"/>
  <c r="J49" i="61"/>
  <c r="J87" i="64"/>
  <c r="J75" i="64"/>
  <c r="J71" i="64"/>
  <c r="J63" i="64"/>
  <c r="J55" i="64"/>
  <c r="J35" i="64"/>
  <c r="H16" i="64"/>
  <c r="J92" i="64"/>
  <c r="J86" i="64"/>
  <c r="J76" i="64"/>
  <c r="J64" i="64"/>
  <c r="J56" i="64"/>
  <c r="J77" i="64"/>
  <c r="J65" i="64"/>
  <c r="J57" i="64"/>
  <c r="J45" i="64"/>
  <c r="J37" i="64"/>
  <c r="J25" i="64"/>
  <c r="J21" i="64"/>
  <c r="J97" i="64"/>
  <c r="J94" i="64"/>
  <c r="J78" i="64"/>
  <c r="J72" i="64"/>
  <c r="J58" i="64"/>
  <c r="J46" i="64"/>
  <c r="J38" i="64"/>
  <c r="J79" i="64"/>
  <c r="J59" i="64"/>
  <c r="J47" i="64"/>
  <c r="J39" i="64"/>
  <c r="J31" i="64"/>
  <c r="J80" i="64"/>
  <c r="J66" i="64"/>
  <c r="J60" i="64"/>
  <c r="J48" i="64"/>
  <c r="J40" i="64"/>
  <c r="J26" i="64"/>
  <c r="J22" i="64"/>
  <c r="J81" i="64"/>
  <c r="J73" i="64"/>
  <c r="J61" i="64"/>
  <c r="J49" i="64"/>
  <c r="J41" i="64"/>
  <c r="J67" i="64"/>
  <c r="J51" i="64"/>
  <c r="J83" i="64"/>
  <c r="J69" i="64"/>
  <c r="J53" i="64"/>
  <c r="J43" i="64"/>
  <c r="J33" i="64"/>
  <c r="J29" i="64"/>
  <c r="J19" i="64"/>
  <c r="Z87" i="64"/>
  <c r="T86" i="64"/>
  <c r="L21" i="71"/>
  <c r="N21" i="71" s="1"/>
  <c r="P12" i="74"/>
  <c r="X13" i="74"/>
  <c r="V14" i="54"/>
  <c r="V16" i="54"/>
  <c r="V18" i="54"/>
  <c r="V20" i="54"/>
  <c r="J14" i="55"/>
  <c r="J16" i="55"/>
  <c r="J18" i="55"/>
  <c r="J20" i="55"/>
  <c r="J34" i="55"/>
  <c r="J37" i="55"/>
  <c r="J28" i="56"/>
  <c r="V30" i="56"/>
  <c r="J36" i="56"/>
  <c r="R39" i="56"/>
  <c r="R40" i="56"/>
  <c r="V42" i="56"/>
  <c r="V50" i="56"/>
  <c r="V58" i="56"/>
  <c r="R19" i="57"/>
  <c r="R34" i="57"/>
  <c r="R35" i="57"/>
  <c r="J43" i="57"/>
  <c r="R46" i="57"/>
  <c r="R47" i="57"/>
  <c r="R19" i="58"/>
  <c r="J41" i="58"/>
  <c r="J51" i="58"/>
  <c r="J59" i="58"/>
  <c r="D16" i="59"/>
  <c r="J21" i="59"/>
  <c r="J25" i="59"/>
  <c r="F29" i="59"/>
  <c r="F30" i="59"/>
  <c r="F34" i="59"/>
  <c r="J35" i="59"/>
  <c r="J45" i="59"/>
  <c r="F50" i="59"/>
  <c r="J51" i="59"/>
  <c r="V53" i="59"/>
  <c r="J63" i="59"/>
  <c r="J66" i="59"/>
  <c r="J46" i="60"/>
  <c r="J44" i="60"/>
  <c r="J34" i="60"/>
  <c r="J48" i="60"/>
  <c r="J36" i="60"/>
  <c r="J26" i="60"/>
  <c r="J37" i="60"/>
  <c r="J39" i="60"/>
  <c r="J28" i="60"/>
  <c r="J42" i="60"/>
  <c r="F23" i="60"/>
  <c r="R24" i="60"/>
  <c r="N30" i="60"/>
  <c r="N36" i="60"/>
  <c r="R46" i="60"/>
  <c r="R43" i="61"/>
  <c r="R28" i="61"/>
  <c r="R27" i="61"/>
  <c r="R23" i="61"/>
  <c r="R29" i="61"/>
  <c r="R18" i="61"/>
  <c r="R16" i="61"/>
  <c r="R14" i="61"/>
  <c r="R37" i="61"/>
  <c r="R36" i="61"/>
  <c r="R24" i="61"/>
  <c r="R20" i="61"/>
  <c r="P16" i="61"/>
  <c r="R49" i="61"/>
  <c r="R54" i="61"/>
  <c r="R51" i="61"/>
  <c r="R38" i="61"/>
  <c r="R30" i="61"/>
  <c r="R25" i="61"/>
  <c r="R21" i="61"/>
  <c r="R42" i="61"/>
  <c r="R41" i="61"/>
  <c r="R31" i="61"/>
  <c r="R45" i="61"/>
  <c r="L12" i="64"/>
  <c r="Z21" i="69"/>
  <c r="N36" i="69"/>
  <c r="R38" i="70"/>
  <c r="R51" i="70"/>
  <c r="L19" i="71"/>
  <c r="N19" i="71" s="1"/>
  <c r="J34" i="59"/>
  <c r="V38" i="59"/>
  <c r="F42" i="59"/>
  <c r="F43" i="59"/>
  <c r="J44" i="59"/>
  <c r="V46" i="59"/>
  <c r="J50" i="59"/>
  <c r="V54" i="59"/>
  <c r="F61" i="59"/>
  <c r="L12" i="60"/>
  <c r="P16" i="60"/>
  <c r="F26" i="60"/>
  <c r="F29" i="60"/>
  <c r="J30" i="60"/>
  <c r="J41" i="60"/>
  <c r="H16" i="61"/>
  <c r="L16" i="61" s="1"/>
  <c r="N12" i="64"/>
  <c r="J20" i="64"/>
  <c r="J34" i="64"/>
  <c r="J68" i="64"/>
  <c r="L86" i="64"/>
  <c r="N86" i="64" s="1"/>
  <c r="Z16" i="68"/>
  <c r="T51" i="68"/>
  <c r="N44" i="68"/>
  <c r="Z34" i="69"/>
  <c r="X79" i="69"/>
  <c r="Z79" i="69" s="1"/>
  <c r="J32" i="55"/>
  <c r="R14" i="56"/>
  <c r="R16" i="56"/>
  <c r="R18" i="56"/>
  <c r="V24" i="56"/>
  <c r="R29" i="56"/>
  <c r="J34" i="56"/>
  <c r="R37" i="56"/>
  <c r="R38" i="56"/>
  <c r="V40" i="56"/>
  <c r="J46" i="56"/>
  <c r="V48" i="56"/>
  <c r="J54" i="56"/>
  <c r="V56" i="56"/>
  <c r="R67" i="56"/>
  <c r="X12" i="57"/>
  <c r="J31" i="57"/>
  <c r="R32" i="57"/>
  <c r="R33" i="57"/>
  <c r="J41" i="57"/>
  <c r="R44" i="57"/>
  <c r="R45" i="57"/>
  <c r="R58" i="57"/>
  <c r="J31" i="58"/>
  <c r="R32" i="58"/>
  <c r="J39" i="58"/>
  <c r="R52" i="58"/>
  <c r="J57" i="58"/>
  <c r="R60" i="58"/>
  <c r="H16" i="59"/>
  <c r="V31" i="59"/>
  <c r="X12" i="61"/>
  <c r="R22" i="61"/>
  <c r="R26" i="61"/>
  <c r="N28" i="61"/>
  <c r="R33" i="61"/>
  <c r="J38" i="61"/>
  <c r="J24" i="64"/>
  <c r="J62" i="64"/>
  <c r="L83" i="64"/>
  <c r="N83" i="64" s="1"/>
  <c r="N19" i="68"/>
  <c r="N27" i="69"/>
  <c r="R53" i="70"/>
  <c r="R52" i="70"/>
  <c r="R60" i="70"/>
  <c r="R59" i="70"/>
  <c r="R44" i="70"/>
  <c r="R43" i="70"/>
  <c r="R35" i="70"/>
  <c r="R16" i="70"/>
  <c r="R55" i="70"/>
  <c r="R54" i="70"/>
  <c r="R30" i="70"/>
  <c r="R26" i="70"/>
  <c r="R61" i="70"/>
  <c r="R46" i="70"/>
  <c r="R45" i="70"/>
  <c r="R17" i="70"/>
  <c r="R63" i="70"/>
  <c r="R56" i="70"/>
  <c r="R36" i="70"/>
  <c r="X12" i="70"/>
  <c r="R48" i="70"/>
  <c r="R47" i="70"/>
  <c r="R32" i="70"/>
  <c r="R31" i="70"/>
  <c r="R27" i="70"/>
  <c r="R28" i="70"/>
  <c r="R24" i="70"/>
  <c r="P20" i="70"/>
  <c r="R34" i="70"/>
  <c r="R67" i="70"/>
  <c r="R41" i="70"/>
  <c r="R49" i="70"/>
  <c r="R22" i="70"/>
  <c r="R18" i="70"/>
  <c r="R58" i="70"/>
  <c r="R50" i="70"/>
  <c r="R39" i="70"/>
  <c r="R42" i="70"/>
  <c r="R33" i="70"/>
  <c r="R23" i="70"/>
  <c r="R40" i="70"/>
  <c r="R29" i="70"/>
  <c r="R57" i="70"/>
  <c r="R20" i="70"/>
  <c r="N13" i="71"/>
  <c r="H12" i="71"/>
  <c r="J61" i="76"/>
  <c r="J55" i="76"/>
  <c r="J45" i="76"/>
  <c r="J39" i="76"/>
  <c r="J29" i="76"/>
  <c r="J46" i="76"/>
  <c r="J34" i="76"/>
  <c r="J30" i="76"/>
  <c r="J28" i="76"/>
  <c r="J24" i="76"/>
  <c r="J47" i="76"/>
  <c r="H26" i="76"/>
  <c r="J56" i="76"/>
  <c r="J48" i="76"/>
  <c r="J40" i="76"/>
  <c r="J57" i="76"/>
  <c r="J51" i="76"/>
  <c r="J41" i="76"/>
  <c r="J58" i="76"/>
  <c r="J52" i="76"/>
  <c r="J36" i="76"/>
  <c r="J32" i="76"/>
  <c r="J59" i="76"/>
  <c r="J53" i="76"/>
  <c r="J38" i="76"/>
  <c r="J43" i="76"/>
  <c r="J54" i="76"/>
  <c r="J50" i="76"/>
  <c r="J62" i="76"/>
  <c r="J37" i="76"/>
  <c r="J35" i="76"/>
  <c r="J44" i="76"/>
  <c r="J33" i="76"/>
  <c r="J31" i="76"/>
  <c r="J49" i="76"/>
  <c r="J42" i="76"/>
  <c r="J66" i="76"/>
  <c r="R20" i="55"/>
  <c r="R21" i="55"/>
  <c r="R19" i="56"/>
  <c r="V29" i="56"/>
  <c r="J33" i="56"/>
  <c r="V37" i="56"/>
  <c r="J45" i="56"/>
  <c r="V49" i="56"/>
  <c r="J53" i="56"/>
  <c r="V57" i="56"/>
  <c r="J61" i="56"/>
  <c r="V67" i="56"/>
  <c r="V69" i="56"/>
  <c r="V72" i="56"/>
  <c r="J40" i="57"/>
  <c r="J52" i="57"/>
  <c r="J38" i="58"/>
  <c r="R41" i="58"/>
  <c r="R42" i="58"/>
  <c r="J56" i="58"/>
  <c r="V36" i="59"/>
  <c r="F40" i="59"/>
  <c r="F41" i="59"/>
  <c r="J42" i="59"/>
  <c r="F48" i="59"/>
  <c r="F49" i="59"/>
  <c r="V52" i="59"/>
  <c r="R53" i="60"/>
  <c r="R50" i="60"/>
  <c r="R38" i="60"/>
  <c r="R37" i="60"/>
  <c r="R39" i="60"/>
  <c r="R28" i="60"/>
  <c r="R27" i="60"/>
  <c r="R41" i="60"/>
  <c r="R40" i="60"/>
  <c r="R32" i="60"/>
  <c r="R31" i="60"/>
  <c r="R36" i="60"/>
  <c r="R35" i="60"/>
  <c r="R19" i="60"/>
  <c r="F22" i="60"/>
  <c r="R26" i="60"/>
  <c r="J35" i="60"/>
  <c r="Z36" i="60"/>
  <c r="N38" i="60"/>
  <c r="J53" i="60"/>
  <c r="T16" i="61"/>
  <c r="N19" i="61"/>
  <c r="J30" i="61"/>
  <c r="N35" i="61"/>
  <c r="J16" i="64"/>
  <c r="Z18" i="64"/>
  <c r="N50" i="64"/>
  <c r="Z56" i="64"/>
  <c r="J88" i="64"/>
  <c r="J46" i="68"/>
  <c r="J36" i="68"/>
  <c r="J47" i="68"/>
  <c r="J37" i="68"/>
  <c r="J31" i="68"/>
  <c r="J38" i="68"/>
  <c r="J26" i="68"/>
  <c r="J22" i="68"/>
  <c r="J51" i="68"/>
  <c r="J49" i="68"/>
  <c r="J39" i="68"/>
  <c r="J44" i="68"/>
  <c r="J25" i="68"/>
  <c r="J20" i="68"/>
  <c r="J14" i="68"/>
  <c r="J55" i="68"/>
  <c r="J41" i="68"/>
  <c r="J23" i="68"/>
  <c r="J28" i="68"/>
  <c r="J16" i="68"/>
  <c r="J34" i="68"/>
  <c r="H16" i="68"/>
  <c r="J45" i="68"/>
  <c r="J42" i="68"/>
  <c r="J32" i="68"/>
  <c r="J29" i="68"/>
  <c r="J58" i="68"/>
  <c r="J35" i="68"/>
  <c r="J21" i="68"/>
  <c r="J18" i="68"/>
  <c r="J30" i="68"/>
  <c r="J27" i="68"/>
  <c r="J19" i="68"/>
  <c r="L12" i="68"/>
  <c r="J33" i="68"/>
  <c r="Z25" i="69"/>
  <c r="N29" i="69"/>
  <c r="R37" i="70"/>
  <c r="N12" i="55"/>
  <c r="R14" i="55"/>
  <c r="R16" i="55"/>
  <c r="R18" i="55"/>
  <c r="J28" i="55"/>
  <c r="R34" i="55"/>
  <c r="R37" i="55"/>
  <c r="V14" i="56"/>
  <c r="V16" i="56"/>
  <c r="V18" i="56"/>
  <c r="J22" i="56"/>
  <c r="R23" i="56"/>
  <c r="J26" i="56"/>
  <c r="R27" i="56"/>
  <c r="R28" i="56"/>
  <c r="J32" i="56"/>
  <c r="R35" i="56"/>
  <c r="R36" i="56"/>
  <c r="V38" i="56"/>
  <c r="J44" i="56"/>
  <c r="R47" i="56"/>
  <c r="J52" i="56"/>
  <c r="R55" i="56"/>
  <c r="J21" i="57"/>
  <c r="R22" i="57"/>
  <c r="J25" i="57"/>
  <c r="R26" i="57"/>
  <c r="J39" i="57"/>
  <c r="R42" i="57"/>
  <c r="R43" i="57"/>
  <c r="J51" i="57"/>
  <c r="J21" i="58"/>
  <c r="R22" i="58"/>
  <c r="J25" i="58"/>
  <c r="R26" i="58"/>
  <c r="J37" i="58"/>
  <c r="J49" i="58"/>
  <c r="R50" i="58"/>
  <c r="R51" i="58"/>
  <c r="J55" i="58"/>
  <c r="R58" i="58"/>
  <c r="R59" i="58"/>
  <c r="J19" i="59"/>
  <c r="V21" i="59"/>
  <c r="V25" i="59"/>
  <c r="J33" i="59"/>
  <c r="V37" i="59"/>
  <c r="J41" i="59"/>
  <c r="V45" i="59"/>
  <c r="J49" i="59"/>
  <c r="J57" i="59"/>
  <c r="J59" i="59"/>
  <c r="V28" i="60"/>
  <c r="V30" i="60"/>
  <c r="V41" i="60"/>
  <c r="V31" i="60"/>
  <c r="V46" i="60"/>
  <c r="V44" i="60"/>
  <c r="V42" i="60"/>
  <c r="V34" i="60"/>
  <c r="V53" i="60"/>
  <c r="V50" i="60"/>
  <c r="V48" i="60"/>
  <c r="V38" i="60"/>
  <c r="V14" i="60"/>
  <c r="V16" i="60"/>
  <c r="V18" i="60"/>
  <c r="J22" i="60"/>
  <c r="R23" i="60"/>
  <c r="F25" i="60"/>
  <c r="V26" i="60"/>
  <c r="F28" i="60"/>
  <c r="R30" i="60"/>
  <c r="J32" i="60"/>
  <c r="V36" i="60"/>
  <c r="J38" i="60"/>
  <c r="F40" i="60"/>
  <c r="X41" i="60"/>
  <c r="Z41" i="60" s="1"/>
  <c r="L44" i="60"/>
  <c r="L14" i="61"/>
  <c r="L37" i="61"/>
  <c r="N37" i="61" s="1"/>
  <c r="J36" i="64"/>
  <c r="L43" i="64"/>
  <c r="N43" i="64" s="1"/>
  <c r="J50" i="64"/>
  <c r="J70" i="64"/>
  <c r="J74" i="64"/>
  <c r="Z83" i="64"/>
  <c r="N12" i="68"/>
  <c r="P16" i="68"/>
  <c r="J53" i="68"/>
  <c r="N33" i="69"/>
  <c r="X13" i="70"/>
  <c r="Z13" i="70" s="1"/>
  <c r="T65" i="70"/>
  <c r="T12" i="71"/>
  <c r="R19" i="55"/>
  <c r="X12" i="56"/>
  <c r="V27" i="56"/>
  <c r="J31" i="56"/>
  <c r="V35" i="56"/>
  <c r="J43" i="56"/>
  <c r="V47" i="56"/>
  <c r="R63" i="56"/>
  <c r="J30" i="57"/>
  <c r="R31" i="57"/>
  <c r="J38" i="57"/>
  <c r="R54" i="57"/>
  <c r="J30" i="58"/>
  <c r="R31" i="58"/>
  <c r="J36" i="58"/>
  <c r="R39" i="58"/>
  <c r="J48" i="58"/>
  <c r="J54" i="58"/>
  <c r="J68" i="58"/>
  <c r="F23" i="59"/>
  <c r="F27" i="59"/>
  <c r="V30" i="59"/>
  <c r="V34" i="59"/>
  <c r="F39" i="59"/>
  <c r="J40" i="59"/>
  <c r="F47" i="59"/>
  <c r="F54" i="59"/>
  <c r="X12" i="60"/>
  <c r="V19" i="60"/>
  <c r="V23" i="60"/>
  <c r="J25" i="60"/>
  <c r="R29" i="60"/>
  <c r="Z30" i="60"/>
  <c r="J40" i="60"/>
  <c r="X44" i="60"/>
  <c r="R48" i="60"/>
  <c r="L18" i="61"/>
  <c r="N18" i="61" s="1"/>
  <c r="R32" i="61"/>
  <c r="R35" i="61"/>
  <c r="L40" i="61"/>
  <c r="N40" i="61" s="1"/>
  <c r="D47" i="61"/>
  <c r="J51" i="61"/>
  <c r="P16" i="64"/>
  <c r="J43" i="68"/>
  <c r="Z44" i="68"/>
  <c r="X33" i="69"/>
  <c r="Z33" i="69" s="1"/>
  <c r="R30" i="64"/>
  <c r="V37" i="64"/>
  <c r="F42" i="64"/>
  <c r="V45" i="64"/>
  <c r="V57" i="64"/>
  <c r="F62" i="64"/>
  <c r="V65" i="64"/>
  <c r="F74" i="64"/>
  <c r="V77" i="64"/>
  <c r="F82" i="64"/>
  <c r="N87" i="64"/>
  <c r="R92" i="64"/>
  <c r="F45" i="68"/>
  <c r="F44" i="68"/>
  <c r="F25" i="68"/>
  <c r="F21" i="68"/>
  <c r="F36" i="68"/>
  <c r="F35" i="68"/>
  <c r="F47" i="68"/>
  <c r="F46" i="68"/>
  <c r="F31" i="68"/>
  <c r="F38" i="68"/>
  <c r="F37" i="68"/>
  <c r="F26" i="68"/>
  <c r="F22" i="68"/>
  <c r="F19" i="68"/>
  <c r="F40" i="68"/>
  <c r="F43" i="68"/>
  <c r="F53" i="68"/>
  <c r="D12" i="69"/>
  <c r="L15" i="69"/>
  <c r="N15" i="69" s="1"/>
  <c r="Z16" i="69"/>
  <c r="L27" i="69"/>
  <c r="Z28" i="69"/>
  <c r="L84" i="69"/>
  <c r="L16" i="70"/>
  <c r="N23" i="70"/>
  <c r="X38" i="70"/>
  <c r="J45" i="70"/>
  <c r="J48" i="70"/>
  <c r="Z53" i="70"/>
  <c r="D12" i="71"/>
  <c r="L13" i="71"/>
  <c r="L53" i="71"/>
  <c r="N53" i="71" s="1"/>
  <c r="X71" i="71"/>
  <c r="Z71" i="71" s="1"/>
  <c r="N16" i="70"/>
  <c r="Z38" i="70"/>
  <c r="N42" i="70"/>
  <c r="P12" i="71"/>
  <c r="X13" i="71"/>
  <c r="Z13" i="71" s="1"/>
  <c r="X35" i="71"/>
  <c r="Z35" i="71" s="1"/>
  <c r="T69" i="74"/>
  <c r="N65" i="77"/>
  <c r="F28" i="61"/>
  <c r="F29" i="61"/>
  <c r="V40" i="61"/>
  <c r="T16" i="64"/>
  <c r="R19" i="64"/>
  <c r="F22" i="64"/>
  <c r="F26" i="64"/>
  <c r="V29" i="64"/>
  <c r="V33" i="64"/>
  <c r="R42" i="64"/>
  <c r="R43" i="64"/>
  <c r="V53" i="64"/>
  <c r="R62" i="64"/>
  <c r="F66" i="64"/>
  <c r="V69" i="64"/>
  <c r="R74" i="64"/>
  <c r="R82" i="64"/>
  <c r="R83" i="64"/>
  <c r="V87" i="64"/>
  <c r="F29" i="68"/>
  <c r="N39" i="68"/>
  <c r="L23" i="69"/>
  <c r="Z24" i="69"/>
  <c r="N52" i="69"/>
  <c r="Z66" i="69"/>
  <c r="L74" i="69"/>
  <c r="N74" i="69" s="1"/>
  <c r="F28" i="70"/>
  <c r="F24" i="70"/>
  <c r="F23" i="70"/>
  <c r="F51" i="70"/>
  <c r="F50" i="70"/>
  <c r="F39" i="70"/>
  <c r="F38" i="70"/>
  <c r="F22" i="70"/>
  <c r="F58" i="70"/>
  <c r="F34" i="70"/>
  <c r="D20" i="70"/>
  <c r="F20" i="70" s="1"/>
  <c r="F41" i="70"/>
  <c r="F40" i="70"/>
  <c r="F29" i="70"/>
  <c r="F25" i="70"/>
  <c r="F52" i="70"/>
  <c r="F59" i="70"/>
  <c r="F43" i="70"/>
  <c r="F42" i="70"/>
  <c r="F35" i="70"/>
  <c r="F56" i="70"/>
  <c r="F55" i="70"/>
  <c r="F36" i="70"/>
  <c r="L12" i="70"/>
  <c r="N12" i="70" s="1"/>
  <c r="J18" i="70"/>
  <c r="V25" i="70"/>
  <c r="V37" i="70"/>
  <c r="V40" i="70"/>
  <c r="V52" i="70"/>
  <c r="F54" i="70"/>
  <c r="L60" i="70"/>
  <c r="N60" i="70" s="1"/>
  <c r="Z19" i="71"/>
  <c r="Z21" i="71"/>
  <c r="Z53" i="71"/>
  <c r="X53" i="71"/>
  <c r="N16" i="73"/>
  <c r="Z13" i="74"/>
  <c r="L16" i="74"/>
  <c r="D12" i="74"/>
  <c r="X20" i="77"/>
  <c r="V25" i="61"/>
  <c r="F33" i="61"/>
  <c r="F34" i="61"/>
  <c r="V14" i="64"/>
  <c r="V16" i="64"/>
  <c r="V18" i="64"/>
  <c r="R23" i="64"/>
  <c r="R27" i="64"/>
  <c r="R28" i="64"/>
  <c r="F31" i="64"/>
  <c r="V34" i="64"/>
  <c r="F38" i="64"/>
  <c r="F39" i="64"/>
  <c r="V42" i="64"/>
  <c r="F46" i="64"/>
  <c r="F47" i="64"/>
  <c r="R51" i="64"/>
  <c r="R52" i="64"/>
  <c r="V54" i="64"/>
  <c r="F58" i="64"/>
  <c r="F59" i="64"/>
  <c r="V62" i="64"/>
  <c r="R67" i="64"/>
  <c r="R68" i="64"/>
  <c r="V70" i="64"/>
  <c r="V74" i="64"/>
  <c r="F78" i="64"/>
  <c r="F79" i="64"/>
  <c r="V82" i="64"/>
  <c r="V88" i="64"/>
  <c r="V90" i="64"/>
  <c r="F94" i="64"/>
  <c r="F97" i="64"/>
  <c r="D16" i="68"/>
  <c r="F32" i="68"/>
  <c r="F42" i="68"/>
  <c r="F51" i="68"/>
  <c r="N23" i="69"/>
  <c r="J51" i="70"/>
  <c r="J39" i="70"/>
  <c r="H20" i="70"/>
  <c r="J58" i="70"/>
  <c r="J40" i="70"/>
  <c r="J34" i="70"/>
  <c r="J41" i="70"/>
  <c r="J29" i="70"/>
  <c r="J25" i="70"/>
  <c r="J52" i="70"/>
  <c r="J42" i="70"/>
  <c r="J59" i="70"/>
  <c r="J53" i="70"/>
  <c r="J43" i="70"/>
  <c r="J35" i="70"/>
  <c r="J60" i="70"/>
  <c r="J54" i="70"/>
  <c r="J44" i="70"/>
  <c r="J30" i="70"/>
  <c r="J26" i="70"/>
  <c r="J16" i="70"/>
  <c r="J63" i="70"/>
  <c r="J47" i="70"/>
  <c r="J31" i="70"/>
  <c r="J27" i="70"/>
  <c r="V16" i="70"/>
  <c r="Z23" i="70"/>
  <c r="V33" i="70"/>
  <c r="J56" i="70"/>
  <c r="N82" i="71"/>
  <c r="Z20" i="77"/>
  <c r="V67" i="64"/>
  <c r="F72" i="64"/>
  <c r="V83" i="64"/>
  <c r="F34" i="68"/>
  <c r="V42" i="70"/>
  <c r="J49" i="70"/>
  <c r="F32" i="61"/>
  <c r="V49" i="61"/>
  <c r="V51" i="61"/>
  <c r="V54" i="61"/>
  <c r="Z12" i="64"/>
  <c r="F21" i="64"/>
  <c r="F25" i="64"/>
  <c r="V28" i="64"/>
  <c r="V32" i="64"/>
  <c r="F36" i="64"/>
  <c r="F37" i="64"/>
  <c r="R41" i="64"/>
  <c r="F45" i="64"/>
  <c r="R49" i="64"/>
  <c r="R50" i="64"/>
  <c r="V52" i="64"/>
  <c r="F56" i="64"/>
  <c r="F57" i="64"/>
  <c r="R61" i="64"/>
  <c r="F64" i="64"/>
  <c r="F65" i="64"/>
  <c r="V68" i="64"/>
  <c r="R73" i="64"/>
  <c r="F76" i="64"/>
  <c r="F77" i="64"/>
  <c r="R81" i="64"/>
  <c r="F86" i="64"/>
  <c r="F28" i="68"/>
  <c r="L29" i="68"/>
  <c r="N29" i="68" s="1"/>
  <c r="F41" i="68"/>
  <c r="L49" i="68"/>
  <c r="F55" i="68"/>
  <c r="X68" i="69"/>
  <c r="X72" i="69"/>
  <c r="Z72" i="69" s="1"/>
  <c r="N14" i="70"/>
  <c r="X22" i="70"/>
  <c r="J24" i="70"/>
  <c r="Z42" i="70"/>
  <c r="V44" i="70"/>
  <c r="F46" i="70"/>
  <c r="Z50" i="70"/>
  <c r="V58" i="70"/>
  <c r="F63" i="70"/>
  <c r="J67" i="70"/>
  <c r="N16" i="71"/>
  <c r="N33" i="71"/>
  <c r="N27" i="75"/>
  <c r="N48" i="79"/>
  <c r="L48" i="79"/>
  <c r="V20" i="61"/>
  <c r="V24" i="61"/>
  <c r="V36" i="61"/>
  <c r="F40" i="61"/>
  <c r="F41" i="61"/>
  <c r="D16" i="64"/>
  <c r="R22" i="64"/>
  <c r="R26" i="64"/>
  <c r="F30" i="64"/>
  <c r="V41" i="64"/>
  <c r="V49" i="64"/>
  <c r="V61" i="64"/>
  <c r="R66" i="64"/>
  <c r="V73" i="64"/>
  <c r="V81" i="64"/>
  <c r="F87" i="64"/>
  <c r="F92" i="64"/>
  <c r="F14" i="68"/>
  <c r="F23" i="68"/>
  <c r="N41" i="68"/>
  <c r="F49" i="68"/>
  <c r="L19" i="69"/>
  <c r="Z20" i="69"/>
  <c r="L31" i="69"/>
  <c r="N31" i="69" s="1"/>
  <c r="Z32" i="69"/>
  <c r="J32" i="70"/>
  <c r="J36" i="70"/>
  <c r="N97" i="71"/>
  <c r="F88" i="64"/>
  <c r="F90" i="64"/>
  <c r="X29" i="68"/>
  <c r="Z29" i="68" s="1"/>
  <c r="N19" i="69"/>
  <c r="Z68" i="69"/>
  <c r="V59" i="70"/>
  <c r="V55" i="70"/>
  <c r="V43" i="70"/>
  <c r="V35" i="70"/>
  <c r="V54" i="70"/>
  <c r="V46" i="70"/>
  <c r="V30" i="70"/>
  <c r="V26" i="70"/>
  <c r="V65" i="70"/>
  <c r="V63" i="70"/>
  <c r="V61" i="70"/>
  <c r="V45" i="70"/>
  <c r="V17" i="70"/>
  <c r="V56" i="70"/>
  <c r="V48" i="70"/>
  <c r="V36" i="70"/>
  <c r="V32" i="70"/>
  <c r="Z12" i="70"/>
  <c r="V47" i="70"/>
  <c r="V31" i="70"/>
  <c r="V27" i="70"/>
  <c r="V23" i="70"/>
  <c r="V50" i="70"/>
  <c r="V38" i="70"/>
  <c r="V22" i="70"/>
  <c r="V20" i="70"/>
  <c r="V18" i="70"/>
  <c r="V51" i="70"/>
  <c r="V39" i="70"/>
  <c r="Z22" i="70"/>
  <c r="V28" i="70"/>
  <c r="V49" i="70"/>
  <c r="V60" i="70"/>
  <c r="Z48" i="73"/>
  <c r="L23" i="75"/>
  <c r="N23" i="75" s="1"/>
  <c r="V14" i="61"/>
  <c r="V16" i="61"/>
  <c r="V18" i="61"/>
  <c r="F31" i="61"/>
  <c r="F19" i="64"/>
  <c r="F20" i="64"/>
  <c r="F24" i="64"/>
  <c r="V31" i="64"/>
  <c r="V39" i="64"/>
  <c r="F43" i="64"/>
  <c r="F44" i="64"/>
  <c r="V47" i="64"/>
  <c r="V59" i="64"/>
  <c r="F83" i="64"/>
  <c r="Z35" i="68"/>
  <c r="X38" i="69"/>
  <c r="Z38" i="69" s="1"/>
  <c r="X14" i="70"/>
  <c r="Z14" i="70" s="1"/>
  <c r="J17" i="70"/>
  <c r="V24" i="70"/>
  <c r="V41" i="70"/>
  <c r="F48" i="70"/>
  <c r="N53" i="70"/>
  <c r="N55" i="70"/>
  <c r="J57" i="70"/>
  <c r="V67" i="70"/>
  <c r="Z14" i="71"/>
  <c r="Z18" i="71"/>
  <c r="Z20" i="71"/>
  <c r="N24" i="71"/>
  <c r="Z29" i="71"/>
  <c r="Z31" i="71"/>
  <c r="Z33" i="71"/>
  <c r="L15" i="75"/>
  <c r="N15" i="75" s="1"/>
  <c r="J52" i="79"/>
  <c r="J20" i="79"/>
  <c r="J57" i="79"/>
  <c r="J51" i="79"/>
  <c r="J42" i="79"/>
  <c r="J34" i="79"/>
  <c r="J43" i="79"/>
  <c r="J35" i="79"/>
  <c r="J40" i="79"/>
  <c r="J30" i="79"/>
  <c r="H24" i="79"/>
  <c r="J47" i="79"/>
  <c r="J26" i="79"/>
  <c r="N12" i="79"/>
  <c r="J44" i="79"/>
  <c r="J37" i="79"/>
  <c r="J27" i="79"/>
  <c r="J17" i="79"/>
  <c r="J53" i="79"/>
  <c r="J31" i="79"/>
  <c r="J21" i="79"/>
  <c r="J18" i="79"/>
  <c r="J32" i="79"/>
  <c r="J19" i="79"/>
  <c r="J49" i="79"/>
  <c r="J46" i="79"/>
  <c r="J22" i="79"/>
  <c r="J33" i="79"/>
  <c r="J41" i="79"/>
  <c r="J39" i="79"/>
  <c r="J29" i="79"/>
  <c r="J45" i="79"/>
  <c r="J38" i="79"/>
  <c r="J36" i="79"/>
  <c r="J28" i="79"/>
  <c r="J24" i="79"/>
  <c r="X22" i="71"/>
  <c r="Z22" i="71" s="1"/>
  <c r="N27" i="71"/>
  <c r="Z28" i="71"/>
  <c r="N85" i="71"/>
  <c r="N25" i="73"/>
  <c r="Z26" i="73"/>
  <c r="N54" i="73"/>
  <c r="N56" i="73"/>
  <c r="L62" i="73"/>
  <c r="N62" i="73" s="1"/>
  <c r="Z17" i="74"/>
  <c r="L47" i="74"/>
  <c r="N47" i="74" s="1"/>
  <c r="L56" i="74"/>
  <c r="N19" i="75"/>
  <c r="X49" i="75"/>
  <c r="Z49" i="75" s="1"/>
  <c r="D79" i="77"/>
  <c r="L79" i="77" s="1"/>
  <c r="L81" i="77"/>
  <c r="N42" i="73"/>
  <c r="N14" i="74"/>
  <c r="N16" i="74"/>
  <c r="Z25" i="74"/>
  <c r="N56" i="74"/>
  <c r="N58" i="75"/>
  <c r="N15" i="71"/>
  <c r="Z16" i="71"/>
  <c r="N29" i="71"/>
  <c r="Z85" i="71"/>
  <c r="H12" i="73"/>
  <c r="L13" i="73"/>
  <c r="N13" i="73" s="1"/>
  <c r="Z19" i="73"/>
  <c r="N44" i="73"/>
  <c r="Z54" i="73"/>
  <c r="Z56" i="73"/>
  <c r="Z60" i="73"/>
  <c r="H12" i="74"/>
  <c r="N18" i="74"/>
  <c r="N20" i="74"/>
  <c r="Z29" i="74"/>
  <c r="Z60" i="74"/>
  <c r="X60" i="74"/>
  <c r="Z19" i="76"/>
  <c r="F64" i="84"/>
  <c r="F36" i="84"/>
  <c r="L12" i="84"/>
  <c r="F47" i="84"/>
  <c r="F46" i="84"/>
  <c r="F31" i="84"/>
  <c r="F27" i="84"/>
  <c r="F58" i="84"/>
  <c r="F38" i="84"/>
  <c r="F37" i="84"/>
  <c r="F18" i="84"/>
  <c r="F65" i="84"/>
  <c r="F49" i="84"/>
  <c r="F48" i="84"/>
  <c r="F33" i="84"/>
  <c r="F32" i="84"/>
  <c r="F40" i="84"/>
  <c r="F39" i="84"/>
  <c r="F28" i="84"/>
  <c r="F24" i="84"/>
  <c r="F23" i="84"/>
  <c r="F67" i="84"/>
  <c r="F66" i="84"/>
  <c r="F59" i="84"/>
  <c r="F51" i="84"/>
  <c r="F50" i="84"/>
  <c r="F22" i="84"/>
  <c r="F20" i="84"/>
  <c r="F42" i="84"/>
  <c r="F41" i="84"/>
  <c r="F34" i="84"/>
  <c r="D20" i="84"/>
  <c r="F44" i="84"/>
  <c r="F43" i="84"/>
  <c r="F71" i="84"/>
  <c r="F30" i="84"/>
  <c r="F26" i="84"/>
  <c r="F62" i="84"/>
  <c r="F56" i="84"/>
  <c r="F54" i="84"/>
  <c r="F35" i="84"/>
  <c r="F68" i="84"/>
  <c r="F52" i="84"/>
  <c r="F60" i="84"/>
  <c r="F25" i="84"/>
  <c r="F75" i="84"/>
  <c r="F69" i="84"/>
  <c r="F57" i="84"/>
  <c r="F55" i="84"/>
  <c r="F53" i="84"/>
  <c r="F16" i="84"/>
  <c r="F61" i="84"/>
  <c r="F45" i="84"/>
  <c r="F29" i="84"/>
  <c r="F17" i="84"/>
  <c r="F63" i="84"/>
  <c r="X27" i="71"/>
  <c r="Z27" i="71" s="1"/>
  <c r="L32" i="71"/>
  <c r="N32" i="71" s="1"/>
  <c r="N99" i="71"/>
  <c r="P12" i="73"/>
  <c r="Z40" i="73"/>
  <c r="N46" i="73"/>
  <c r="Z62" i="73"/>
  <c r="V61" i="74"/>
  <c r="V64" i="74"/>
  <c r="V71" i="74"/>
  <c r="V67" i="74"/>
  <c r="V63" i="74"/>
  <c r="V54" i="74"/>
  <c r="V50" i="74"/>
  <c r="V60" i="74"/>
  <c r="V59" i="74"/>
  <c r="V41" i="74"/>
  <c r="V37" i="74"/>
  <c r="V33" i="74"/>
  <c r="V55" i="74"/>
  <c r="V51" i="74"/>
  <c r="V69" i="74"/>
  <c r="V42" i="74"/>
  <c r="V38" i="74"/>
  <c r="V34" i="74"/>
  <c r="V57" i="74"/>
  <c r="V52" i="74"/>
  <c r="V48" i="74"/>
  <c r="V47" i="74"/>
  <c r="V45" i="74"/>
  <c r="V43" i="74"/>
  <c r="V39" i="74"/>
  <c r="V35" i="74"/>
  <c r="V31" i="74"/>
  <c r="V65" i="74"/>
  <c r="V62" i="74"/>
  <c r="N22" i="74"/>
  <c r="N24" i="74"/>
  <c r="Z47" i="74"/>
  <c r="Z56" i="74"/>
  <c r="N79" i="77"/>
  <c r="R19" i="68"/>
  <c r="V29" i="68"/>
  <c r="V33" i="68"/>
  <c r="R42" i="68"/>
  <c r="R55" i="68"/>
  <c r="R58" i="68"/>
  <c r="X18" i="71"/>
  <c r="N23" i="71"/>
  <c r="Z24" i="71"/>
  <c r="N63" i="71"/>
  <c r="N69" i="71"/>
  <c r="Z87" i="71"/>
  <c r="X97" i="71"/>
  <c r="Z97" i="71" s="1"/>
  <c r="T12" i="73"/>
  <c r="X15" i="73"/>
  <c r="Z15" i="73" s="1"/>
  <c r="Z42" i="73"/>
  <c r="X56" i="73"/>
  <c r="X14" i="74"/>
  <c r="N26" i="74"/>
  <c r="N28" i="74"/>
  <c r="N31" i="74"/>
  <c r="V49" i="74"/>
  <c r="V56" i="74"/>
  <c r="D12" i="81"/>
  <c r="L13" i="81"/>
  <c r="V14" i="68"/>
  <c r="V16" i="68"/>
  <c r="V18" i="68"/>
  <c r="R23" i="68"/>
  <c r="R27" i="68"/>
  <c r="V42" i="68"/>
  <c r="R53" i="68"/>
  <c r="N17" i="71"/>
  <c r="N76" i="71"/>
  <c r="Z91" i="71"/>
  <c r="L17" i="73"/>
  <c r="N17" i="73" s="1"/>
  <c r="Z44" i="73"/>
  <c r="N48" i="73"/>
  <c r="Z14" i="74"/>
  <c r="X18" i="74"/>
  <c r="Z18" i="74" s="1"/>
  <c r="X16" i="75"/>
  <c r="Z16" i="75" s="1"/>
  <c r="P12" i="75"/>
  <c r="X26" i="75"/>
  <c r="Z26" i="75" s="1"/>
  <c r="X12" i="68"/>
  <c r="V19" i="68"/>
  <c r="V23" i="68"/>
  <c r="V27" i="68"/>
  <c r="R32" i="68"/>
  <c r="R40" i="68"/>
  <c r="V53" i="68"/>
  <c r="V55" i="68"/>
  <c r="V58" i="68"/>
  <c r="X15" i="71"/>
  <c r="Z15" i="71" s="1"/>
  <c r="L20" i="71"/>
  <c r="N20" i="71" s="1"/>
  <c r="X26" i="71"/>
  <c r="Z26" i="71" s="1"/>
  <c r="N31" i="71"/>
  <c r="Z32" i="71"/>
  <c r="Z82" i="71"/>
  <c r="X87" i="71"/>
  <c r="X99" i="71"/>
  <c r="Z99" i="71" s="1"/>
  <c r="F59" i="73"/>
  <c r="F51" i="73"/>
  <c r="F50" i="73"/>
  <c r="F39" i="73"/>
  <c r="F34" i="73"/>
  <c r="F30" i="73"/>
  <c r="F61" i="73"/>
  <c r="F60" i="73"/>
  <c r="F53" i="73"/>
  <c r="F52" i="73"/>
  <c r="F41" i="73"/>
  <c r="F40" i="73"/>
  <c r="F21" i="73"/>
  <c r="F63" i="73"/>
  <c r="F62" i="73"/>
  <c r="F55" i="73"/>
  <c r="F54" i="73"/>
  <c r="F43" i="73"/>
  <c r="F42" i="73"/>
  <c r="F31" i="73"/>
  <c r="F27" i="73"/>
  <c r="F26" i="73"/>
  <c r="F25" i="73"/>
  <c r="F57" i="73"/>
  <c r="F56" i="73"/>
  <c r="F45" i="73"/>
  <c r="F44" i="73"/>
  <c r="F37" i="73"/>
  <c r="D23" i="73"/>
  <c r="F65" i="73"/>
  <c r="F69" i="73"/>
  <c r="F47" i="73"/>
  <c r="F46" i="73"/>
  <c r="N50" i="73"/>
  <c r="X22" i="74"/>
  <c r="Z22" i="74" s="1"/>
  <c r="Z20" i="75"/>
  <c r="N49" i="76"/>
  <c r="L49" i="76"/>
  <c r="T12" i="77"/>
  <c r="V32" i="68"/>
  <c r="N25" i="71"/>
  <c r="Z63" i="71"/>
  <c r="N71" i="71"/>
  <c r="X76" i="71"/>
  <c r="Z76" i="71" s="1"/>
  <c r="N14" i="73"/>
  <c r="Z17" i="73"/>
  <c r="L26" i="73"/>
  <c r="N26" i="73" s="1"/>
  <c r="X44" i="73"/>
  <c r="X48" i="73"/>
  <c r="Z31" i="74"/>
  <c r="X14" i="75"/>
  <c r="Z14" i="75" s="1"/>
  <c r="T12" i="75"/>
  <c r="Z18" i="75"/>
  <c r="N22" i="75"/>
  <c r="Z47" i="76"/>
  <c r="N53" i="76"/>
  <c r="Z22" i="77"/>
  <c r="Z79" i="77"/>
  <c r="H12" i="81"/>
  <c r="N13" i="81"/>
  <c r="Z23" i="84"/>
  <c r="X23" i="84"/>
  <c r="X17" i="85"/>
  <c r="Z17" i="85"/>
  <c r="D12" i="75"/>
  <c r="N24" i="75"/>
  <c r="L16" i="76"/>
  <c r="N16" i="76" s="1"/>
  <c r="L18" i="76"/>
  <c r="N18" i="76" s="1"/>
  <c r="Z49" i="76"/>
  <c r="L21" i="77"/>
  <c r="Z63" i="77"/>
  <c r="N69" i="77"/>
  <c r="N71" i="77"/>
  <c r="F21" i="79"/>
  <c r="V24" i="79"/>
  <c r="Z27" i="79"/>
  <c r="L45" i="81"/>
  <c r="N45" i="81" s="1"/>
  <c r="N64" i="74"/>
  <c r="Z87" i="75"/>
  <c r="N21" i="77"/>
  <c r="Z32" i="77"/>
  <c r="V53" i="80"/>
  <c r="V45" i="80"/>
  <c r="V33" i="80"/>
  <c r="V29" i="80"/>
  <c r="T20" i="80"/>
  <c r="V20" i="80" s="1"/>
  <c r="V52" i="80"/>
  <c r="V36" i="80"/>
  <c r="V28" i="80"/>
  <c r="V24" i="80"/>
  <c r="V55" i="80"/>
  <c r="V47" i="80"/>
  <c r="V35" i="80"/>
  <c r="V54" i="80"/>
  <c r="V38" i="80"/>
  <c r="V30" i="80"/>
  <c r="V49" i="80"/>
  <c r="V37" i="80"/>
  <c r="V25" i="80"/>
  <c r="V58" i="80"/>
  <c r="V56" i="80"/>
  <c r="V41" i="80"/>
  <c r="V17" i="80"/>
  <c r="V62" i="80"/>
  <c r="V50" i="80"/>
  <c r="V42" i="80"/>
  <c r="V39" i="80"/>
  <c r="V48" i="80"/>
  <c r="V40" i="80"/>
  <c r="V31" i="80"/>
  <c r="V26" i="80"/>
  <c r="V22" i="80"/>
  <c r="V16" i="80"/>
  <c r="V44" i="80"/>
  <c r="V32" i="80"/>
  <c r="V27" i="80"/>
  <c r="V23" i="80"/>
  <c r="V18" i="80"/>
  <c r="T12" i="85"/>
  <c r="X13" i="85"/>
  <c r="Z13" i="85"/>
  <c r="L60" i="74"/>
  <c r="N60" i="74" s="1"/>
  <c r="L14" i="75"/>
  <c r="N14" i="75" s="1"/>
  <c r="L19" i="75"/>
  <c r="X22" i="75"/>
  <c r="Z22" i="75" s="1"/>
  <c r="L26" i="75"/>
  <c r="N63" i="75"/>
  <c r="X69" i="75"/>
  <c r="D12" i="76"/>
  <c r="L13" i="76"/>
  <c r="N13" i="76" s="1"/>
  <c r="N20" i="76"/>
  <c r="Z53" i="76"/>
  <c r="P12" i="77"/>
  <c r="X14" i="77"/>
  <c r="N23" i="77"/>
  <c r="Z24" i="77"/>
  <c r="X65" i="77"/>
  <c r="Z65" i="77" s="1"/>
  <c r="X71" i="77"/>
  <c r="N41" i="81"/>
  <c r="L43" i="81"/>
  <c r="N43" i="81" s="1"/>
  <c r="V18" i="83"/>
  <c r="V25" i="83"/>
  <c r="V23" i="83"/>
  <c r="V21" i="83"/>
  <c r="V19" i="83"/>
  <c r="T21" i="83"/>
  <c r="V17" i="83"/>
  <c r="V29" i="83"/>
  <c r="Z15" i="83"/>
  <c r="X64" i="74"/>
  <c r="Z64" i="74" s="1"/>
  <c r="H12" i="75"/>
  <c r="N26" i="75"/>
  <c r="L58" i="75"/>
  <c r="L71" i="75"/>
  <c r="N71" i="75" s="1"/>
  <c r="N82" i="75"/>
  <c r="X62" i="76"/>
  <c r="Z14" i="77"/>
  <c r="Z69" i="77"/>
  <c r="Z71" i="77"/>
  <c r="P51" i="79"/>
  <c r="X52" i="79"/>
  <c r="N28" i="75"/>
  <c r="Z69" i="75"/>
  <c r="P12" i="76"/>
  <c r="X13" i="76"/>
  <c r="D12" i="77"/>
  <c r="L13" i="77"/>
  <c r="L25" i="77"/>
  <c r="X28" i="77"/>
  <c r="L14" i="79"/>
  <c r="V43" i="80"/>
  <c r="T12" i="76"/>
  <c r="Z13" i="76"/>
  <c r="Z62" i="76"/>
  <c r="H12" i="77"/>
  <c r="N13" i="77"/>
  <c r="N25" i="77"/>
  <c r="Z28" i="77"/>
  <c r="F49" i="79"/>
  <c r="F48" i="79"/>
  <c r="F41" i="79"/>
  <c r="F40" i="79"/>
  <c r="F33" i="79"/>
  <c r="F29" i="79"/>
  <c r="F53" i="79"/>
  <c r="F20" i="79"/>
  <c r="F57" i="79"/>
  <c r="F52" i="79"/>
  <c r="F51" i="79"/>
  <c r="F42" i="79"/>
  <c r="F34" i="79"/>
  <c r="F39" i="79"/>
  <c r="F36" i="79"/>
  <c r="F43" i="79"/>
  <c r="F30" i="79"/>
  <c r="F47" i="79"/>
  <c r="D24" i="79"/>
  <c r="F24" i="79" s="1"/>
  <c r="L12" i="79"/>
  <c r="F44" i="79"/>
  <c r="F37" i="79"/>
  <c r="F26" i="79"/>
  <c r="F28" i="79"/>
  <c r="F45" i="79"/>
  <c r="F38" i="79"/>
  <c r="F35" i="79"/>
  <c r="F32" i="79"/>
  <c r="F19" i="79"/>
  <c r="F46" i="79"/>
  <c r="N14" i="79"/>
  <c r="F22" i="79"/>
  <c r="N43" i="79"/>
  <c r="X13" i="73"/>
  <c r="Z13" i="73" s="1"/>
  <c r="X56" i="74"/>
  <c r="N49" i="75"/>
  <c r="L65" i="75"/>
  <c r="N65" i="75" s="1"/>
  <c r="L76" i="75"/>
  <c r="N76" i="75" s="1"/>
  <c r="L84" i="75"/>
  <c r="N84" i="75" s="1"/>
  <c r="L43" i="76"/>
  <c r="N43" i="76" s="1"/>
  <c r="N61" i="76"/>
  <c r="N15" i="77"/>
  <c r="Z16" i="77"/>
  <c r="N27" i="77"/>
  <c r="Z30" i="77"/>
  <c r="V44" i="79"/>
  <c r="V36" i="79"/>
  <c r="V31" i="79"/>
  <c r="V27" i="79"/>
  <c r="V46" i="79"/>
  <c r="V38" i="79"/>
  <c r="V37" i="79"/>
  <c r="V57" i="79"/>
  <c r="V48" i="79"/>
  <c r="V41" i="79"/>
  <c r="V34" i="79"/>
  <c r="V45" i="79"/>
  <c r="V28" i="79"/>
  <c r="V21" i="79"/>
  <c r="V35" i="79"/>
  <c r="V32" i="79"/>
  <c r="V19" i="79"/>
  <c r="V40" i="79"/>
  <c r="T24" i="79"/>
  <c r="V43" i="79"/>
  <c r="V33" i="79"/>
  <c r="V26" i="79"/>
  <c r="V52" i="79"/>
  <c r="V30" i="79"/>
  <c r="V20" i="79"/>
  <c r="V17" i="79"/>
  <c r="V53" i="79"/>
  <c r="V47" i="79"/>
  <c r="P12" i="79"/>
  <c r="N18" i="75"/>
  <c r="N31" i="75"/>
  <c r="X58" i="75"/>
  <c r="Z58" i="75" s="1"/>
  <c r="Z71" i="75"/>
  <c r="Z82" i="75"/>
  <c r="Z15" i="76"/>
  <c r="X17" i="76"/>
  <c r="Z18" i="77"/>
  <c r="L29" i="77"/>
  <c r="N76" i="77"/>
  <c r="N82" i="77"/>
  <c r="Z14" i="79"/>
  <c r="Z17" i="79"/>
  <c r="L55" i="80"/>
  <c r="N37" i="81"/>
  <c r="X65" i="75"/>
  <c r="Z65" i="75" s="1"/>
  <c r="Z17" i="76"/>
  <c r="X43" i="76"/>
  <c r="Z43" i="76" s="1"/>
  <c r="T61" i="76"/>
  <c r="L17" i="77"/>
  <c r="N17" i="77" s="1"/>
  <c r="V22" i="79"/>
  <c r="F31" i="79"/>
  <c r="P12" i="85"/>
  <c r="N29" i="80"/>
  <c r="L46" i="80"/>
  <c r="N46" i="80" s="1"/>
  <c r="Z58" i="80"/>
  <c r="X58" i="80"/>
  <c r="V67" i="81"/>
  <c r="V65" i="81"/>
  <c r="V53" i="81"/>
  <c r="V41" i="81"/>
  <c r="V33" i="81"/>
  <c r="T20" i="81"/>
  <c r="V52" i="81"/>
  <c r="V40" i="81"/>
  <c r="V28" i="81"/>
  <c r="V24" i="81"/>
  <c r="V59" i="81"/>
  <c r="V43" i="81"/>
  <c r="V54" i="81"/>
  <c r="V42" i="81"/>
  <c r="V34" i="81"/>
  <c r="V71" i="81"/>
  <c r="V45" i="81"/>
  <c r="V29" i="81"/>
  <c r="V25" i="81"/>
  <c r="V60" i="81"/>
  <c r="V44" i="81"/>
  <c r="V16" i="81"/>
  <c r="V55" i="81"/>
  <c r="V47" i="81"/>
  <c r="V35" i="81"/>
  <c r="V61" i="81"/>
  <c r="V57" i="81"/>
  <c r="V49" i="81"/>
  <c r="V37" i="81"/>
  <c r="V17" i="81"/>
  <c r="V63" i="81"/>
  <c r="V51" i="81"/>
  <c r="N23" i="81"/>
  <c r="V30" i="81"/>
  <c r="V36" i="81"/>
  <c r="V38" i="81"/>
  <c r="F29" i="83"/>
  <c r="D21" i="83"/>
  <c r="F18" i="83"/>
  <c r="F17" i="83"/>
  <c r="F19" i="83"/>
  <c r="N22" i="84"/>
  <c r="V50" i="84"/>
  <c r="Z27" i="85"/>
  <c r="F33" i="85"/>
  <c r="F50" i="85"/>
  <c r="L62" i="76"/>
  <c r="N62" i="76" s="1"/>
  <c r="Z26" i="79"/>
  <c r="L35" i="79"/>
  <c r="T51" i="79"/>
  <c r="N34" i="80"/>
  <c r="L34" i="80"/>
  <c r="Z14" i="81"/>
  <c r="V46" i="81"/>
  <c r="V50" i="81"/>
  <c r="F25" i="83"/>
  <c r="V67" i="84"/>
  <c r="V59" i="84"/>
  <c r="V51" i="84"/>
  <c r="V43" i="84"/>
  <c r="V62" i="84"/>
  <c r="V54" i="84"/>
  <c r="V42" i="84"/>
  <c r="V34" i="84"/>
  <c r="V71" i="84"/>
  <c r="V69" i="84"/>
  <c r="V61" i="84"/>
  <c r="V53" i="84"/>
  <c r="V29" i="84"/>
  <c r="V25" i="84"/>
  <c r="V56" i="84"/>
  <c r="V44" i="84"/>
  <c r="V16" i="84"/>
  <c r="V63" i="84"/>
  <c r="V55" i="84"/>
  <c r="V35" i="84"/>
  <c r="V46" i="84"/>
  <c r="V30" i="84"/>
  <c r="V26" i="84"/>
  <c r="V75" i="84"/>
  <c r="V57" i="84"/>
  <c r="V45" i="84"/>
  <c r="V37" i="84"/>
  <c r="V17" i="84"/>
  <c r="V47" i="84"/>
  <c r="V39" i="84"/>
  <c r="V31" i="84"/>
  <c r="V27" i="84"/>
  <c r="V23" i="84"/>
  <c r="V65" i="84"/>
  <c r="V49" i="84"/>
  <c r="V41" i="84"/>
  <c r="V33" i="84"/>
  <c r="T20" i="84"/>
  <c r="V40" i="84"/>
  <c r="Z46" i="84"/>
  <c r="V48" i="84"/>
  <c r="Z56" i="84"/>
  <c r="F63" i="85"/>
  <c r="F94" i="85"/>
  <c r="P61" i="76"/>
  <c r="X61" i="76" s="1"/>
  <c r="Z40" i="79"/>
  <c r="Z16" i="80"/>
  <c r="Z38" i="80"/>
  <c r="X49" i="80"/>
  <c r="Z49" i="80" s="1"/>
  <c r="N53" i="80"/>
  <c r="Z23" i="81"/>
  <c r="V32" i="81"/>
  <c r="V48" i="81"/>
  <c r="V24" i="84"/>
  <c r="V38" i="84"/>
  <c r="F36" i="85"/>
  <c r="N35" i="79"/>
  <c r="N45" i="79"/>
  <c r="V23" i="81"/>
  <c r="L41" i="81"/>
  <c r="L53" i="81"/>
  <c r="N53" i="81" s="1"/>
  <c r="Z57" i="81"/>
  <c r="V36" i="84"/>
  <c r="L43" i="84"/>
  <c r="N43" i="84" s="1"/>
  <c r="L12" i="85"/>
  <c r="J39" i="85"/>
  <c r="F41" i="85"/>
  <c r="D74" i="92"/>
  <c r="L74" i="92" s="1"/>
  <c r="L76" i="92"/>
  <c r="Z80" i="85"/>
  <c r="X80" i="85"/>
  <c r="J47" i="84"/>
  <c r="J37" i="84"/>
  <c r="J31" i="84"/>
  <c r="J27" i="84"/>
  <c r="J58" i="84"/>
  <c r="J48" i="84"/>
  <c r="J38" i="84"/>
  <c r="J32" i="84"/>
  <c r="J18" i="84"/>
  <c r="J65" i="84"/>
  <c r="J49" i="84"/>
  <c r="J39" i="84"/>
  <c r="J33" i="84"/>
  <c r="J23" i="84"/>
  <c r="J66" i="84"/>
  <c r="J50" i="84"/>
  <c r="J40" i="84"/>
  <c r="J28" i="84"/>
  <c r="J24" i="84"/>
  <c r="J22" i="84"/>
  <c r="J20" i="84"/>
  <c r="J67" i="84"/>
  <c r="J59" i="84"/>
  <c r="J51" i="84"/>
  <c r="J41" i="84"/>
  <c r="H20" i="84"/>
  <c r="J68" i="84"/>
  <c r="J60" i="84"/>
  <c r="J52" i="84"/>
  <c r="J42" i="84"/>
  <c r="J34" i="84"/>
  <c r="J69" i="84"/>
  <c r="J61" i="84"/>
  <c r="J53" i="84"/>
  <c r="J43" i="84"/>
  <c r="J29" i="84"/>
  <c r="J25" i="84"/>
  <c r="J71" i="84"/>
  <c r="J63" i="84"/>
  <c r="J55" i="84"/>
  <c r="J35" i="84"/>
  <c r="J75" i="84"/>
  <c r="J57" i="84"/>
  <c r="J45" i="84"/>
  <c r="J17" i="84"/>
  <c r="J16" i="84"/>
  <c r="V67" i="88"/>
  <c r="V55" i="88"/>
  <c r="V43" i="88"/>
  <c r="V35" i="88"/>
  <c r="V69" i="88"/>
  <c r="V45" i="88"/>
  <c r="V37" i="88"/>
  <c r="V68" i="88"/>
  <c r="V57" i="88"/>
  <c r="V49" i="88"/>
  <c r="V41" i="88"/>
  <c r="V76" i="88"/>
  <c r="V74" i="88"/>
  <c r="V72" i="88"/>
  <c r="V64" i="88"/>
  <c r="V59" i="88"/>
  <c r="V51" i="88"/>
  <c r="V58" i="88"/>
  <c r="V54" i="88"/>
  <c r="V34" i="88"/>
  <c r="V78" i="88"/>
  <c r="V66" i="88"/>
  <c r="V38" i="88"/>
  <c r="V30" i="88"/>
  <c r="V26" i="88"/>
  <c r="V83" i="88"/>
  <c r="V46" i="88"/>
  <c r="V17" i="88"/>
  <c r="V62" i="88"/>
  <c r="V52" i="88"/>
  <c r="V39" i="88"/>
  <c r="V32" i="88"/>
  <c r="Z12" i="88"/>
  <c r="V60" i="88"/>
  <c r="V50" i="88"/>
  <c r="V42" i="88"/>
  <c r="V31" i="88"/>
  <c r="V27" i="88"/>
  <c r="V23" i="88"/>
  <c r="V53" i="88"/>
  <c r="V22" i="88"/>
  <c r="V20" i="88"/>
  <c r="V18" i="88"/>
  <c r="V36" i="88"/>
  <c r="T20" i="88"/>
  <c r="V80" i="88"/>
  <c r="V70" i="88"/>
  <c r="V33" i="88"/>
  <c r="V28" i="88"/>
  <c r="V24" i="88"/>
  <c r="V65" i="88"/>
  <c r="V63" i="88"/>
  <c r="V61" i="88"/>
  <c r="V56" i="88"/>
  <c r="V47" i="88"/>
  <c r="V44" i="88"/>
  <c r="V48" i="88"/>
  <c r="V40" i="88"/>
  <c r="V25" i="88"/>
  <c r="V71" i="88"/>
  <c r="V29" i="88"/>
  <c r="V16" i="88"/>
  <c r="Z14" i="80"/>
  <c r="X40" i="80"/>
  <c r="Z40" i="80" s="1"/>
  <c r="P12" i="81"/>
  <c r="V18" i="81"/>
  <c r="V31" i="81"/>
  <c r="N51" i="81"/>
  <c r="F23" i="83"/>
  <c r="N41" i="84"/>
  <c r="Z26" i="85"/>
  <c r="L23" i="80"/>
  <c r="V22" i="81"/>
  <c r="Z39" i="81"/>
  <c r="Z43" i="81"/>
  <c r="N49" i="81"/>
  <c r="V58" i="81"/>
  <c r="V62" i="81"/>
  <c r="V64" i="81"/>
  <c r="F104" i="85"/>
  <c r="F58" i="85"/>
  <c r="F57" i="85"/>
  <c r="F85" i="85"/>
  <c r="F77" i="85"/>
  <c r="F76" i="85"/>
  <c r="F65" i="85"/>
  <c r="F64" i="85"/>
  <c r="F53" i="85"/>
  <c r="F49" i="85"/>
  <c r="F48" i="85"/>
  <c r="F92" i="85"/>
  <c r="F87" i="85"/>
  <c r="F86" i="85"/>
  <c r="F79" i="85"/>
  <c r="F78" i="85"/>
  <c r="F67" i="85"/>
  <c r="F66" i="85"/>
  <c r="F59" i="85"/>
  <c r="D45" i="85"/>
  <c r="F89" i="85"/>
  <c r="F88" i="85"/>
  <c r="F81" i="85"/>
  <c r="F80" i="85"/>
  <c r="F96" i="85"/>
  <c r="F95" i="85"/>
  <c r="F83" i="85"/>
  <c r="F82" i="85"/>
  <c r="F71" i="85"/>
  <c r="F70" i="85"/>
  <c r="F55" i="85"/>
  <c r="F51" i="85"/>
  <c r="F98" i="85"/>
  <c r="F97" i="85"/>
  <c r="F90" i="85"/>
  <c r="F75" i="85"/>
  <c r="F42" i="85"/>
  <c r="F39" i="85"/>
  <c r="F47" i="85"/>
  <c r="F93" i="85"/>
  <c r="F61" i="85"/>
  <c r="F40" i="85"/>
  <c r="F37" i="85"/>
  <c r="F100" i="85"/>
  <c r="F91" i="85"/>
  <c r="F73" i="85"/>
  <c r="F34" i="85"/>
  <c r="F31" i="85"/>
  <c r="F30" i="85"/>
  <c r="F68" i="85"/>
  <c r="F62" i="85"/>
  <c r="F56" i="85"/>
  <c r="F43" i="85"/>
  <c r="F54" i="85"/>
  <c r="F52" i="85"/>
  <c r="F38" i="85"/>
  <c r="F35" i="85"/>
  <c r="F84" i="85"/>
  <c r="F69" i="85"/>
  <c r="F45" i="85"/>
  <c r="F32" i="85"/>
  <c r="L57" i="85"/>
  <c r="N57" i="85" s="1"/>
  <c r="X13" i="79"/>
  <c r="Z13" i="79" s="1"/>
  <c r="L43" i="79"/>
  <c r="X48" i="79"/>
  <c r="Z48" i="79" s="1"/>
  <c r="D12" i="80"/>
  <c r="V39" i="81"/>
  <c r="V56" i="81"/>
  <c r="H12" i="83"/>
  <c r="L12" i="83" s="1"/>
  <c r="L13" i="83"/>
  <c r="N13" i="83" s="1"/>
  <c r="J46" i="84"/>
  <c r="N50" i="84"/>
  <c r="N52" i="84"/>
  <c r="J64" i="84"/>
  <c r="J85" i="85"/>
  <c r="J77" i="85"/>
  <c r="J65" i="85"/>
  <c r="J53" i="85"/>
  <c r="J49" i="85"/>
  <c r="J47" i="85"/>
  <c r="J92" i="85"/>
  <c r="J86" i="85"/>
  <c r="J78" i="85"/>
  <c r="J66" i="85"/>
  <c r="H45" i="85"/>
  <c r="J45" i="85" s="1"/>
  <c r="J40" i="85"/>
  <c r="J36" i="85"/>
  <c r="J32" i="85"/>
  <c r="J93" i="85"/>
  <c r="J87" i="85"/>
  <c r="J79" i="85"/>
  <c r="J67" i="85"/>
  <c r="J59" i="85"/>
  <c r="J94" i="85"/>
  <c r="J88" i="85"/>
  <c r="J80" i="85"/>
  <c r="J68" i="85"/>
  <c r="J54" i="85"/>
  <c r="J50" i="85"/>
  <c r="J96" i="85"/>
  <c r="J82" i="85"/>
  <c r="J97" i="85"/>
  <c r="J83" i="85"/>
  <c r="J71" i="85"/>
  <c r="J98" i="85"/>
  <c r="J90" i="85"/>
  <c r="J72" i="85"/>
  <c r="J73" i="85"/>
  <c r="J55" i="85"/>
  <c r="J48" i="85"/>
  <c r="J95" i="85"/>
  <c r="J70" i="85"/>
  <c r="J100" i="85"/>
  <c r="J61" i="85"/>
  <c r="J37" i="85"/>
  <c r="J30" i="85"/>
  <c r="J91" i="85"/>
  <c r="J89" i="85"/>
  <c r="J62" i="85"/>
  <c r="J51" i="85"/>
  <c r="J34" i="85"/>
  <c r="J31" i="85"/>
  <c r="J76" i="85"/>
  <c r="J56" i="85"/>
  <c r="J43" i="85"/>
  <c r="J74" i="85"/>
  <c r="J81" i="85"/>
  <c r="J41" i="85"/>
  <c r="J104" i="85"/>
  <c r="J63" i="85"/>
  <c r="J60" i="85"/>
  <c r="J57" i="85"/>
  <c r="J33" i="85"/>
  <c r="N12" i="85"/>
  <c r="J35" i="85"/>
  <c r="X53" i="79"/>
  <c r="H12" i="80"/>
  <c r="N13" i="80"/>
  <c r="L22" i="80"/>
  <c r="N23" i="80"/>
  <c r="L14" i="81"/>
  <c r="N14" i="81" s="1"/>
  <c r="X16" i="81"/>
  <c r="Z16" i="81" s="1"/>
  <c r="X37" i="81"/>
  <c r="Z37" i="81" s="1"/>
  <c r="Z47" i="81"/>
  <c r="Z49" i="81"/>
  <c r="X51" i="81"/>
  <c r="Z51" i="81" s="1"/>
  <c r="P12" i="83"/>
  <c r="X15" i="83"/>
  <c r="V20" i="84"/>
  <c r="V32" i="84"/>
  <c r="X37" i="84"/>
  <c r="Z37" i="84" s="1"/>
  <c r="Z39" i="84"/>
  <c r="X41" i="84"/>
  <c r="Z41" i="84" s="1"/>
  <c r="J44" i="84"/>
  <c r="N30" i="85"/>
  <c r="J42" i="85"/>
  <c r="J52" i="85"/>
  <c r="F60" i="85"/>
  <c r="Z95" i="85"/>
  <c r="F72" i="88"/>
  <c r="F71" i="88"/>
  <c r="F64" i="88"/>
  <c r="F40" i="88"/>
  <c r="F39" i="88"/>
  <c r="F58" i="88"/>
  <c r="F42" i="88"/>
  <c r="F41" i="88"/>
  <c r="F74" i="88"/>
  <c r="F65" i="88"/>
  <c r="F66" i="88"/>
  <c r="F62" i="88"/>
  <c r="F61" i="88"/>
  <c r="F54" i="88"/>
  <c r="F53" i="88"/>
  <c r="F68" i="88"/>
  <c r="F67" i="88"/>
  <c r="F56" i="88"/>
  <c r="F55" i="88"/>
  <c r="F36" i="88"/>
  <c r="F35" i="88"/>
  <c r="F63" i="88"/>
  <c r="F51" i="88"/>
  <c r="F43" i="88"/>
  <c r="F28" i="88"/>
  <c r="F24" i="88"/>
  <c r="F23" i="88"/>
  <c r="F37" i="88"/>
  <c r="F22" i="88"/>
  <c r="F59" i="88"/>
  <c r="D20" i="88"/>
  <c r="F29" i="88"/>
  <c r="F25" i="88"/>
  <c r="F78" i="88"/>
  <c r="F57" i="88"/>
  <c r="F48" i="88"/>
  <c r="F45" i="88"/>
  <c r="F44" i="88"/>
  <c r="F34" i="88"/>
  <c r="F69" i="88"/>
  <c r="F38" i="88"/>
  <c r="F49" i="88"/>
  <c r="F30" i="88"/>
  <c r="F26" i="88"/>
  <c r="F60" i="88"/>
  <c r="F52" i="88"/>
  <c r="F17" i="88"/>
  <c r="F16" i="88"/>
  <c r="L12" i="88"/>
  <c r="F18" i="88"/>
  <c r="F70" i="88"/>
  <c r="F46" i="88"/>
  <c r="F32" i="88"/>
  <c r="F50" i="88"/>
  <c r="N53" i="88"/>
  <c r="L53" i="88"/>
  <c r="Z53" i="79"/>
  <c r="P12" i="80"/>
  <c r="N22" i="80"/>
  <c r="Z23" i="80"/>
  <c r="N49" i="80"/>
  <c r="N12" i="84"/>
  <c r="N14" i="84"/>
  <c r="L14" i="84"/>
  <c r="J62" i="84"/>
  <c r="Z30" i="85"/>
  <c r="J38" i="85"/>
  <c r="J58" i="85"/>
  <c r="J75" i="85"/>
  <c r="J84" i="85"/>
  <c r="R18" i="84"/>
  <c r="R23" i="84"/>
  <c r="R38" i="84"/>
  <c r="R39" i="84"/>
  <c r="R58" i="84"/>
  <c r="L88" i="85"/>
  <c r="N88" i="85" s="1"/>
  <c r="H26" i="86"/>
  <c r="H74" i="92"/>
  <c r="N76" i="92"/>
  <c r="X12" i="84"/>
  <c r="Z12" i="84" s="1"/>
  <c r="R36" i="84"/>
  <c r="R37" i="84"/>
  <c r="R64" i="84"/>
  <c r="Z48" i="85"/>
  <c r="Z55" i="88"/>
  <c r="J47" i="89"/>
  <c r="J39" i="89"/>
  <c r="J31" i="89"/>
  <c r="J21" i="89"/>
  <c r="J48" i="89"/>
  <c r="J40" i="89"/>
  <c r="J49" i="89"/>
  <c r="J41" i="89"/>
  <c r="H18" i="89"/>
  <c r="J42" i="89"/>
  <c r="J32" i="89"/>
  <c r="N12" i="89"/>
  <c r="J53" i="89"/>
  <c r="J51" i="89"/>
  <c r="J43" i="89"/>
  <c r="J27" i="89"/>
  <c r="J23" i="89"/>
  <c r="J55" i="89"/>
  <c r="J33" i="89"/>
  <c r="J44" i="89"/>
  <c r="J34" i="89"/>
  <c r="J28" i="89"/>
  <c r="J24" i="89"/>
  <c r="J14" i="89"/>
  <c r="J60" i="89"/>
  <c r="J57" i="89"/>
  <c r="J35" i="89"/>
  <c r="J15" i="89"/>
  <c r="J36" i="89"/>
  <c r="J16" i="89"/>
  <c r="J29" i="89"/>
  <c r="J25" i="89"/>
  <c r="J37" i="89"/>
  <c r="J45" i="89"/>
  <c r="J30" i="89"/>
  <c r="J18" i="89"/>
  <c r="J38" i="89"/>
  <c r="J46" i="89"/>
  <c r="J26" i="89"/>
  <c r="L12" i="89"/>
  <c r="N48" i="92"/>
  <c r="R26" i="84"/>
  <c r="R30" i="84"/>
  <c r="L74" i="85"/>
  <c r="N74" i="85" s="1"/>
  <c r="Z88" i="85"/>
  <c r="X88" i="85"/>
  <c r="R15" i="86"/>
  <c r="R21" i="86"/>
  <c r="R16" i="86"/>
  <c r="R20" i="86"/>
  <c r="R18" i="86"/>
  <c r="R22" i="86"/>
  <c r="P18" i="86"/>
  <c r="R24" i="86"/>
  <c r="X12" i="86"/>
  <c r="N20" i="86"/>
  <c r="L20" i="86"/>
  <c r="J51" i="88"/>
  <c r="J41" i="88"/>
  <c r="J65" i="88"/>
  <c r="J59" i="88"/>
  <c r="J33" i="88"/>
  <c r="J78" i="88"/>
  <c r="J60" i="88"/>
  <c r="J67" i="88"/>
  <c r="J55" i="88"/>
  <c r="J45" i="88"/>
  <c r="J68" i="88"/>
  <c r="J56" i="88"/>
  <c r="J69" i="88"/>
  <c r="J63" i="88"/>
  <c r="J47" i="88"/>
  <c r="J37" i="88"/>
  <c r="J70" i="88"/>
  <c r="J40" i="88"/>
  <c r="H20" i="88"/>
  <c r="J71" i="88"/>
  <c r="J74" i="88"/>
  <c r="J48" i="88"/>
  <c r="J44" i="88"/>
  <c r="J29" i="88"/>
  <c r="J25" i="88"/>
  <c r="J57" i="88"/>
  <c r="J54" i="88"/>
  <c r="J34" i="88"/>
  <c r="J66" i="88"/>
  <c r="J64" i="88"/>
  <c r="J38" i="88"/>
  <c r="J83" i="88"/>
  <c r="J49" i="88"/>
  <c r="J30" i="88"/>
  <c r="J26" i="88"/>
  <c r="J16" i="88"/>
  <c r="J62" i="88"/>
  <c r="J52" i="88"/>
  <c r="J35" i="88"/>
  <c r="J17" i="88"/>
  <c r="J46" i="88"/>
  <c r="J39" i="88"/>
  <c r="N12" i="88"/>
  <c r="J76" i="88"/>
  <c r="J72" i="88"/>
  <c r="J42" i="88"/>
  <c r="J31" i="88"/>
  <c r="J27" i="88"/>
  <c r="N23" i="88"/>
  <c r="X71" i="88"/>
  <c r="Z71" i="88" s="1"/>
  <c r="X16" i="92"/>
  <c r="R16" i="84"/>
  <c r="R35" i="84"/>
  <c r="R55" i="84"/>
  <c r="R56" i="84"/>
  <c r="R63" i="84"/>
  <c r="V15" i="86"/>
  <c r="V21" i="86"/>
  <c r="V20" i="86"/>
  <c r="V16" i="86"/>
  <c r="T18" i="86"/>
  <c r="V24" i="86"/>
  <c r="V22" i="86"/>
  <c r="Z12" i="86"/>
  <c r="J20" i="86"/>
  <c r="X14" i="88"/>
  <c r="J23" i="88"/>
  <c r="J36" i="88"/>
  <c r="J20" i="89"/>
  <c r="J22" i="89"/>
  <c r="L22" i="81"/>
  <c r="N22" i="81" s="1"/>
  <c r="R44" i="84"/>
  <c r="X46" i="84"/>
  <c r="L52" i="84"/>
  <c r="L60" i="84"/>
  <c r="L68" i="84"/>
  <c r="N68" i="84" s="1"/>
  <c r="R71" i="84"/>
  <c r="N68" i="85"/>
  <c r="L23" i="88"/>
  <c r="J50" i="88"/>
  <c r="R61" i="95"/>
  <c r="R60" i="95"/>
  <c r="R55" i="95"/>
  <c r="R54" i="95"/>
  <c r="R43" i="95"/>
  <c r="R42" i="95"/>
  <c r="R34" i="95"/>
  <c r="R66" i="95"/>
  <c r="R29" i="95"/>
  <c r="R25" i="95"/>
  <c r="R58" i="95"/>
  <c r="R17" i="95"/>
  <c r="R63" i="95"/>
  <c r="R59" i="95"/>
  <c r="R62" i="95"/>
  <c r="R49" i="95"/>
  <c r="R31" i="95"/>
  <c r="R26" i="95"/>
  <c r="R16" i="95"/>
  <c r="R52" i="95"/>
  <c r="R38" i="95"/>
  <c r="R32" i="95"/>
  <c r="R24" i="95"/>
  <c r="R46" i="95"/>
  <c r="R35" i="95"/>
  <c r="R50" i="95"/>
  <c r="R39" i="95"/>
  <c r="R20" i="95"/>
  <c r="R56" i="95"/>
  <c r="R53" i="95"/>
  <c r="R47" i="95"/>
  <c r="R27" i="95"/>
  <c r="P20" i="95"/>
  <c r="R70" i="95"/>
  <c r="R44" i="95"/>
  <c r="R36" i="95"/>
  <c r="R33" i="95"/>
  <c r="R30" i="95"/>
  <c r="R57" i="95"/>
  <c r="R51" i="95"/>
  <c r="R40" i="95"/>
  <c r="R22" i="95"/>
  <c r="R45" i="95"/>
  <c r="R37" i="95"/>
  <c r="R28" i="95"/>
  <c r="X12" i="95"/>
  <c r="R23" i="95"/>
  <c r="R18" i="95"/>
  <c r="R41" i="95"/>
  <c r="R48" i="95"/>
  <c r="R64" i="95"/>
  <c r="L13" i="84"/>
  <c r="R25" i="84"/>
  <c r="R29" i="84"/>
  <c r="R53" i="84"/>
  <c r="R54" i="84"/>
  <c r="R61" i="84"/>
  <c r="R62" i="84"/>
  <c r="R69" i="84"/>
  <c r="N100" i="85"/>
  <c r="L100" i="85"/>
  <c r="D18" i="86"/>
  <c r="L12" i="86"/>
  <c r="N12" i="86" s="1"/>
  <c r="F24" i="86"/>
  <c r="F28" i="86"/>
  <c r="F16" i="86"/>
  <c r="F15" i="86"/>
  <c r="Z20" i="86"/>
  <c r="J28" i="88"/>
  <c r="N22" i="93"/>
  <c r="L22" i="93"/>
  <c r="V66" i="95"/>
  <c r="V54" i="95"/>
  <c r="V42" i="95"/>
  <c r="V34" i="95"/>
  <c r="V57" i="95"/>
  <c r="V45" i="95"/>
  <c r="V29" i="95"/>
  <c r="V25" i="95"/>
  <c r="V56" i="95"/>
  <c r="V44" i="95"/>
  <c r="V16" i="95"/>
  <c r="V63" i="95"/>
  <c r="V62" i="95"/>
  <c r="V48" i="95"/>
  <c r="V36" i="95"/>
  <c r="V32" i="95"/>
  <c r="Z12" i="95"/>
  <c r="V70" i="95"/>
  <c r="V50" i="95"/>
  <c r="V55" i="95"/>
  <c r="V52" i="95"/>
  <c r="V38" i="95"/>
  <c r="V24" i="95"/>
  <c r="V60" i="95"/>
  <c r="V58" i="95"/>
  <c r="V46" i="95"/>
  <c r="V43" i="95"/>
  <c r="V39" i="95"/>
  <c r="V35" i="95"/>
  <c r="V20" i="95"/>
  <c r="V53" i="95"/>
  <c r="V47" i="95"/>
  <c r="T20" i="95"/>
  <c r="V27" i="95"/>
  <c r="V17" i="95"/>
  <c r="V51" i="95"/>
  <c r="V33" i="95"/>
  <c r="V30" i="95"/>
  <c r="V22" i="95"/>
  <c r="V61" i="95"/>
  <c r="V40" i="95"/>
  <c r="V37" i="95"/>
  <c r="V59" i="95"/>
  <c r="V41" i="95"/>
  <c r="V28" i="95"/>
  <c r="V23" i="95"/>
  <c r="V64" i="95"/>
  <c r="V49" i="95"/>
  <c r="V18" i="95"/>
  <c r="V26" i="95"/>
  <c r="V31" i="95"/>
  <c r="X13" i="83"/>
  <c r="N13" i="84"/>
  <c r="R34" i="84"/>
  <c r="R42" i="84"/>
  <c r="R43" i="84"/>
  <c r="L13" i="85"/>
  <c r="L62" i="85"/>
  <c r="N62" i="85" s="1"/>
  <c r="Z74" i="85"/>
  <c r="N93" i="85"/>
  <c r="N95" i="85"/>
  <c r="J28" i="86"/>
  <c r="J15" i="86"/>
  <c r="J16" i="86"/>
  <c r="J21" i="86"/>
  <c r="R28" i="86"/>
  <c r="J22" i="88"/>
  <c r="J32" i="88"/>
  <c r="Z48" i="88"/>
  <c r="J61" i="88"/>
  <c r="X13" i="80"/>
  <c r="Z13" i="80" s="1"/>
  <c r="X13" i="81"/>
  <c r="Z13" i="81" s="1"/>
  <c r="Z13" i="83"/>
  <c r="R51" i="84"/>
  <c r="R52" i="84"/>
  <c r="R59" i="84"/>
  <c r="R60" i="84"/>
  <c r="R67" i="84"/>
  <c r="R68" i="84"/>
  <c r="N13" i="85"/>
  <c r="X62" i="85"/>
  <c r="Z62" i="85" s="1"/>
  <c r="X68" i="85"/>
  <c r="Z68" i="85" s="1"/>
  <c r="X93" i="85"/>
  <c r="Z93" i="85" s="1"/>
  <c r="L21" i="86"/>
  <c r="N21" i="86" s="1"/>
  <c r="J24" i="86"/>
  <c r="V28" i="86"/>
  <c r="J80" i="88"/>
  <c r="D12" i="93"/>
  <c r="L14" i="93"/>
  <c r="X23" i="94"/>
  <c r="Z23" i="94" s="1"/>
  <c r="P20" i="84"/>
  <c r="R24" i="84"/>
  <c r="R28" i="84"/>
  <c r="R40" i="84"/>
  <c r="Z76" i="85"/>
  <c r="N80" i="85"/>
  <c r="F21" i="86"/>
  <c r="P12" i="88"/>
  <c r="X13" i="88"/>
  <c r="J18" i="88"/>
  <c r="J24" i="88"/>
  <c r="J43" i="88"/>
  <c r="Z61" i="88"/>
  <c r="N39" i="88"/>
  <c r="D18" i="89"/>
  <c r="L19" i="92"/>
  <c r="N19" i="92" s="1"/>
  <c r="N66" i="93"/>
  <c r="L66" i="93"/>
  <c r="N43" i="94"/>
  <c r="X53" i="88"/>
  <c r="N36" i="89"/>
  <c r="H78" i="92"/>
  <c r="N16" i="92"/>
  <c r="Z48" i="92"/>
  <c r="Z13" i="88"/>
  <c r="V43" i="89"/>
  <c r="V27" i="89"/>
  <c r="V23" i="89"/>
  <c r="V34" i="89"/>
  <c r="V60" i="89"/>
  <c r="V57" i="89"/>
  <c r="V55" i="89"/>
  <c r="V33" i="89"/>
  <c r="V44" i="89"/>
  <c r="V36" i="89"/>
  <c r="V28" i="89"/>
  <c r="V24" i="89"/>
  <c r="V35" i="89"/>
  <c r="V46" i="89"/>
  <c r="V38" i="89"/>
  <c r="V30" i="89"/>
  <c r="V45" i="89"/>
  <c r="V37" i="89"/>
  <c r="V29" i="89"/>
  <c r="V25" i="89"/>
  <c r="V21" i="89"/>
  <c r="V48" i="89"/>
  <c r="V40" i="89"/>
  <c r="V20" i="89"/>
  <c r="V18" i="89"/>
  <c r="V16" i="89"/>
  <c r="V47" i="89"/>
  <c r="V39" i="89"/>
  <c r="V31" i="89"/>
  <c r="T18" i="89"/>
  <c r="V42" i="89"/>
  <c r="V26" i="89"/>
  <c r="V22" i="89"/>
  <c r="N42" i="89"/>
  <c r="R61" i="93"/>
  <c r="R57" i="93"/>
  <c r="R50" i="93"/>
  <c r="R49" i="93"/>
  <c r="R38" i="93"/>
  <c r="R37" i="93"/>
  <c r="R33" i="93"/>
  <c r="R52" i="93"/>
  <c r="R51" i="93"/>
  <c r="R40" i="93"/>
  <c r="R39" i="93"/>
  <c r="R63" i="93"/>
  <c r="R62" i="93"/>
  <c r="R58" i="93"/>
  <c r="R34" i="93"/>
  <c r="R53" i="93"/>
  <c r="R42" i="93"/>
  <c r="R41" i="93"/>
  <c r="R29" i="93"/>
  <c r="R25" i="93"/>
  <c r="R64" i="93"/>
  <c r="R66" i="93"/>
  <c r="R59" i="93"/>
  <c r="R44" i="93"/>
  <c r="R43" i="93"/>
  <c r="R35" i="93"/>
  <c r="R16" i="93"/>
  <c r="R55" i="93"/>
  <c r="R54" i="93"/>
  <c r="R31" i="93"/>
  <c r="R30" i="93"/>
  <c r="R26" i="93"/>
  <c r="R46" i="93"/>
  <c r="R45" i="93"/>
  <c r="R70" i="93"/>
  <c r="R27" i="93"/>
  <c r="R23" i="93"/>
  <c r="R36" i="93"/>
  <c r="R32" i="93"/>
  <c r="R21" i="93"/>
  <c r="R47" i="93"/>
  <c r="R17" i="93"/>
  <c r="R28" i="93"/>
  <c r="R22" i="93"/>
  <c r="R56" i="93"/>
  <c r="R48" i="93"/>
  <c r="R24" i="93"/>
  <c r="X12" i="93"/>
  <c r="P19" i="93"/>
  <c r="Z42" i="93"/>
  <c r="Z51" i="89"/>
  <c r="X51" i="89"/>
  <c r="X44" i="92"/>
  <c r="Z44" i="92" s="1"/>
  <c r="Z39" i="88"/>
  <c r="P53" i="89"/>
  <c r="X18" i="89"/>
  <c r="L18" i="92"/>
  <c r="N18" i="92" s="1"/>
  <c r="X36" i="92"/>
  <c r="Z36" i="92" s="1"/>
  <c r="R60" i="93"/>
  <c r="L13" i="86"/>
  <c r="X67" i="88"/>
  <c r="Z67" i="88" s="1"/>
  <c r="L71" i="88"/>
  <c r="N71" i="88" s="1"/>
  <c r="V15" i="89"/>
  <c r="Z42" i="89"/>
  <c r="N13" i="86"/>
  <c r="V53" i="89"/>
  <c r="N59" i="88"/>
  <c r="X48" i="88"/>
  <c r="N61" i="88"/>
  <c r="L61" i="88"/>
  <c r="V49" i="89"/>
  <c r="N14" i="92"/>
  <c r="L14" i="92"/>
  <c r="X57" i="92"/>
  <c r="Z57" i="92" s="1"/>
  <c r="R31" i="89"/>
  <c r="F35" i="89"/>
  <c r="R39" i="89"/>
  <c r="R40" i="89"/>
  <c r="R47" i="89"/>
  <c r="R48" i="89"/>
  <c r="F78" i="92"/>
  <c r="F76" i="92"/>
  <c r="F74" i="92"/>
  <c r="F69" i="92"/>
  <c r="F61" i="92"/>
  <c r="V21" i="92"/>
  <c r="V25" i="92"/>
  <c r="R30" i="92"/>
  <c r="R34" i="92"/>
  <c r="V41" i="92"/>
  <c r="J49" i="92"/>
  <c r="R50" i="92"/>
  <c r="R51" i="92"/>
  <c r="F54" i="92"/>
  <c r="V57" i="92"/>
  <c r="J59" i="92"/>
  <c r="F71" i="92"/>
  <c r="V78" i="92"/>
  <c r="V52" i="93"/>
  <c r="V40" i="93"/>
  <c r="V28" i="93"/>
  <c r="V24" i="93"/>
  <c r="V63" i="93"/>
  <c r="V51" i="93"/>
  <c r="V62" i="93"/>
  <c r="V58" i="93"/>
  <c r="V42" i="93"/>
  <c r="V34" i="93"/>
  <c r="V53" i="93"/>
  <c r="V41" i="93"/>
  <c r="V29" i="93"/>
  <c r="V25" i="93"/>
  <c r="V66" i="93"/>
  <c r="V64" i="93"/>
  <c r="V44" i="93"/>
  <c r="V59" i="93"/>
  <c r="V55" i="93"/>
  <c r="V43" i="93"/>
  <c r="V35" i="93"/>
  <c r="V31" i="93"/>
  <c r="V54" i="93"/>
  <c r="V46" i="93"/>
  <c r="V30" i="93"/>
  <c r="V26" i="93"/>
  <c r="V22" i="93"/>
  <c r="V45" i="93"/>
  <c r="V21" i="93"/>
  <c r="V17" i="93"/>
  <c r="V70" i="93"/>
  <c r="V60" i="93"/>
  <c r="V56" i="93"/>
  <c r="V48" i="93"/>
  <c r="H12" i="93"/>
  <c r="N14" i="93"/>
  <c r="T19" i="93"/>
  <c r="X48" i="93"/>
  <c r="J17" i="94"/>
  <c r="R32" i="98"/>
  <c r="R31" i="98"/>
  <c r="R27" i="98"/>
  <c r="R71" i="98"/>
  <c r="R55" i="98"/>
  <c r="R54" i="98"/>
  <c r="R46" i="98"/>
  <c r="R23" i="98"/>
  <c r="R18" i="98"/>
  <c r="R62" i="98"/>
  <c r="R61" i="98"/>
  <c r="R37" i="98"/>
  <c r="R33" i="98"/>
  <c r="R22" i="98"/>
  <c r="R57" i="98"/>
  <c r="R56" i="98"/>
  <c r="R28" i="98"/>
  <c r="R24" i="98"/>
  <c r="P20" i="98"/>
  <c r="R64" i="98"/>
  <c r="R63" i="98"/>
  <c r="R48" i="98"/>
  <c r="R47" i="98"/>
  <c r="R41" i="98"/>
  <c r="R40" i="98"/>
  <c r="R67" i="98"/>
  <c r="R59" i="98"/>
  <c r="R52" i="98"/>
  <c r="R51" i="98"/>
  <c r="R35" i="98"/>
  <c r="R16" i="98"/>
  <c r="R43" i="98"/>
  <c r="R42" i="98"/>
  <c r="R30" i="98"/>
  <c r="R26" i="98"/>
  <c r="R45" i="98"/>
  <c r="R38" i="98"/>
  <c r="R34" i="98"/>
  <c r="R58" i="98"/>
  <c r="R49" i="98"/>
  <c r="R36" i="98"/>
  <c r="R17" i="98"/>
  <c r="R60" i="98"/>
  <c r="R65" i="98"/>
  <c r="R50" i="98"/>
  <c r="R39" i="98"/>
  <c r="R44" i="98"/>
  <c r="R25" i="98"/>
  <c r="R53" i="98"/>
  <c r="R29" i="98"/>
  <c r="R16" i="89"/>
  <c r="R21" i="89"/>
  <c r="F24" i="89"/>
  <c r="F28" i="89"/>
  <c r="F44" i="89"/>
  <c r="J80" i="92"/>
  <c r="J74" i="92"/>
  <c r="J66" i="92"/>
  <c r="J85" i="92"/>
  <c r="J82" i="92"/>
  <c r="J68" i="92"/>
  <c r="J69" i="92"/>
  <c r="J61" i="92"/>
  <c r="F23" i="92"/>
  <c r="F27" i="92"/>
  <c r="V30" i="92"/>
  <c r="V34" i="92"/>
  <c r="F38" i="92"/>
  <c r="F39" i="92"/>
  <c r="V42" i="92"/>
  <c r="F46" i="92"/>
  <c r="F47" i="92"/>
  <c r="J48" i="92"/>
  <c r="V50" i="92"/>
  <c r="J54" i="92"/>
  <c r="R55" i="92"/>
  <c r="V62" i="92"/>
  <c r="V63" i="92"/>
  <c r="F65" i="92"/>
  <c r="R67" i="92"/>
  <c r="V69" i="92"/>
  <c r="F75" i="92"/>
  <c r="F80" i="92"/>
  <c r="V82" i="92"/>
  <c r="V33" i="93"/>
  <c r="V37" i="93"/>
  <c r="Z50" i="93"/>
  <c r="N63" i="93"/>
  <c r="F54" i="94"/>
  <c r="F17" i="94"/>
  <c r="F16" i="94"/>
  <c r="F58" i="94"/>
  <c r="F53" i="94"/>
  <c r="F47" i="94"/>
  <c r="F36" i="94"/>
  <c r="L12" i="94"/>
  <c r="F59" i="94"/>
  <c r="F48" i="94"/>
  <c r="F31" i="94"/>
  <c r="F27" i="94"/>
  <c r="F38" i="94"/>
  <c r="F37" i="94"/>
  <c r="F18" i="94"/>
  <c r="F49" i="94"/>
  <c r="F33" i="94"/>
  <c r="F32" i="94"/>
  <c r="F40" i="94"/>
  <c r="F39" i="94"/>
  <c r="F28" i="94"/>
  <c r="F24" i="94"/>
  <c r="F23" i="94"/>
  <c r="F50" i="94"/>
  <c r="F22" i="94"/>
  <c r="F20" i="94"/>
  <c r="F63" i="94"/>
  <c r="F42" i="94"/>
  <c r="F41" i="94"/>
  <c r="F34" i="94"/>
  <c r="D20" i="94"/>
  <c r="F55" i="94"/>
  <c r="F29" i="94"/>
  <c r="F25" i="94"/>
  <c r="F56" i="94"/>
  <c r="F51" i="94"/>
  <c r="F44" i="94"/>
  <c r="F43" i="94"/>
  <c r="F46" i="94"/>
  <c r="F52" i="94"/>
  <c r="X45" i="98"/>
  <c r="Z45" i="98" s="1"/>
  <c r="X50" i="98"/>
  <c r="Z50" i="98" s="1"/>
  <c r="R25" i="89"/>
  <c r="R29" i="89"/>
  <c r="R30" i="89"/>
  <c r="F33" i="89"/>
  <c r="R37" i="89"/>
  <c r="R38" i="89"/>
  <c r="R45" i="89"/>
  <c r="R46" i="89"/>
  <c r="F55" i="89"/>
  <c r="L12" i="92"/>
  <c r="R20" i="92"/>
  <c r="R24" i="92"/>
  <c r="R28" i="92"/>
  <c r="R29" i="92"/>
  <c r="F32" i="92"/>
  <c r="J39" i="92"/>
  <c r="R40" i="92"/>
  <c r="J47" i="92"/>
  <c r="V51" i="92"/>
  <c r="V55" i="92"/>
  <c r="X63" i="92"/>
  <c r="Z63" i="92" s="1"/>
  <c r="R66" i="92"/>
  <c r="Z67" i="92"/>
  <c r="J71" i="92"/>
  <c r="F85" i="92"/>
  <c r="Z12" i="93"/>
  <c r="X14" i="93"/>
  <c r="Z14" i="93" s="1"/>
  <c r="V39" i="93"/>
  <c r="Z48" i="93"/>
  <c r="V50" i="93"/>
  <c r="J55" i="94"/>
  <c r="J47" i="94"/>
  <c r="J59" i="94"/>
  <c r="J53" i="94"/>
  <c r="J36" i="94"/>
  <c r="N12" i="94"/>
  <c r="J48" i="94"/>
  <c r="J37" i="94"/>
  <c r="J31" i="94"/>
  <c r="J27" i="94"/>
  <c r="J49" i="94"/>
  <c r="J38" i="94"/>
  <c r="J32" i="94"/>
  <c r="J18" i="94"/>
  <c r="J39" i="94"/>
  <c r="J33" i="94"/>
  <c r="J23" i="94"/>
  <c r="J54" i="94"/>
  <c r="J40" i="94"/>
  <c r="J28" i="94"/>
  <c r="J24" i="94"/>
  <c r="J22" i="94"/>
  <c r="J20" i="94"/>
  <c r="J50" i="94"/>
  <c r="J41" i="94"/>
  <c r="H20" i="94"/>
  <c r="J63" i="94"/>
  <c r="J42" i="94"/>
  <c r="J34" i="94"/>
  <c r="J51" i="94"/>
  <c r="J43" i="94"/>
  <c r="J29" i="94"/>
  <c r="J25" i="94"/>
  <c r="J56" i="94"/>
  <c r="J44" i="94"/>
  <c r="J52" i="94"/>
  <c r="J45" i="94"/>
  <c r="J35" i="94"/>
  <c r="J46" i="94"/>
  <c r="F51" i="89"/>
  <c r="F53" i="89"/>
  <c r="R14" i="92"/>
  <c r="R16" i="92"/>
  <c r="R18" i="92"/>
  <c r="V20" i="92"/>
  <c r="V24" i="92"/>
  <c r="V28" i="92"/>
  <c r="J32" i="92"/>
  <c r="R33" i="92"/>
  <c r="F36" i="92"/>
  <c r="F37" i="92"/>
  <c r="J38" i="92"/>
  <c r="V40" i="92"/>
  <c r="F44" i="92"/>
  <c r="F45" i="92"/>
  <c r="J46" i="92"/>
  <c r="R49" i="92"/>
  <c r="F53" i="92"/>
  <c r="J65" i="92"/>
  <c r="V66" i="92"/>
  <c r="L71" i="92"/>
  <c r="N71" i="92" s="1"/>
  <c r="J75" i="92"/>
  <c r="V61" i="93"/>
  <c r="R51" i="94"/>
  <c r="R50" i="94"/>
  <c r="R33" i="94"/>
  <c r="R22" i="94"/>
  <c r="R54" i="94"/>
  <c r="R41" i="94"/>
  <c r="R40" i="94"/>
  <c r="R28" i="94"/>
  <c r="R24" i="94"/>
  <c r="P20" i="94"/>
  <c r="R63" i="94"/>
  <c r="R55" i="94"/>
  <c r="R43" i="94"/>
  <c r="R42" i="94"/>
  <c r="R34" i="94"/>
  <c r="R29" i="94"/>
  <c r="R25" i="94"/>
  <c r="R56" i="94"/>
  <c r="R45" i="94"/>
  <c r="R44" i="94"/>
  <c r="R52" i="94"/>
  <c r="R35" i="94"/>
  <c r="R16" i="94"/>
  <c r="R46" i="94"/>
  <c r="R30" i="94"/>
  <c r="R26" i="94"/>
  <c r="R47" i="94"/>
  <c r="R17" i="94"/>
  <c r="R59" i="94"/>
  <c r="R53" i="94"/>
  <c r="R37" i="94"/>
  <c r="R36" i="94"/>
  <c r="X12" i="94"/>
  <c r="Z22" i="94"/>
  <c r="X22" i="94"/>
  <c r="F30" i="94"/>
  <c r="X16" i="96"/>
  <c r="Z16" i="96" s="1"/>
  <c r="R16" i="96"/>
  <c r="F27" i="89"/>
  <c r="R35" i="89"/>
  <c r="R36" i="89"/>
  <c r="F42" i="89"/>
  <c r="F43" i="89"/>
  <c r="R69" i="92"/>
  <c r="R71" i="92"/>
  <c r="R70" i="92"/>
  <c r="R63" i="92"/>
  <c r="R62" i="92"/>
  <c r="R58" i="92"/>
  <c r="R78" i="92"/>
  <c r="R76" i="92"/>
  <c r="R75" i="92"/>
  <c r="R72" i="92"/>
  <c r="R65" i="92"/>
  <c r="R64" i="92"/>
  <c r="T16" i="92"/>
  <c r="R19" i="92"/>
  <c r="F22" i="92"/>
  <c r="F26" i="92"/>
  <c r="V29" i="92"/>
  <c r="V33" i="92"/>
  <c r="J37" i="92"/>
  <c r="J45" i="92"/>
  <c r="V49" i="92"/>
  <c r="J53" i="92"/>
  <c r="R54" i="92"/>
  <c r="F57" i="92"/>
  <c r="F58" i="92"/>
  <c r="F68" i="92"/>
  <c r="R80" i="92"/>
  <c r="V54" i="94"/>
  <c r="V63" i="94"/>
  <c r="V40" i="94"/>
  <c r="V28" i="94"/>
  <c r="V24" i="94"/>
  <c r="V55" i="94"/>
  <c r="V43" i="94"/>
  <c r="V51" i="94"/>
  <c r="V50" i="94"/>
  <c r="V42" i="94"/>
  <c r="V34" i="94"/>
  <c r="V45" i="94"/>
  <c r="V29" i="94"/>
  <c r="V25" i="94"/>
  <c r="V56" i="94"/>
  <c r="V44" i="94"/>
  <c r="V16" i="94"/>
  <c r="V52" i="94"/>
  <c r="V35" i="94"/>
  <c r="V47" i="94"/>
  <c r="V46" i="94"/>
  <c r="V30" i="94"/>
  <c r="V26" i="94"/>
  <c r="V59" i="94"/>
  <c r="V37" i="94"/>
  <c r="V17" i="94"/>
  <c r="V53" i="94"/>
  <c r="V36" i="94"/>
  <c r="V32" i="94"/>
  <c r="Z12" i="94"/>
  <c r="V49" i="94"/>
  <c r="V48" i="94"/>
  <c r="V39" i="94"/>
  <c r="V31" i="94"/>
  <c r="V27" i="94"/>
  <c r="V23" i="94"/>
  <c r="V22" i="94"/>
  <c r="R27" i="94"/>
  <c r="J30" i="94"/>
  <c r="R39" i="94"/>
  <c r="Z13" i="95"/>
  <c r="R57" i="89"/>
  <c r="R60" i="89"/>
  <c r="V75" i="92"/>
  <c r="V65" i="92"/>
  <c r="V74" i="92"/>
  <c r="V72" i="92"/>
  <c r="V64" i="92"/>
  <c r="V67" i="92"/>
  <c r="V14" i="92"/>
  <c r="V16" i="92"/>
  <c r="V18" i="92"/>
  <c r="F35" i="92"/>
  <c r="F42" i="92"/>
  <c r="F43" i="92"/>
  <c r="R47" i="92"/>
  <c r="R48" i="92"/>
  <c r="V54" i="92"/>
  <c r="R61" i="92"/>
  <c r="F64" i="92"/>
  <c r="F70" i="92"/>
  <c r="V76" i="92"/>
  <c r="V80" i="92"/>
  <c r="R85" i="92"/>
  <c r="Z39" i="94"/>
  <c r="X39" i="94"/>
  <c r="R48" i="94"/>
  <c r="R33" i="89"/>
  <c r="R34" i="89"/>
  <c r="F40" i="89"/>
  <c r="F41" i="89"/>
  <c r="F48" i="89"/>
  <c r="F49" i="89"/>
  <c r="R55" i="89"/>
  <c r="X12" i="92"/>
  <c r="V19" i="92"/>
  <c r="V23" i="92"/>
  <c r="V27" i="92"/>
  <c r="R32" i="92"/>
  <c r="V39" i="92"/>
  <c r="J43" i="92"/>
  <c r="V47" i="92"/>
  <c r="F51" i="92"/>
  <c r="F52" i="92"/>
  <c r="F56" i="92"/>
  <c r="J57" i="92"/>
  <c r="V61" i="92"/>
  <c r="F63" i="92"/>
  <c r="J64" i="92"/>
  <c r="R68" i="92"/>
  <c r="J70" i="92"/>
  <c r="V71" i="92"/>
  <c r="V47" i="93"/>
  <c r="V49" i="93"/>
  <c r="V57" i="93"/>
  <c r="L16" i="94"/>
  <c r="N16" i="94" s="1"/>
  <c r="R32" i="94"/>
  <c r="Z37" i="94"/>
  <c r="F21" i="89"/>
  <c r="F22" i="89"/>
  <c r="F26" i="89"/>
  <c r="Z12" i="92"/>
  <c r="F21" i="92"/>
  <c r="F25" i="92"/>
  <c r="V32" i="92"/>
  <c r="R37" i="92"/>
  <c r="R38" i="92"/>
  <c r="F41" i="92"/>
  <c r="J42" i="92"/>
  <c r="R45" i="92"/>
  <c r="R46" i="92"/>
  <c r="V48" i="92"/>
  <c r="J52" i="92"/>
  <c r="R53" i="92"/>
  <c r="J56" i="92"/>
  <c r="L57" i="92"/>
  <c r="N57" i="92" s="1"/>
  <c r="V58" i="92"/>
  <c r="F60" i="92"/>
  <c r="V68" i="92"/>
  <c r="Z71" i="92"/>
  <c r="P74" i="92"/>
  <c r="X74" i="92" s="1"/>
  <c r="Z74" i="92" s="1"/>
  <c r="V85" i="92"/>
  <c r="Z21" i="93"/>
  <c r="N44" i="93"/>
  <c r="J16" i="94"/>
  <c r="V18" i="94"/>
  <c r="Z32" i="94"/>
  <c r="X59" i="94"/>
  <c r="Z59" i="94" s="1"/>
  <c r="P58" i="94"/>
  <c r="R58" i="94" s="1"/>
  <c r="R14" i="99"/>
  <c r="R29" i="99"/>
  <c r="R16" i="99"/>
  <c r="R20" i="99"/>
  <c r="X12" i="99"/>
  <c r="R24" i="99"/>
  <c r="R18" i="99"/>
  <c r="R22" i="99"/>
  <c r="P16" i="99"/>
  <c r="R26" i="99"/>
  <c r="F31" i="89"/>
  <c r="F38" i="89"/>
  <c r="F39" i="89"/>
  <c r="R43" i="89"/>
  <c r="F46" i="89"/>
  <c r="F47" i="89"/>
  <c r="D16" i="92"/>
  <c r="J21" i="92"/>
  <c r="R22" i="92"/>
  <c r="J25" i="92"/>
  <c r="R26" i="92"/>
  <c r="F29" i="92"/>
  <c r="F30" i="92"/>
  <c r="F34" i="92"/>
  <c r="V37" i="92"/>
  <c r="J41" i="92"/>
  <c r="V45" i="92"/>
  <c r="F50" i="92"/>
  <c r="J51" i="92"/>
  <c r="V53" i="92"/>
  <c r="J60" i="92"/>
  <c r="J63" i="92"/>
  <c r="F67" i="92"/>
  <c r="V70" i="92"/>
  <c r="R74" i="92"/>
  <c r="F82" i="92"/>
  <c r="V32" i="93"/>
  <c r="V36" i="93"/>
  <c r="N42" i="93"/>
  <c r="F26" i="94"/>
  <c r="F45" i="94"/>
  <c r="X12" i="89"/>
  <c r="R32" i="89"/>
  <c r="R51" i="89"/>
  <c r="F14" i="92"/>
  <c r="F16" i="92"/>
  <c r="F18" i="92"/>
  <c r="V22" i="92"/>
  <c r="V26" i="92"/>
  <c r="J30" i="92"/>
  <c r="R31" i="92"/>
  <c r="J34" i="92"/>
  <c r="R35" i="92"/>
  <c r="R36" i="92"/>
  <c r="V38" i="92"/>
  <c r="R43" i="92"/>
  <c r="R44" i="92"/>
  <c r="V46" i="92"/>
  <c r="J50" i="92"/>
  <c r="F55" i="92"/>
  <c r="F72" i="92"/>
  <c r="J78" i="92"/>
  <c r="V23" i="93"/>
  <c r="Z38" i="93"/>
  <c r="T20" i="94"/>
  <c r="R23" i="94"/>
  <c r="J26" i="94"/>
  <c r="R38" i="94"/>
  <c r="L45" i="94"/>
  <c r="N45" i="94" s="1"/>
  <c r="Z41" i="95"/>
  <c r="N32" i="96"/>
  <c r="J47" i="95"/>
  <c r="L53" i="95"/>
  <c r="N53" i="95" s="1"/>
  <c r="T12" i="96"/>
  <c r="Z13" i="96"/>
  <c r="N23" i="96"/>
  <c r="L32" i="96"/>
  <c r="X64" i="96"/>
  <c r="Z64" i="96"/>
  <c r="L14" i="94"/>
  <c r="T58" i="94"/>
  <c r="V58" i="94" s="1"/>
  <c r="D12" i="95"/>
  <c r="L13" i="95"/>
  <c r="N13" i="95" s="1"/>
  <c r="Z22" i="95"/>
  <c r="X41" i="95"/>
  <c r="J43" i="95"/>
  <c r="N47" i="95"/>
  <c r="J53" i="95"/>
  <c r="R34" i="96"/>
  <c r="R45" i="96"/>
  <c r="J73" i="96"/>
  <c r="Z77" i="96"/>
  <c r="X77" i="96"/>
  <c r="L39" i="98"/>
  <c r="N39" i="98" s="1"/>
  <c r="N14" i="94"/>
  <c r="L51" i="94"/>
  <c r="N51" i="94" s="1"/>
  <c r="H20" i="95"/>
  <c r="J35" i="95"/>
  <c r="Z22" i="99"/>
  <c r="T26" i="99"/>
  <c r="X39" i="95"/>
  <c r="Z39" i="95" s="1"/>
  <c r="X63" i="95"/>
  <c r="D12" i="96"/>
  <c r="N14" i="96"/>
  <c r="J17" i="96"/>
  <c r="N37" i="96"/>
  <c r="X75" i="96"/>
  <c r="J29" i="95"/>
  <c r="X47" i="95"/>
  <c r="Z47" i="95" s="1"/>
  <c r="J49" i="95"/>
  <c r="Z63" i="95"/>
  <c r="R64" i="96"/>
  <c r="R63" i="96"/>
  <c r="R59" i="96"/>
  <c r="R48" i="96"/>
  <c r="R47" i="96"/>
  <c r="R32" i="96"/>
  <c r="R31" i="96"/>
  <c r="R27" i="96"/>
  <c r="R78" i="96"/>
  <c r="R70" i="96"/>
  <c r="R39" i="96"/>
  <c r="R38" i="96"/>
  <c r="R23" i="96"/>
  <c r="R80" i="96"/>
  <c r="R66" i="96"/>
  <c r="R65" i="96"/>
  <c r="R50" i="96"/>
  <c r="R49" i="96"/>
  <c r="R33" i="96"/>
  <c r="R22" i="96"/>
  <c r="R20" i="96"/>
  <c r="R60" i="96"/>
  <c r="R71" i="96"/>
  <c r="R67" i="96"/>
  <c r="R52" i="96"/>
  <c r="R51" i="96"/>
  <c r="R73" i="96"/>
  <c r="R72" i="96"/>
  <c r="R68" i="96"/>
  <c r="R44" i="96"/>
  <c r="R75" i="96"/>
  <c r="R74" i="96"/>
  <c r="R62" i="96"/>
  <c r="R54" i="96"/>
  <c r="R41" i="96"/>
  <c r="P20" i="96"/>
  <c r="R76" i="96"/>
  <c r="R30" i="96"/>
  <c r="R25" i="96"/>
  <c r="R46" i="96"/>
  <c r="R77" i="96"/>
  <c r="R61" i="96"/>
  <c r="R42" i="96"/>
  <c r="R37" i="96"/>
  <c r="R17" i="96"/>
  <c r="R55" i="96"/>
  <c r="R24" i="96"/>
  <c r="R43" i="96"/>
  <c r="R69" i="96"/>
  <c r="Z75" i="96"/>
  <c r="J84" i="96"/>
  <c r="X14" i="94"/>
  <c r="Z14" i="94" s="1"/>
  <c r="N49" i="94"/>
  <c r="X13" i="95"/>
  <c r="J16" i="95"/>
  <c r="J31" i="95"/>
  <c r="L22" i="96"/>
  <c r="N22" i="96" s="1"/>
  <c r="R28" i="96"/>
  <c r="N50" i="96"/>
  <c r="J72" i="96"/>
  <c r="J66" i="95"/>
  <c r="J70" i="95"/>
  <c r="J60" i="95"/>
  <c r="J63" i="95"/>
  <c r="J50" i="95"/>
  <c r="J38" i="95"/>
  <c r="J32" i="95"/>
  <c r="J18" i="95"/>
  <c r="J51" i="95"/>
  <c r="J39" i="95"/>
  <c r="J33" i="95"/>
  <c r="J23" i="95"/>
  <c r="J64" i="95"/>
  <c r="J52" i="95"/>
  <c r="J40" i="95"/>
  <c r="J28" i="95"/>
  <c r="J24" i="95"/>
  <c r="J22" i="95"/>
  <c r="J20" i="95"/>
  <c r="J55" i="95"/>
  <c r="J61" i="95"/>
  <c r="J56" i="95"/>
  <c r="J44" i="95"/>
  <c r="J58" i="95"/>
  <c r="J46" i="95"/>
  <c r="L16" i="95"/>
  <c r="N16" i="95" s="1"/>
  <c r="J26" i="95"/>
  <c r="J62" i="95"/>
  <c r="R26" i="96"/>
  <c r="R35" i="96"/>
  <c r="J50" i="96"/>
  <c r="N59" i="94"/>
  <c r="X16" i="95"/>
  <c r="Z16" i="95" s="1"/>
  <c r="N41" i="95"/>
  <c r="L41" i="95"/>
  <c r="X49" i="94"/>
  <c r="Z49" i="94" s="1"/>
  <c r="H58" i="94"/>
  <c r="J58" i="94" s="1"/>
  <c r="L22" i="95"/>
  <c r="N22" i="95" s="1"/>
  <c r="J41" i="95"/>
  <c r="J45" i="95"/>
  <c r="J48" i="95"/>
  <c r="J54" i="95"/>
  <c r="J74" i="96"/>
  <c r="J62" i="96"/>
  <c r="J56" i="96"/>
  <c r="J30" i="96"/>
  <c r="J26" i="96"/>
  <c r="J16" i="96"/>
  <c r="J75" i="96"/>
  <c r="J69" i="96"/>
  <c r="J57" i="96"/>
  <c r="J45" i="96"/>
  <c r="J76" i="96"/>
  <c r="J58" i="96"/>
  <c r="J46" i="96"/>
  <c r="J36" i="96"/>
  <c r="J77" i="96"/>
  <c r="J63" i="96"/>
  <c r="J59" i="96"/>
  <c r="J47" i="96"/>
  <c r="J78" i="96"/>
  <c r="J70" i="96"/>
  <c r="J64" i="96"/>
  <c r="J48" i="96"/>
  <c r="J38" i="96"/>
  <c r="J32" i="96"/>
  <c r="J71" i="96"/>
  <c r="J67" i="96"/>
  <c r="J51" i="96"/>
  <c r="J41" i="96"/>
  <c r="J61" i="96"/>
  <c r="J53" i="96"/>
  <c r="J43" i="96"/>
  <c r="J60" i="96"/>
  <c r="J18" i="96"/>
  <c r="J35" i="96"/>
  <c r="J27" i="96"/>
  <c r="J33" i="96"/>
  <c r="J65" i="96"/>
  <c r="J44" i="96"/>
  <c r="H20" i="96"/>
  <c r="J20" i="96" s="1"/>
  <c r="J80" i="96"/>
  <c r="J68" i="96"/>
  <c r="J52" i="96"/>
  <c r="J39" i="96"/>
  <c r="J28" i="96"/>
  <c r="J22" i="96"/>
  <c r="J66" i="96"/>
  <c r="J37" i="96"/>
  <c r="J31" i="96"/>
  <c r="J23" i="96"/>
  <c r="L16" i="96"/>
  <c r="N16" i="96" s="1"/>
  <c r="J29" i="96"/>
  <c r="R58" i="96"/>
  <c r="X28" i="100"/>
  <c r="Z28" i="100" s="1"/>
  <c r="X13" i="96"/>
  <c r="L39" i="96"/>
  <c r="N39" i="96" s="1"/>
  <c r="Z73" i="96"/>
  <c r="T12" i="98"/>
  <c r="F39" i="98"/>
  <c r="L50" i="98"/>
  <c r="N50" i="98" s="1"/>
  <c r="F65" i="98"/>
  <c r="N18" i="99"/>
  <c r="L18" i="99"/>
  <c r="N13" i="101"/>
  <c r="H12" i="101"/>
  <c r="N14" i="99"/>
  <c r="L14" i="99"/>
  <c r="H16" i="99"/>
  <c r="P12" i="101"/>
  <c r="X13" i="101"/>
  <c r="L14" i="98"/>
  <c r="L23" i="98"/>
  <c r="Z48" i="98"/>
  <c r="H12" i="106"/>
  <c r="L14" i="106"/>
  <c r="N14" i="106" s="1"/>
  <c r="Z37" i="96"/>
  <c r="F59" i="98"/>
  <c r="F51" i="98"/>
  <c r="F50" i="98"/>
  <c r="F35" i="98"/>
  <c r="F67" i="98"/>
  <c r="F42" i="98"/>
  <c r="F41" i="98"/>
  <c r="F30" i="98"/>
  <c r="F26" i="98"/>
  <c r="F53" i="98"/>
  <c r="F52" i="98"/>
  <c r="F17" i="98"/>
  <c r="F16" i="98"/>
  <c r="F60" i="98"/>
  <c r="F44" i="98"/>
  <c r="F43" i="98"/>
  <c r="F36" i="98"/>
  <c r="F31" i="98"/>
  <c r="F27" i="98"/>
  <c r="F56" i="98"/>
  <c r="F55" i="98"/>
  <c r="F28" i="98"/>
  <c r="F24" i="98"/>
  <c r="F23" i="98"/>
  <c r="F63" i="98"/>
  <c r="F62" i="98"/>
  <c r="F47" i="98"/>
  <c r="F22" i="98"/>
  <c r="F20" i="98"/>
  <c r="F58" i="98"/>
  <c r="F57" i="98"/>
  <c r="F38" i="98"/>
  <c r="F34" i="98"/>
  <c r="D20" i="98"/>
  <c r="H12" i="98"/>
  <c r="L12" i="98" s="1"/>
  <c r="N14" i="98"/>
  <c r="N23" i="98"/>
  <c r="Z14" i="102"/>
  <c r="Z18" i="99"/>
  <c r="X18" i="99"/>
  <c r="Z52" i="96"/>
  <c r="F32" i="98"/>
  <c r="F45" i="98"/>
  <c r="Z36" i="100"/>
  <c r="Z22" i="101"/>
  <c r="X22" i="101"/>
  <c r="N48" i="96"/>
  <c r="L48" i="96"/>
  <c r="X14" i="98"/>
  <c r="Z14" i="98" s="1"/>
  <c r="L32" i="98"/>
  <c r="N32" i="98" s="1"/>
  <c r="F40" i="98"/>
  <c r="Z41" i="98"/>
  <c r="N45" i="98"/>
  <c r="L55" i="98"/>
  <c r="F64" i="98"/>
  <c r="F71" i="98"/>
  <c r="N43" i="96"/>
  <c r="Z54" i="96"/>
  <c r="X54" i="96"/>
  <c r="N64" i="96"/>
  <c r="L64" i="96"/>
  <c r="X32" i="98"/>
  <c r="Z32" i="98" s="1"/>
  <c r="Z39" i="100"/>
  <c r="L21" i="101"/>
  <c r="N21" i="101" s="1"/>
  <c r="V22" i="99"/>
  <c r="V28" i="100"/>
  <c r="V44" i="100"/>
  <c r="V49" i="100"/>
  <c r="T12" i="101"/>
  <c r="Z13" i="101"/>
  <c r="N22" i="101"/>
  <c r="X52" i="102"/>
  <c r="Z52" i="102" s="1"/>
  <c r="V41" i="103"/>
  <c r="V29" i="103"/>
  <c r="T16" i="103"/>
  <c r="V40" i="103"/>
  <c r="V32" i="103"/>
  <c r="V24" i="103"/>
  <c r="V20" i="103"/>
  <c r="V31" i="103"/>
  <c r="V46" i="103"/>
  <c r="V44" i="103"/>
  <c r="V42" i="103"/>
  <c r="V34" i="103"/>
  <c r="V33" i="103"/>
  <c r="V25" i="103"/>
  <c r="V21" i="103"/>
  <c r="V35" i="103"/>
  <c r="V37" i="103"/>
  <c r="V36" i="103"/>
  <c r="V28" i="103"/>
  <c r="Z12" i="103"/>
  <c r="V22" i="103"/>
  <c r="V30" i="103"/>
  <c r="V19" i="103"/>
  <c r="V50" i="103"/>
  <c r="V39" i="103"/>
  <c r="V26" i="103"/>
  <c r="X12" i="103"/>
  <c r="V23" i="103"/>
  <c r="Z34" i="103"/>
  <c r="V53" i="103"/>
  <c r="N14" i="104"/>
  <c r="L32" i="100"/>
  <c r="N32" i="100" s="1"/>
  <c r="Z34" i="100"/>
  <c r="X34" i="100"/>
  <c r="F47" i="102"/>
  <c r="F46" i="102"/>
  <c r="F31" i="102"/>
  <c r="F27" i="102"/>
  <c r="F67" i="102"/>
  <c r="F71" i="102"/>
  <c r="F66" i="102"/>
  <c r="F57" i="102"/>
  <c r="F49" i="102"/>
  <c r="F48" i="102"/>
  <c r="F37" i="102"/>
  <c r="F33" i="102"/>
  <c r="F32" i="102"/>
  <c r="F51" i="102"/>
  <c r="F50" i="102"/>
  <c r="F39" i="102"/>
  <c r="F38" i="102"/>
  <c r="F22" i="102"/>
  <c r="F58" i="102"/>
  <c r="F34" i="102"/>
  <c r="F53" i="102"/>
  <c r="F52" i="102"/>
  <c r="F43" i="102"/>
  <c r="F42" i="102"/>
  <c r="F35" i="102"/>
  <c r="F56" i="102"/>
  <c r="F54" i="102"/>
  <c r="F40" i="102"/>
  <c r="F29" i="102"/>
  <c r="F25" i="102"/>
  <c r="F45" i="102"/>
  <c r="D20" i="102"/>
  <c r="F20" i="102" s="1"/>
  <c r="F63" i="102"/>
  <c r="F61" i="102"/>
  <c r="F36" i="102"/>
  <c r="F30" i="102"/>
  <c r="F26" i="102"/>
  <c r="F24" i="102"/>
  <c r="F17" i="102"/>
  <c r="F16" i="102"/>
  <c r="F64" i="102"/>
  <c r="F62" i="102"/>
  <c r="F55" i="102"/>
  <c r="F28" i="102"/>
  <c r="L12" i="102"/>
  <c r="X50" i="102"/>
  <c r="F26" i="100"/>
  <c r="F22" i="100"/>
  <c r="F37" i="100"/>
  <c r="F36" i="100"/>
  <c r="L12" i="100"/>
  <c r="F42" i="100"/>
  <c r="F40" i="100"/>
  <c r="F27" i="100"/>
  <c r="F23" i="100"/>
  <c r="F24" i="100"/>
  <c r="F20" i="100"/>
  <c r="F19" i="100"/>
  <c r="F49" i="100"/>
  <c r="F46" i="100"/>
  <c r="F31" i="100"/>
  <c r="F30" i="100"/>
  <c r="N19" i="100"/>
  <c r="V27" i="100"/>
  <c r="F32" i="100"/>
  <c r="V33" i="100"/>
  <c r="F39" i="100"/>
  <c r="Z40" i="100"/>
  <c r="J66" i="102"/>
  <c r="J48" i="102"/>
  <c r="J32" i="102"/>
  <c r="J71" i="102"/>
  <c r="J57" i="102"/>
  <c r="J49" i="102"/>
  <c r="J37" i="102"/>
  <c r="J33" i="102"/>
  <c r="J50" i="102"/>
  <c r="J38" i="102"/>
  <c r="J28" i="102"/>
  <c r="J24" i="102"/>
  <c r="J22" i="102"/>
  <c r="J51" i="102"/>
  <c r="J58" i="102"/>
  <c r="J52" i="102"/>
  <c r="J40" i="102"/>
  <c r="J34" i="102"/>
  <c r="J59" i="102"/>
  <c r="J53" i="102"/>
  <c r="J41" i="102"/>
  <c r="J29" i="102"/>
  <c r="J25" i="102"/>
  <c r="J60" i="102"/>
  <c r="J62" i="102"/>
  <c r="J54" i="102"/>
  <c r="J44" i="102"/>
  <c r="J30" i="102"/>
  <c r="J26" i="102"/>
  <c r="J56" i="102"/>
  <c r="H20" i="102"/>
  <c r="J20" i="102" s="1"/>
  <c r="J63" i="102"/>
  <c r="J61" i="102"/>
  <c r="J45" i="102"/>
  <c r="J35" i="102"/>
  <c r="J31" i="102"/>
  <c r="J27" i="102"/>
  <c r="J43" i="102"/>
  <c r="J23" i="102"/>
  <c r="J46" i="102"/>
  <c r="J55" i="102"/>
  <c r="J17" i="102"/>
  <c r="J67" i="102"/>
  <c r="J64" i="102"/>
  <c r="N12" i="102"/>
  <c r="J39" i="102"/>
  <c r="F44" i="102"/>
  <c r="L46" i="102"/>
  <c r="N46" i="102" s="1"/>
  <c r="X48" i="102"/>
  <c r="Z48" i="102" s="1"/>
  <c r="V27" i="103"/>
  <c r="H73" i="104"/>
  <c r="V58" i="102"/>
  <c r="V42" i="102"/>
  <c r="V34" i="102"/>
  <c r="V61" i="102"/>
  <c r="V53" i="102"/>
  <c r="V41" i="102"/>
  <c r="V29" i="102"/>
  <c r="V25" i="102"/>
  <c r="V60" i="102"/>
  <c r="V44" i="102"/>
  <c r="V63" i="102"/>
  <c r="V55" i="102"/>
  <c r="V62" i="102"/>
  <c r="V54" i="102"/>
  <c r="V46" i="102"/>
  <c r="V30" i="102"/>
  <c r="V26" i="102"/>
  <c r="V67" i="102"/>
  <c r="V45" i="102"/>
  <c r="V66" i="102"/>
  <c r="V64" i="102"/>
  <c r="V56" i="102"/>
  <c r="V48" i="102"/>
  <c r="V50" i="102"/>
  <c r="V38" i="102"/>
  <c r="V71" i="102"/>
  <c r="V59" i="102"/>
  <c r="V43" i="102"/>
  <c r="V57" i="102"/>
  <c r="V36" i="102"/>
  <c r="V32" i="102"/>
  <c r="V17" i="102"/>
  <c r="V28" i="102"/>
  <c r="V24" i="102"/>
  <c r="V47" i="102"/>
  <c r="V39" i="102"/>
  <c r="V40" i="102"/>
  <c r="V37" i="102"/>
  <c r="T20" i="102"/>
  <c r="V35" i="102"/>
  <c r="L42" i="102"/>
  <c r="N42" i="102" s="1"/>
  <c r="Z50" i="102"/>
  <c r="F60" i="102"/>
  <c r="N24" i="106"/>
  <c r="V18" i="99"/>
  <c r="V24" i="99"/>
  <c r="N42" i="101"/>
  <c r="V23" i="102"/>
  <c r="J42" i="102"/>
  <c r="P46" i="103"/>
  <c r="X16" i="103"/>
  <c r="V18" i="103"/>
  <c r="P12" i="106"/>
  <c r="X15" i="106"/>
  <c r="V29" i="100"/>
  <c r="T16" i="100"/>
  <c r="V32" i="100"/>
  <c r="V24" i="100"/>
  <c r="V20" i="100"/>
  <c r="V31" i="100"/>
  <c r="V34" i="100"/>
  <c r="V35" i="100"/>
  <c r="V42" i="100"/>
  <c r="V40" i="100"/>
  <c r="V19" i="100"/>
  <c r="V39" i="100"/>
  <c r="V46" i="100"/>
  <c r="Z30" i="101"/>
  <c r="X30" i="101"/>
  <c r="V31" i="102"/>
  <c r="V33" i="102"/>
  <c r="V51" i="102"/>
  <c r="V48" i="103"/>
  <c r="F64" i="104"/>
  <c r="F63" i="104"/>
  <c r="F52" i="104"/>
  <c r="F51" i="104"/>
  <c r="F40" i="104"/>
  <c r="F36" i="104"/>
  <c r="L12" i="104"/>
  <c r="F59" i="104"/>
  <c r="F31" i="104"/>
  <c r="F27" i="104"/>
  <c r="F37" i="104"/>
  <c r="F68" i="104"/>
  <c r="F67" i="104"/>
  <c r="F60" i="104"/>
  <c r="F44" i="104"/>
  <c r="F43" i="104"/>
  <c r="F55" i="104"/>
  <c r="F56" i="104"/>
  <c r="F48" i="104"/>
  <c r="F47" i="104"/>
  <c r="F39" i="104"/>
  <c r="F35" i="104"/>
  <c r="F34" i="104"/>
  <c r="F61" i="104"/>
  <c r="F57" i="104"/>
  <c r="F24" i="104"/>
  <c r="F23" i="104"/>
  <c r="D21" i="104"/>
  <c r="F66" i="104"/>
  <c r="F53" i="104"/>
  <c r="F32" i="104"/>
  <c r="F30" i="104"/>
  <c r="F25" i="104"/>
  <c r="F69" i="104"/>
  <c r="F46" i="104"/>
  <c r="F41" i="104"/>
  <c r="F17" i="104"/>
  <c r="F58" i="104"/>
  <c r="F28" i="104"/>
  <c r="F18" i="104"/>
  <c r="F54" i="104"/>
  <c r="F62" i="104"/>
  <c r="F49" i="104"/>
  <c r="F26" i="104"/>
  <c r="F75" i="104"/>
  <c r="F71" i="104"/>
  <c r="F65" i="104"/>
  <c r="F38" i="104"/>
  <c r="F29" i="104"/>
  <c r="F50" i="104"/>
  <c r="F45" i="104"/>
  <c r="F33" i="104"/>
  <c r="F21" i="104"/>
  <c r="Z15" i="106"/>
  <c r="X13" i="98"/>
  <c r="F22" i="99"/>
  <c r="F20" i="99"/>
  <c r="F18" i="99"/>
  <c r="F16" i="99"/>
  <c r="F14" i="99"/>
  <c r="F24" i="99"/>
  <c r="D16" i="99"/>
  <c r="V16" i="99"/>
  <c r="X12" i="100"/>
  <c r="D16" i="100"/>
  <c r="V21" i="100"/>
  <c r="F25" i="100"/>
  <c r="V26" i="100"/>
  <c r="F28" i="100"/>
  <c r="F34" i="100"/>
  <c r="Z15" i="101"/>
  <c r="F18" i="102"/>
  <c r="J36" i="102"/>
  <c r="Z40" i="102"/>
  <c r="X40" i="102"/>
  <c r="J47" i="102"/>
  <c r="V49" i="102"/>
  <c r="V14" i="103"/>
  <c r="Z13" i="98"/>
  <c r="J24" i="99"/>
  <c r="J29" i="99"/>
  <c r="J26" i="99"/>
  <c r="Z12" i="100"/>
  <c r="F16" i="100"/>
  <c r="N28" i="100"/>
  <c r="X21" i="101"/>
  <c r="Z21" i="101" s="1"/>
  <c r="X42" i="101"/>
  <c r="Z42" i="101" s="1"/>
  <c r="J16" i="102"/>
  <c r="J18" i="102"/>
  <c r="V22" i="102"/>
  <c r="F59" i="102"/>
  <c r="Z63" i="102"/>
  <c r="L12" i="99"/>
  <c r="J20" i="99"/>
  <c r="F26" i="99"/>
  <c r="V29" i="99"/>
  <c r="V18" i="100"/>
  <c r="N39" i="100"/>
  <c r="F44" i="100"/>
  <c r="D12" i="101"/>
  <c r="L13" i="101"/>
  <c r="N36" i="101"/>
  <c r="L36" i="101"/>
  <c r="P12" i="102"/>
  <c r="X13" i="102"/>
  <c r="Z13" i="102" s="1"/>
  <c r="X22" i="102"/>
  <c r="Z22" i="102" s="1"/>
  <c r="F41" i="102"/>
  <c r="R68" i="104"/>
  <c r="R60" i="104"/>
  <c r="R45" i="104"/>
  <c r="R44" i="104"/>
  <c r="R32" i="104"/>
  <c r="R28" i="104"/>
  <c r="R55" i="104"/>
  <c r="R24" i="104"/>
  <c r="R69" i="104"/>
  <c r="R61" i="104"/>
  <c r="R34" i="104"/>
  <c r="R33" i="104"/>
  <c r="R71" i="104"/>
  <c r="R57" i="104"/>
  <c r="R56" i="104"/>
  <c r="R49" i="104"/>
  <c r="R48" i="104"/>
  <c r="R39" i="104"/>
  <c r="R65" i="104"/>
  <c r="R64" i="104"/>
  <c r="R53" i="104"/>
  <c r="R52" i="104"/>
  <c r="R41" i="104"/>
  <c r="R40" i="104"/>
  <c r="R36" i="104"/>
  <c r="R59" i="104"/>
  <c r="R31" i="104"/>
  <c r="R27" i="104"/>
  <c r="R46" i="104"/>
  <c r="R18" i="104"/>
  <c r="R58" i="104"/>
  <c r="R67" i="104"/>
  <c r="R54" i="104"/>
  <c r="R37" i="104"/>
  <c r="R35" i="104"/>
  <c r="R62" i="104"/>
  <c r="R26" i="104"/>
  <c r="R19" i="104"/>
  <c r="R47" i="104"/>
  <c r="R42" i="104"/>
  <c r="R75" i="104"/>
  <c r="R21" i="104"/>
  <c r="R38" i="104"/>
  <c r="R29" i="104"/>
  <c r="R23" i="104"/>
  <c r="P21" i="104"/>
  <c r="R43" i="104"/>
  <c r="X12" i="104"/>
  <c r="L24" i="104"/>
  <c r="N24" i="104" s="1"/>
  <c r="R63" i="104"/>
  <c r="R35" i="100"/>
  <c r="R36" i="100"/>
  <c r="N41" i="103"/>
  <c r="V55" i="104"/>
  <c r="V47" i="104"/>
  <c r="V23" i="104"/>
  <c r="V19" i="104"/>
  <c r="V46" i="104"/>
  <c r="V38" i="104"/>
  <c r="V34" i="104"/>
  <c r="V56" i="104"/>
  <c r="V48" i="104"/>
  <c r="V63" i="104"/>
  <c r="V51" i="104"/>
  <c r="V39" i="104"/>
  <c r="V35" i="104"/>
  <c r="V62" i="104"/>
  <c r="V58" i="104"/>
  <c r="V50" i="104"/>
  <c r="V67" i="104"/>
  <c r="V59" i="104"/>
  <c r="V43" i="104"/>
  <c r="V31" i="104"/>
  <c r="V66" i="104"/>
  <c r="V54" i="104"/>
  <c r="V42" i="104"/>
  <c r="V69" i="104"/>
  <c r="V49" i="104"/>
  <c r="V64" i="104"/>
  <c r="V37" i="104"/>
  <c r="V28" i="104"/>
  <c r="V44" i="104"/>
  <c r="V26" i="104"/>
  <c r="V71" i="104"/>
  <c r="V65" i="104"/>
  <c r="V60" i="104"/>
  <c r="V75" i="104"/>
  <c r="V33" i="104"/>
  <c r="T21" i="104"/>
  <c r="V21" i="104" s="1"/>
  <c r="V52" i="104"/>
  <c r="V45" i="104"/>
  <c r="V29" i="104"/>
  <c r="V24" i="104"/>
  <c r="V57" i="104"/>
  <c r="V36" i="104"/>
  <c r="V27" i="104"/>
  <c r="V17" i="104"/>
  <c r="Z12" i="104"/>
  <c r="V61" i="104"/>
  <c r="V41" i="104"/>
  <c r="V25" i="104"/>
  <c r="R17" i="104"/>
  <c r="J24" i="104"/>
  <c r="V40" i="104"/>
  <c r="N47" i="104"/>
  <c r="L47" i="104"/>
  <c r="H16" i="100"/>
  <c r="J31" i="100"/>
  <c r="N37" i="103"/>
  <c r="N39" i="103"/>
  <c r="N44" i="103"/>
  <c r="Z17" i="104"/>
  <c r="R30" i="104"/>
  <c r="R51" i="104"/>
  <c r="R66" i="104"/>
  <c r="V68" i="104"/>
  <c r="N43" i="106"/>
  <c r="Z44" i="102"/>
  <c r="X44" i="102"/>
  <c r="Z39" i="103"/>
  <c r="X39" i="103"/>
  <c r="J65" i="104"/>
  <c r="J59" i="104"/>
  <c r="J53" i="104"/>
  <c r="J41" i="104"/>
  <c r="J31" i="104"/>
  <c r="J27" i="104"/>
  <c r="J17" i="104"/>
  <c r="J66" i="104"/>
  <c r="J54" i="104"/>
  <c r="J42" i="104"/>
  <c r="J68" i="104"/>
  <c r="J60" i="104"/>
  <c r="J44" i="104"/>
  <c r="J55" i="104"/>
  <c r="J45" i="104"/>
  <c r="J46" i="104"/>
  <c r="J38" i="104"/>
  <c r="J71" i="104"/>
  <c r="J57" i="104"/>
  <c r="J49" i="104"/>
  <c r="J39" i="104"/>
  <c r="J35" i="104"/>
  <c r="J62" i="104"/>
  <c r="J58" i="104"/>
  <c r="J50" i="104"/>
  <c r="J30" i="104"/>
  <c r="J26" i="104"/>
  <c r="J32" i="104"/>
  <c r="N12" i="104"/>
  <c r="J51" i="104"/>
  <c r="J25" i="104"/>
  <c r="J69" i="104"/>
  <c r="J64" i="104"/>
  <c r="J28" i="104"/>
  <c r="J18" i="104"/>
  <c r="J67" i="104"/>
  <c r="J37" i="104"/>
  <c r="J56" i="104"/>
  <c r="J47" i="104"/>
  <c r="J33" i="104"/>
  <c r="J19" i="104"/>
  <c r="J75" i="104"/>
  <c r="J63" i="104"/>
  <c r="J40" i="104"/>
  <c r="J29" i="104"/>
  <c r="J21" i="104"/>
  <c r="V53" i="104"/>
  <c r="J28" i="100"/>
  <c r="R31" i="100"/>
  <c r="R32" i="100"/>
  <c r="J44" i="100"/>
  <c r="N22" i="102"/>
  <c r="Z32" i="102"/>
  <c r="N38" i="102"/>
  <c r="Z55" i="102"/>
  <c r="Z19" i="103"/>
  <c r="X19" i="103"/>
  <c r="Z37" i="103"/>
  <c r="N15" i="104"/>
  <c r="P16" i="100"/>
  <c r="R20" i="100"/>
  <c r="J23" i="100"/>
  <c r="R24" i="100"/>
  <c r="J27" i="100"/>
  <c r="J39" i="100"/>
  <c r="N61" i="102"/>
  <c r="L66" i="102"/>
  <c r="N23" i="104"/>
  <c r="L23" i="104"/>
  <c r="J36" i="104"/>
  <c r="J43" i="104"/>
  <c r="J52" i="104"/>
  <c r="R14" i="100"/>
  <c r="R16" i="100"/>
  <c r="R18" i="100"/>
  <c r="R29" i="100"/>
  <c r="R30" i="100"/>
  <c r="J40" i="100"/>
  <c r="J42" i="100"/>
  <c r="R46" i="100"/>
  <c r="R49" i="100"/>
  <c r="L50" i="102"/>
  <c r="N50" i="102" s="1"/>
  <c r="Z28" i="103"/>
  <c r="X15" i="104"/>
  <c r="V18" i="104"/>
  <c r="J23" i="104"/>
  <c r="R25" i="104"/>
  <c r="J48" i="104"/>
  <c r="R50" i="104"/>
  <c r="P31" i="105"/>
  <c r="R19" i="100"/>
  <c r="N63" i="102"/>
  <c r="X66" i="102"/>
  <c r="Z15" i="104"/>
  <c r="J34" i="104"/>
  <c r="Z41" i="104"/>
  <c r="X41" i="104"/>
  <c r="J44" i="103"/>
  <c r="J46" i="103"/>
  <c r="N26" i="105"/>
  <c r="Z41" i="106"/>
  <c r="X41" i="106"/>
  <c r="Z45" i="106"/>
  <c r="D16" i="103"/>
  <c r="J21" i="103"/>
  <c r="R22" i="103"/>
  <c r="J25" i="103"/>
  <c r="R26" i="103"/>
  <c r="J33" i="103"/>
  <c r="F41" i="103"/>
  <c r="F42" i="103"/>
  <c r="R48" i="103"/>
  <c r="X34" i="104"/>
  <c r="Z34" i="104" s="1"/>
  <c r="X53" i="104"/>
  <c r="Z53" i="104" s="1"/>
  <c r="N29" i="105"/>
  <c r="F17" i="106"/>
  <c r="Z43" i="106"/>
  <c r="H16" i="103"/>
  <c r="J31" i="103"/>
  <c r="F39" i="103"/>
  <c r="F40" i="103"/>
  <c r="J41" i="103"/>
  <c r="X45" i="104"/>
  <c r="Z45" i="104" s="1"/>
  <c r="F71" i="106"/>
  <c r="F70" i="106"/>
  <c r="F63" i="106"/>
  <c r="F58" i="106"/>
  <c r="F50" i="106"/>
  <c r="F49" i="106"/>
  <c r="F73" i="106"/>
  <c r="F64" i="106"/>
  <c r="F52" i="106"/>
  <c r="F51" i="106"/>
  <c r="F77" i="106"/>
  <c r="F59" i="106"/>
  <c r="F54" i="106"/>
  <c r="F53" i="106"/>
  <c r="F65" i="106"/>
  <c r="F61" i="106"/>
  <c r="F60" i="106"/>
  <c r="F23" i="106"/>
  <c r="F57" i="106"/>
  <c r="F39" i="106"/>
  <c r="F35" i="106"/>
  <c r="F34" i="106"/>
  <c r="D21" i="106"/>
  <c r="F21" i="106" s="1"/>
  <c r="F69" i="106"/>
  <c r="F45" i="106"/>
  <c r="F30" i="106"/>
  <c r="F26" i="106"/>
  <c r="F67" i="106"/>
  <c r="F55" i="106"/>
  <c r="F48" i="106"/>
  <c r="F40" i="106"/>
  <c r="F36" i="106"/>
  <c r="L12" i="106"/>
  <c r="F31" i="106"/>
  <c r="F27" i="106"/>
  <c r="F62" i="106"/>
  <c r="F56" i="106"/>
  <c r="F43" i="106"/>
  <c r="F32" i="106"/>
  <c r="F28" i="106"/>
  <c r="F68" i="106"/>
  <c r="F19" i="106"/>
  <c r="F42" i="106"/>
  <c r="F44" i="106"/>
  <c r="F46" i="106"/>
  <c r="J14" i="103"/>
  <c r="J16" i="103"/>
  <c r="J18" i="103"/>
  <c r="J20" i="103"/>
  <c r="R21" i="103"/>
  <c r="J24" i="103"/>
  <c r="R25" i="103"/>
  <c r="F28" i="103"/>
  <c r="F29" i="103"/>
  <c r="J30" i="103"/>
  <c r="R33" i="103"/>
  <c r="R34" i="103"/>
  <c r="J40" i="103"/>
  <c r="R44" i="103"/>
  <c r="R46" i="103"/>
  <c r="N67" i="104"/>
  <c r="Z17" i="106"/>
  <c r="L24" i="106"/>
  <c r="F38" i="106"/>
  <c r="J68" i="108"/>
  <c r="J19" i="103"/>
  <c r="J29" i="103"/>
  <c r="F37" i="103"/>
  <c r="F38" i="103"/>
  <c r="J39" i="103"/>
  <c r="R42" i="103"/>
  <c r="L13" i="104"/>
  <c r="N13" i="104" s="1"/>
  <c r="X65" i="104"/>
  <c r="Z65" i="104" s="1"/>
  <c r="T12" i="106"/>
  <c r="Z14" i="106"/>
  <c r="F24" i="106"/>
  <c r="J58" i="108"/>
  <c r="J28" i="103"/>
  <c r="J38" i="103"/>
  <c r="F50" i="103"/>
  <c r="F53" i="103"/>
  <c r="L22" i="105"/>
  <c r="N22" i="105" s="1"/>
  <c r="N34" i="106"/>
  <c r="L12" i="103"/>
  <c r="R20" i="103"/>
  <c r="J23" i="103"/>
  <c r="R24" i="103"/>
  <c r="J27" i="103"/>
  <c r="F36" i="103"/>
  <c r="J37" i="103"/>
  <c r="R40" i="103"/>
  <c r="R41" i="103"/>
  <c r="N51" i="104"/>
  <c r="F18" i="106"/>
  <c r="F66" i="106"/>
  <c r="J59" i="108"/>
  <c r="J43" i="108"/>
  <c r="J31" i="108"/>
  <c r="J27" i="108"/>
  <c r="J72" i="108"/>
  <c r="J54" i="108"/>
  <c r="J44" i="108"/>
  <c r="J18" i="108"/>
  <c r="J45" i="108"/>
  <c r="J37" i="108"/>
  <c r="J23" i="108"/>
  <c r="J77" i="108"/>
  <c r="J74" i="108"/>
  <c r="J60" i="108"/>
  <c r="J46" i="108"/>
  <c r="J32" i="108"/>
  <c r="J28" i="108"/>
  <c r="J24" i="108"/>
  <c r="J22" i="108"/>
  <c r="J20" i="108"/>
  <c r="J61" i="108"/>
  <c r="J55" i="108"/>
  <c r="J47" i="108"/>
  <c r="J33" i="108"/>
  <c r="H20" i="108"/>
  <c r="J62" i="108"/>
  <c r="J56" i="108"/>
  <c r="J48" i="108"/>
  <c r="J38" i="108"/>
  <c r="J34" i="108"/>
  <c r="J63" i="108"/>
  <c r="J57" i="108"/>
  <c r="J49" i="108"/>
  <c r="J29" i="108"/>
  <c r="J25" i="108"/>
  <c r="J64" i="108"/>
  <c r="J50" i="108"/>
  <c r="J35" i="108"/>
  <c r="J53" i="108"/>
  <c r="J39" i="108"/>
  <c r="N12" i="108"/>
  <c r="J70" i="108"/>
  <c r="J66" i="108"/>
  <c r="J42" i="108"/>
  <c r="J51" i="108"/>
  <c r="J40" i="108"/>
  <c r="J26" i="108"/>
  <c r="J16" i="108"/>
  <c r="J65" i="108"/>
  <c r="J17" i="108"/>
  <c r="N12" i="103"/>
  <c r="R14" i="103"/>
  <c r="R16" i="103"/>
  <c r="R18" i="103"/>
  <c r="R29" i="103"/>
  <c r="R30" i="103"/>
  <c r="J36" i="103"/>
  <c r="J50" i="103"/>
  <c r="N18" i="105"/>
  <c r="N16" i="108"/>
  <c r="L16" i="108"/>
  <c r="T70" i="108"/>
  <c r="R19" i="103"/>
  <c r="F22" i="103"/>
  <c r="F26" i="103"/>
  <c r="R38" i="103"/>
  <c r="N15" i="106"/>
  <c r="L23" i="106"/>
  <c r="N23" i="106" s="1"/>
  <c r="Z24" i="106"/>
  <c r="F33" i="106"/>
  <c r="X34" i="106"/>
  <c r="Z34" i="106" s="1"/>
  <c r="F41" i="106"/>
  <c r="F47" i="106"/>
  <c r="J52" i="108"/>
  <c r="V63" i="108"/>
  <c r="V55" i="108"/>
  <c r="V47" i="108"/>
  <c r="V62" i="108"/>
  <c r="V50" i="108"/>
  <c r="V38" i="108"/>
  <c r="V34" i="108"/>
  <c r="V65" i="108"/>
  <c r="V57" i="108"/>
  <c r="V49" i="108"/>
  <c r="V29" i="108"/>
  <c r="V25" i="108"/>
  <c r="V64" i="108"/>
  <c r="V52" i="108"/>
  <c r="V40" i="108"/>
  <c r="V16" i="108"/>
  <c r="V51" i="108"/>
  <c r="V39" i="108"/>
  <c r="V35" i="108"/>
  <c r="V70" i="108"/>
  <c r="V68" i="108"/>
  <c r="V66" i="108"/>
  <c r="V58" i="108"/>
  <c r="V42" i="108"/>
  <c r="V30" i="108"/>
  <c r="V26" i="108"/>
  <c r="V53" i="108"/>
  <c r="V41" i="108"/>
  <c r="V17" i="108"/>
  <c r="V44" i="108"/>
  <c r="V36" i="108"/>
  <c r="Z12" i="108"/>
  <c r="V31" i="108"/>
  <c r="V59" i="108"/>
  <c r="T16" i="105"/>
  <c r="R19" i="105"/>
  <c r="J25" i="105"/>
  <c r="R29" i="105"/>
  <c r="R31" i="105"/>
  <c r="N47" i="106"/>
  <c r="L56" i="106"/>
  <c r="N56" i="106" s="1"/>
  <c r="V20" i="108"/>
  <c r="V27" i="108"/>
  <c r="V33" i="108"/>
  <c r="R44" i="108"/>
  <c r="R46" i="108"/>
  <c r="V61" i="108"/>
  <c r="V14" i="105"/>
  <c r="V16" i="105"/>
  <c r="V18" i="105"/>
  <c r="F22" i="105"/>
  <c r="F23" i="105"/>
  <c r="J24" i="105"/>
  <c r="R27" i="105"/>
  <c r="N68" i="106"/>
  <c r="H24" i="107"/>
  <c r="X23" i="108"/>
  <c r="Z23" i="108" s="1"/>
  <c r="Z44" i="108"/>
  <c r="Z46" i="108"/>
  <c r="V48" i="108"/>
  <c r="N52" i="108"/>
  <c r="R72" i="108"/>
  <c r="D16" i="105"/>
  <c r="J35" i="105"/>
  <c r="J38" i="105"/>
  <c r="Z47" i="106"/>
  <c r="X47" i="106"/>
  <c r="D16" i="107"/>
  <c r="V23" i="108"/>
  <c r="V32" i="108"/>
  <c r="V43" i="108"/>
  <c r="R45" i="108"/>
  <c r="R54" i="108"/>
  <c r="V60" i="108"/>
  <c r="R23" i="105"/>
  <c r="R24" i="105"/>
  <c r="V26" i="105"/>
  <c r="F33" i="105"/>
  <c r="R22" i="108"/>
  <c r="R36" i="108"/>
  <c r="V45" i="108"/>
  <c r="V54" i="108"/>
  <c r="V56" i="108"/>
  <c r="D16" i="109"/>
  <c r="Z55" i="110"/>
  <c r="H16" i="105"/>
  <c r="F19" i="105"/>
  <c r="F20" i="105"/>
  <c r="V23" i="105"/>
  <c r="F29" i="105"/>
  <c r="F31" i="105"/>
  <c r="J33" i="105"/>
  <c r="Z22" i="108"/>
  <c r="V28" i="108"/>
  <c r="L40" i="108"/>
  <c r="N40" i="108" s="1"/>
  <c r="P35" i="109"/>
  <c r="Z49" i="106"/>
  <c r="X51" i="106"/>
  <c r="Z51" i="106" s="1"/>
  <c r="Z16" i="108"/>
  <c r="V18" i="108"/>
  <c r="V22" i="108"/>
  <c r="V74" i="108"/>
  <c r="V24" i="109"/>
  <c r="V20" i="109"/>
  <c r="V42" i="109"/>
  <c r="V39" i="109"/>
  <c r="V37" i="109"/>
  <c r="V25" i="109"/>
  <c r="V26" i="109"/>
  <c r="V22" i="109"/>
  <c r="V28" i="109"/>
  <c r="V35" i="109"/>
  <c r="V33" i="109"/>
  <c r="V16" i="109"/>
  <c r="T16" i="109"/>
  <c r="V18" i="109"/>
  <c r="V19" i="109"/>
  <c r="V31" i="109"/>
  <c r="V21" i="109"/>
  <c r="V27" i="109"/>
  <c r="V23" i="109"/>
  <c r="J19" i="105"/>
  <c r="V21" i="105"/>
  <c r="J29" i="105"/>
  <c r="R35" i="105"/>
  <c r="R38" i="105"/>
  <c r="N45" i="106"/>
  <c r="L18" i="107"/>
  <c r="N18" i="107" s="1"/>
  <c r="D12" i="108"/>
  <c r="L14" i="108"/>
  <c r="X22" i="108"/>
  <c r="V24" i="108"/>
  <c r="L18" i="109"/>
  <c r="N18" i="109" s="1"/>
  <c r="F26" i="105"/>
  <c r="Z53" i="106"/>
  <c r="R61" i="108"/>
  <c r="R60" i="108"/>
  <c r="R33" i="108"/>
  <c r="R32" i="108"/>
  <c r="R28" i="108"/>
  <c r="R24" i="108"/>
  <c r="P20" i="108"/>
  <c r="R56" i="108"/>
  <c r="R55" i="108"/>
  <c r="R48" i="108"/>
  <c r="R47" i="108"/>
  <c r="R63" i="108"/>
  <c r="R62" i="108"/>
  <c r="R38" i="108"/>
  <c r="R34" i="108"/>
  <c r="R57" i="108"/>
  <c r="R50" i="108"/>
  <c r="R49" i="108"/>
  <c r="R29" i="108"/>
  <c r="R25" i="108"/>
  <c r="R65" i="108"/>
  <c r="R64" i="108"/>
  <c r="R52" i="108"/>
  <c r="R51" i="108"/>
  <c r="R40" i="108"/>
  <c r="R39" i="108"/>
  <c r="R35" i="108"/>
  <c r="R16" i="108"/>
  <c r="R66" i="108"/>
  <c r="R58" i="108"/>
  <c r="R30" i="108"/>
  <c r="R26" i="108"/>
  <c r="R68" i="108"/>
  <c r="R53" i="108"/>
  <c r="R42" i="108"/>
  <c r="R41" i="108"/>
  <c r="R17" i="108"/>
  <c r="R31" i="108"/>
  <c r="L50" i="108"/>
  <c r="R59" i="108"/>
  <c r="L65" i="108"/>
  <c r="J14" i="107"/>
  <c r="J16" i="107"/>
  <c r="J18" i="107"/>
  <c r="J20" i="107"/>
  <c r="V26" i="107"/>
  <c r="V28" i="107"/>
  <c r="V31" i="107"/>
  <c r="F14" i="109"/>
  <c r="H16" i="109"/>
  <c r="N29" i="110"/>
  <c r="R31" i="110"/>
  <c r="L42" i="110"/>
  <c r="R22" i="107"/>
  <c r="R24" i="107"/>
  <c r="J14" i="109"/>
  <c r="Z19" i="109"/>
  <c r="X33" i="109"/>
  <c r="Z33" i="109" s="1"/>
  <c r="N44" i="110"/>
  <c r="P16" i="107"/>
  <c r="F28" i="109"/>
  <c r="F27" i="109"/>
  <c r="F23" i="109"/>
  <c r="F29" i="109"/>
  <c r="F35" i="109"/>
  <c r="F33" i="109"/>
  <c r="F37" i="109"/>
  <c r="F32" i="109"/>
  <c r="F31" i="109"/>
  <c r="F25" i="109"/>
  <c r="F21" i="109"/>
  <c r="F42" i="109"/>
  <c r="F39" i="109"/>
  <c r="R35" i="109"/>
  <c r="N42" i="110"/>
  <c r="N12" i="107"/>
  <c r="R14" i="107"/>
  <c r="R16" i="107"/>
  <c r="R18" i="107"/>
  <c r="V20" i="107"/>
  <c r="V22" i="107"/>
  <c r="V24" i="107"/>
  <c r="F28" i="107"/>
  <c r="F31" i="107"/>
  <c r="L13" i="108"/>
  <c r="J28" i="109"/>
  <c r="J23" i="109"/>
  <c r="J35" i="109"/>
  <c r="J33" i="109"/>
  <c r="J29" i="109"/>
  <c r="J32" i="109"/>
  <c r="J24" i="109"/>
  <c r="J20" i="109"/>
  <c r="J37" i="109"/>
  <c r="J31" i="109"/>
  <c r="J42" i="109"/>
  <c r="J39" i="109"/>
  <c r="J25" i="109"/>
  <c r="J21" i="109"/>
  <c r="F22" i="109"/>
  <c r="F24" i="109"/>
  <c r="N20" i="110"/>
  <c r="X48" i="110"/>
  <c r="T16" i="107"/>
  <c r="N13" i="108"/>
  <c r="L12" i="109"/>
  <c r="X18" i="109"/>
  <c r="Z18" i="109" s="1"/>
  <c r="F20" i="109"/>
  <c r="J22" i="109"/>
  <c r="D12" i="110"/>
  <c r="L13" i="110"/>
  <c r="V14" i="107"/>
  <c r="V16" i="107"/>
  <c r="V18" i="107"/>
  <c r="J28" i="107"/>
  <c r="H12" i="110"/>
  <c r="N13" i="110"/>
  <c r="Z38" i="110"/>
  <c r="Z48" i="110"/>
  <c r="R32" i="109"/>
  <c r="R29" i="109"/>
  <c r="R18" i="109"/>
  <c r="R16" i="109"/>
  <c r="R31" i="109"/>
  <c r="R24" i="109"/>
  <c r="R20" i="109"/>
  <c r="R37" i="109"/>
  <c r="R42" i="109"/>
  <c r="R39" i="109"/>
  <c r="R25" i="109"/>
  <c r="R21" i="109"/>
  <c r="R27" i="109"/>
  <c r="R26" i="109"/>
  <c r="R22" i="109"/>
  <c r="R28" i="109"/>
  <c r="T31" i="109"/>
  <c r="Z32" i="109"/>
  <c r="X32" i="109"/>
  <c r="R26" i="110"/>
  <c r="R22" i="110"/>
  <c r="R49" i="110"/>
  <c r="R38" i="110"/>
  <c r="R37" i="110"/>
  <c r="R32" i="110"/>
  <c r="X12" i="110"/>
  <c r="Z12" i="110" s="1"/>
  <c r="R40" i="110"/>
  <c r="R39" i="110"/>
  <c r="R27" i="110"/>
  <c r="R23" i="110"/>
  <c r="R51" i="110"/>
  <c r="R50" i="110"/>
  <c r="R42" i="110"/>
  <c r="R41" i="110"/>
  <c r="R33" i="110"/>
  <c r="R55" i="110"/>
  <c r="R52" i="110"/>
  <c r="R29" i="110"/>
  <c r="R28" i="110"/>
  <c r="R24" i="110"/>
  <c r="R44" i="110"/>
  <c r="R43" i="110"/>
  <c r="R20" i="110"/>
  <c r="R34" i="110"/>
  <c r="R30" i="110"/>
  <c r="R19" i="110"/>
  <c r="R15" i="110"/>
  <c r="R59" i="110"/>
  <c r="R46" i="110"/>
  <c r="R45" i="110"/>
  <c r="R25" i="110"/>
  <c r="R21" i="110"/>
  <c r="P17" i="110"/>
  <c r="R17" i="110" s="1"/>
  <c r="Z36" i="110"/>
  <c r="H54" i="110"/>
  <c r="N55" i="110"/>
  <c r="V36" i="110"/>
  <c r="V48" i="110"/>
  <c r="D31" i="109"/>
  <c r="L31" i="109" s="1"/>
  <c r="V21" i="110"/>
  <c r="V25" i="110"/>
  <c r="V45" i="110"/>
  <c r="P54" i="110"/>
  <c r="X54" i="110" s="1"/>
  <c r="V59" i="110"/>
  <c r="T17" i="110"/>
  <c r="V30" i="110"/>
  <c r="V34" i="110"/>
  <c r="V46" i="110"/>
  <c r="H31" i="109"/>
  <c r="V15" i="110"/>
  <c r="V19" i="110"/>
  <c r="V43" i="110"/>
  <c r="T54" i="110"/>
  <c r="V24" i="110"/>
  <c r="V28" i="110"/>
  <c r="V44" i="110"/>
  <c r="V52" i="110"/>
  <c r="V54" i="110"/>
  <c r="V29" i="110"/>
  <c r="V33" i="110"/>
  <c r="V41" i="110"/>
  <c r="X44" i="110"/>
  <c r="Z44" i="110" s="1"/>
  <c r="V55" i="110"/>
  <c r="V42" i="110"/>
  <c r="V50" i="110"/>
  <c r="L33" i="109"/>
  <c r="N33" i="109" s="1"/>
  <c r="V23" i="110"/>
  <c r="V27" i="110"/>
  <c r="V39" i="110"/>
  <c r="V51" i="110"/>
  <c r="V32" i="110"/>
  <c r="V40" i="110"/>
  <c r="V37" i="110"/>
  <c r="F55" i="110" l="1"/>
  <c r="F34" i="110"/>
  <c r="F30" i="110"/>
  <c r="F29" i="110"/>
  <c r="F59" i="110"/>
  <c r="F54" i="110"/>
  <c r="F45" i="110"/>
  <c r="F44" i="110"/>
  <c r="F25" i="110"/>
  <c r="F21" i="110"/>
  <c r="F20" i="110"/>
  <c r="F19" i="110"/>
  <c r="F15" i="110"/>
  <c r="F47" i="110"/>
  <c r="F46" i="110"/>
  <c r="F35" i="110"/>
  <c r="F31" i="110"/>
  <c r="D17" i="110"/>
  <c r="F26" i="110"/>
  <c r="F22" i="110"/>
  <c r="F49" i="110"/>
  <c r="F48" i="110"/>
  <c r="F37" i="110"/>
  <c r="F36" i="110"/>
  <c r="F32" i="110"/>
  <c r="L12" i="110"/>
  <c r="F39" i="110"/>
  <c r="F38" i="110"/>
  <c r="F27" i="110"/>
  <c r="F23" i="110"/>
  <c r="F50" i="110"/>
  <c r="F41" i="110"/>
  <c r="F40" i="110"/>
  <c r="F33" i="110"/>
  <c r="F43" i="110"/>
  <c r="F28" i="110"/>
  <c r="F51" i="110"/>
  <c r="F42" i="110"/>
  <c r="F24" i="110"/>
  <c r="F52" i="110"/>
  <c r="H77" i="104"/>
  <c r="R21" i="101"/>
  <c r="R19" i="101"/>
  <c r="X12" i="101"/>
  <c r="R46" i="101"/>
  <c r="R43" i="101"/>
  <c r="R32" i="101"/>
  <c r="R31" i="101"/>
  <c r="R23" i="101"/>
  <c r="P19" i="101"/>
  <c r="R45" i="101"/>
  <c r="R34" i="101"/>
  <c r="R33" i="101"/>
  <c r="R50" i="101"/>
  <c r="R24" i="101"/>
  <c r="R15" i="101"/>
  <c r="R38" i="101"/>
  <c r="R37" i="101"/>
  <c r="R26" i="101"/>
  <c r="R25" i="101"/>
  <c r="R39" i="101"/>
  <c r="R29" i="101"/>
  <c r="R27" i="101"/>
  <c r="R42" i="101"/>
  <c r="R17" i="101"/>
  <c r="R40" i="101"/>
  <c r="R30" i="101"/>
  <c r="R22" i="101"/>
  <c r="R36" i="101"/>
  <c r="R16" i="101"/>
  <c r="R41" i="101"/>
  <c r="R35" i="101"/>
  <c r="R28" i="101"/>
  <c r="P73" i="84"/>
  <c r="X20" i="84"/>
  <c r="R20" i="84"/>
  <c r="P120" i="39"/>
  <c r="X33" i="39"/>
  <c r="T27" i="41"/>
  <c r="Z18" i="41"/>
  <c r="F36" i="108"/>
  <c r="L12" i="108"/>
  <c r="F68" i="108"/>
  <c r="F59" i="108"/>
  <c r="F43" i="108"/>
  <c r="F42" i="108"/>
  <c r="F31" i="108"/>
  <c r="F27" i="108"/>
  <c r="F72" i="108"/>
  <c r="F54" i="108"/>
  <c r="F18" i="108"/>
  <c r="F45" i="108"/>
  <c r="F44" i="108"/>
  <c r="F37" i="108"/>
  <c r="F60" i="108"/>
  <c r="F32" i="108"/>
  <c r="F28" i="108"/>
  <c r="F24" i="108"/>
  <c r="F23" i="108"/>
  <c r="F55" i="108"/>
  <c r="F47" i="108"/>
  <c r="F46" i="108"/>
  <c r="F22" i="108"/>
  <c r="F62" i="108"/>
  <c r="F61" i="108"/>
  <c r="F38" i="108"/>
  <c r="F34" i="108"/>
  <c r="F33" i="108"/>
  <c r="D20" i="108"/>
  <c r="F20" i="108" s="1"/>
  <c r="F57" i="108"/>
  <c r="F56" i="108"/>
  <c r="F49" i="108"/>
  <c r="F48" i="108"/>
  <c r="F29" i="108"/>
  <c r="F25" i="108"/>
  <c r="F63" i="108"/>
  <c r="F17" i="108"/>
  <c r="F35" i="108"/>
  <c r="F53" i="108"/>
  <c r="F39" i="108"/>
  <c r="F66" i="108"/>
  <c r="F64" i="108"/>
  <c r="F51" i="108"/>
  <c r="F26" i="108"/>
  <c r="F52" i="108"/>
  <c r="F65" i="108"/>
  <c r="F50" i="108"/>
  <c r="F41" i="108"/>
  <c r="F16" i="108"/>
  <c r="F58" i="108"/>
  <c r="F40" i="108"/>
  <c r="F30" i="108"/>
  <c r="H22" i="99"/>
  <c r="N16" i="99"/>
  <c r="T29" i="99"/>
  <c r="Z29" i="99" s="1"/>
  <c r="Z26" i="99"/>
  <c r="F66" i="95"/>
  <c r="F59" i="95"/>
  <c r="F31" i="95"/>
  <c r="F27" i="95"/>
  <c r="F50" i="95"/>
  <c r="F49" i="95"/>
  <c r="F38" i="95"/>
  <c r="F37" i="95"/>
  <c r="F18" i="95"/>
  <c r="F63" i="95"/>
  <c r="F33" i="95"/>
  <c r="F32" i="95"/>
  <c r="F54" i="95"/>
  <c r="F53" i="95"/>
  <c r="F29" i="95"/>
  <c r="F25" i="95"/>
  <c r="F57" i="95"/>
  <c r="F51" i="95"/>
  <c r="F28" i="95"/>
  <c r="F48" i="95"/>
  <c r="L12" i="95"/>
  <c r="N12" i="95" s="1"/>
  <c r="F64" i="95"/>
  <c r="F45" i="95"/>
  <c r="F41" i="95"/>
  <c r="F34" i="95"/>
  <c r="F23" i="95"/>
  <c r="F62" i="95"/>
  <c r="F26" i="95"/>
  <c r="F60" i="95"/>
  <c r="F58" i="95"/>
  <c r="F52" i="95"/>
  <c r="F42" i="95"/>
  <c r="F46" i="95"/>
  <c r="F24" i="95"/>
  <c r="F16" i="95"/>
  <c r="F55" i="95"/>
  <c r="F35" i="95"/>
  <c r="F56" i="95"/>
  <c r="F39" i="95"/>
  <c r="D20" i="95"/>
  <c r="F20" i="95" s="1"/>
  <c r="F70" i="95"/>
  <c r="F43" i="95"/>
  <c r="F17" i="95"/>
  <c r="F44" i="95"/>
  <c r="F30" i="95"/>
  <c r="F22" i="95"/>
  <c r="F36" i="95"/>
  <c r="F40" i="95"/>
  <c r="F47" i="95"/>
  <c r="F61" i="95"/>
  <c r="T78" i="92"/>
  <c r="Z16" i="92"/>
  <c r="T68" i="93"/>
  <c r="D26" i="86"/>
  <c r="L18" i="86"/>
  <c r="N18" i="86" s="1"/>
  <c r="F18" i="86"/>
  <c r="R23" i="80"/>
  <c r="R18" i="80"/>
  <c r="R46" i="80"/>
  <c r="R45" i="80"/>
  <c r="R34" i="80"/>
  <c r="R33" i="80"/>
  <c r="R22" i="80"/>
  <c r="R53" i="80"/>
  <c r="R52" i="80"/>
  <c r="R29" i="80"/>
  <c r="R28" i="80"/>
  <c r="R24" i="80"/>
  <c r="P20" i="80"/>
  <c r="R20" i="80" s="1"/>
  <c r="R47" i="80"/>
  <c r="R36" i="80"/>
  <c r="R35" i="80"/>
  <c r="R55" i="80"/>
  <c r="R54" i="80"/>
  <c r="R30" i="80"/>
  <c r="R50" i="80"/>
  <c r="R26" i="80"/>
  <c r="R58" i="80"/>
  <c r="R41" i="80"/>
  <c r="R62" i="80"/>
  <c r="R42" i="80"/>
  <c r="R39" i="80"/>
  <c r="R17" i="80"/>
  <c r="R48" i="80"/>
  <c r="R31" i="80"/>
  <c r="R51" i="80"/>
  <c r="R49" i="80"/>
  <c r="R43" i="80"/>
  <c r="R56" i="80"/>
  <c r="R38" i="80"/>
  <c r="R32" i="80"/>
  <c r="R16" i="80"/>
  <c r="R44" i="80"/>
  <c r="R27" i="80"/>
  <c r="R25" i="80"/>
  <c r="R37" i="80"/>
  <c r="X12" i="80"/>
  <c r="Z12" i="80" s="1"/>
  <c r="R40" i="80"/>
  <c r="T76" i="88"/>
  <c r="Z20" i="88"/>
  <c r="D90" i="64"/>
  <c r="L16" i="64"/>
  <c r="N16" i="59"/>
  <c r="H59" i="59"/>
  <c r="R78" i="45"/>
  <c r="R70" i="45"/>
  <c r="R66" i="45"/>
  <c r="R30" i="45"/>
  <c r="R26" i="45"/>
  <c r="R50" i="45"/>
  <c r="R61" i="45"/>
  <c r="R60" i="45"/>
  <c r="R81" i="45"/>
  <c r="R62" i="45"/>
  <c r="R18" i="45"/>
  <c r="R54" i="45"/>
  <c r="R53" i="45"/>
  <c r="R42" i="45"/>
  <c r="R41" i="45"/>
  <c r="R37" i="45"/>
  <c r="R85" i="45"/>
  <c r="R63" i="45"/>
  <c r="R56" i="45"/>
  <c r="R55" i="45"/>
  <c r="R44" i="45"/>
  <c r="R43" i="45"/>
  <c r="R24" i="45"/>
  <c r="R19" i="45"/>
  <c r="R77" i="45"/>
  <c r="R76" i="45"/>
  <c r="R65" i="45"/>
  <c r="R64" i="45"/>
  <c r="R59" i="45"/>
  <c r="R48" i="45"/>
  <c r="R47" i="45"/>
  <c r="R39" i="45"/>
  <c r="R35" i="45"/>
  <c r="R51" i="45"/>
  <c r="R49" i="45"/>
  <c r="R58" i="45"/>
  <c r="R27" i="45"/>
  <c r="R72" i="45"/>
  <c r="R32" i="45"/>
  <c r="R68" i="45"/>
  <c r="R52" i="45"/>
  <c r="R25" i="45"/>
  <c r="R17" i="45"/>
  <c r="R79" i="45"/>
  <c r="R75" i="45"/>
  <c r="R73" i="45"/>
  <c r="R45" i="45"/>
  <c r="R21" i="45"/>
  <c r="R40" i="45"/>
  <c r="R38" i="45"/>
  <c r="R28" i="45"/>
  <c r="P21" i="45"/>
  <c r="R71" i="45"/>
  <c r="R67" i="45"/>
  <c r="R36" i="45"/>
  <c r="R69" i="45"/>
  <c r="R57" i="45"/>
  <c r="X12" i="45"/>
  <c r="Z12" i="45" s="1"/>
  <c r="R31" i="45"/>
  <c r="R46" i="45"/>
  <c r="R33" i="45"/>
  <c r="R23" i="45"/>
  <c r="R34" i="45"/>
  <c r="R74" i="45"/>
  <c r="R29" i="45"/>
  <c r="L104" i="42"/>
  <c r="V99" i="36"/>
  <c r="V75" i="36"/>
  <c r="V67" i="36"/>
  <c r="V82" i="36"/>
  <c r="V66" i="36"/>
  <c r="V38" i="36"/>
  <c r="V34" i="36"/>
  <c r="V101" i="36"/>
  <c r="V93" i="36"/>
  <c r="V89" i="36"/>
  <c r="V77" i="36"/>
  <c r="V69" i="36"/>
  <c r="V57" i="36"/>
  <c r="V49" i="36"/>
  <c r="V68" i="36"/>
  <c r="V48" i="36"/>
  <c r="V44" i="36"/>
  <c r="V102" i="36"/>
  <c r="V94" i="36"/>
  <c r="V90" i="36"/>
  <c r="V78" i="36"/>
  <c r="V70" i="36"/>
  <c r="V58" i="36"/>
  <c r="V50" i="36"/>
  <c r="V30" i="36"/>
  <c r="V26" i="36"/>
  <c r="V85" i="36"/>
  <c r="V73" i="36"/>
  <c r="V61" i="36"/>
  <c r="V53" i="36"/>
  <c r="V45" i="36"/>
  <c r="V41" i="36"/>
  <c r="V110" i="36"/>
  <c r="V104" i="36"/>
  <c r="V96" i="36"/>
  <c r="V84" i="36"/>
  <c r="V80" i="36"/>
  <c r="V72" i="36"/>
  <c r="V60" i="36"/>
  <c r="V52" i="36"/>
  <c r="V40" i="36"/>
  <c r="V36" i="36"/>
  <c r="V32" i="36"/>
  <c r="V109" i="36"/>
  <c r="V103" i="36"/>
  <c r="V95" i="36"/>
  <c r="V91" i="36"/>
  <c r="V87" i="36"/>
  <c r="V108" i="36"/>
  <c r="V98" i="36"/>
  <c r="V86" i="36"/>
  <c r="V74" i="36"/>
  <c r="V62" i="36"/>
  <c r="V54" i="36"/>
  <c r="V46" i="36"/>
  <c r="V42" i="36"/>
  <c r="V107" i="36"/>
  <c r="V88" i="36"/>
  <c r="V55" i="36"/>
  <c r="V47" i="36"/>
  <c r="V43" i="36"/>
  <c r="V59" i="36"/>
  <c r="V97" i="36"/>
  <c r="V79" i="36"/>
  <c r="V105" i="36"/>
  <c r="V71" i="36"/>
  <c r="V37" i="36"/>
  <c r="V33" i="36"/>
  <c r="V31" i="36"/>
  <c r="V24" i="36"/>
  <c r="V92" i="36"/>
  <c r="V64" i="36"/>
  <c r="V39" i="36"/>
  <c r="V35" i="36"/>
  <c r="V100" i="36"/>
  <c r="V81" i="36"/>
  <c r="V65" i="36"/>
  <c r="V63" i="36"/>
  <c r="T28" i="36"/>
  <c r="V28" i="36" s="1"/>
  <c r="V83" i="36"/>
  <c r="V114" i="36"/>
  <c r="V56" i="36"/>
  <c r="V51" i="36"/>
  <c r="V25" i="36"/>
  <c r="V76" i="36"/>
  <c r="F120" i="30"/>
  <c r="T27" i="113"/>
  <c r="Z18" i="113"/>
  <c r="T27" i="111"/>
  <c r="Z18" i="111"/>
  <c r="H27" i="112"/>
  <c r="N18" i="112"/>
  <c r="N18" i="49"/>
  <c r="H27" i="49"/>
  <c r="H27" i="44"/>
  <c r="N18" i="44"/>
  <c r="N18" i="43"/>
  <c r="H27" i="43"/>
  <c r="T27" i="34"/>
  <c r="Z18" i="34"/>
  <c r="T27" i="29"/>
  <c r="Z18" i="29"/>
  <c r="D27" i="29"/>
  <c r="L18" i="29"/>
  <c r="T27" i="20"/>
  <c r="Z18" i="20"/>
  <c r="H27" i="10"/>
  <c r="N18" i="10"/>
  <c r="X18" i="10"/>
  <c r="P27" i="10"/>
  <c r="F79" i="77"/>
  <c r="F70" i="77"/>
  <c r="F69" i="77"/>
  <c r="F54" i="77"/>
  <c r="F50" i="77"/>
  <c r="F72" i="77"/>
  <c r="F71" i="77"/>
  <c r="F60" i="77"/>
  <c r="L12" i="77"/>
  <c r="F55" i="77"/>
  <c r="F51" i="77"/>
  <c r="F47" i="77"/>
  <c r="F46" i="77"/>
  <c r="F74" i="77"/>
  <c r="F73" i="77"/>
  <c r="F62" i="77"/>
  <c r="F61" i="77"/>
  <c r="F45" i="77"/>
  <c r="F43" i="77"/>
  <c r="F38" i="77"/>
  <c r="F34" i="77"/>
  <c r="F57" i="77"/>
  <c r="F56" i="77"/>
  <c r="D43" i="77"/>
  <c r="F66" i="77"/>
  <c r="F65" i="77"/>
  <c r="F58" i="77"/>
  <c r="F82" i="77"/>
  <c r="F77" i="77"/>
  <c r="F76" i="77"/>
  <c r="F53" i="77"/>
  <c r="F49" i="77"/>
  <c r="F86" i="77"/>
  <c r="F81" i="77"/>
  <c r="F68" i="77"/>
  <c r="F67" i="77"/>
  <c r="F40" i="77"/>
  <c r="F36" i="77"/>
  <c r="F32" i="77"/>
  <c r="F48" i="77"/>
  <c r="F59" i="77"/>
  <c r="F33" i="77"/>
  <c r="F80" i="77"/>
  <c r="F64" i="77"/>
  <c r="F52" i="77"/>
  <c r="F35" i="77"/>
  <c r="F75" i="77"/>
  <c r="F37" i="77"/>
  <c r="F39" i="77"/>
  <c r="F41" i="77"/>
  <c r="F63" i="77"/>
  <c r="J71" i="74"/>
  <c r="J62" i="74"/>
  <c r="J63" i="74"/>
  <c r="J43" i="74"/>
  <c r="J39" i="74"/>
  <c r="J35" i="74"/>
  <c r="J48" i="74"/>
  <c r="J58" i="74"/>
  <c r="J53" i="74"/>
  <c r="J49" i="74"/>
  <c r="J47" i="74"/>
  <c r="J31" i="74"/>
  <c r="J67" i="74"/>
  <c r="J59" i="74"/>
  <c r="J54" i="74"/>
  <c r="J50" i="74"/>
  <c r="J64" i="74"/>
  <c r="J41" i="74"/>
  <c r="J37" i="74"/>
  <c r="J33" i="74"/>
  <c r="J60" i="74"/>
  <c r="J55" i="74"/>
  <c r="J51" i="74"/>
  <c r="J56" i="74"/>
  <c r="J57" i="74"/>
  <c r="H45" i="74"/>
  <c r="J40" i="74"/>
  <c r="J61" i="74"/>
  <c r="J52" i="74"/>
  <c r="J65" i="74"/>
  <c r="J36" i="74"/>
  <c r="J38" i="74"/>
  <c r="J42" i="74"/>
  <c r="J32" i="74"/>
  <c r="J34" i="74"/>
  <c r="F78" i="69"/>
  <c r="F69" i="69"/>
  <c r="F68" i="69"/>
  <c r="F61" i="69"/>
  <c r="F57" i="69"/>
  <c r="F80" i="69"/>
  <c r="F79" i="69"/>
  <c r="F48" i="69"/>
  <c r="F44" i="69"/>
  <c r="F40" i="69"/>
  <c r="F71" i="69"/>
  <c r="F70" i="69"/>
  <c r="F63" i="69"/>
  <c r="F62" i="69"/>
  <c r="F82" i="69"/>
  <c r="F81" i="69"/>
  <c r="F58" i="69"/>
  <c r="F54" i="69"/>
  <c r="F53" i="69"/>
  <c r="F88" i="69"/>
  <c r="F73" i="69"/>
  <c r="F60" i="69"/>
  <c r="F76" i="69"/>
  <c r="F66" i="69"/>
  <c r="F43" i="69"/>
  <c r="F56" i="69"/>
  <c r="F46" i="69"/>
  <c r="F77" i="69"/>
  <c r="F67" i="69"/>
  <c r="F64" i="69"/>
  <c r="D50" i="69"/>
  <c r="F41" i="69"/>
  <c r="F74" i="69"/>
  <c r="F38" i="69"/>
  <c r="F59" i="69"/>
  <c r="F75" i="69"/>
  <c r="F55" i="69"/>
  <c r="F39" i="69"/>
  <c r="L12" i="69"/>
  <c r="F65" i="69"/>
  <c r="F72" i="69"/>
  <c r="F45" i="69"/>
  <c r="F52" i="69"/>
  <c r="F47" i="69"/>
  <c r="F42" i="69"/>
  <c r="F84" i="69"/>
  <c r="V85" i="24"/>
  <c r="V77" i="24"/>
  <c r="V82" i="24"/>
  <c r="V74" i="24"/>
  <c r="V83" i="24"/>
  <c r="V90" i="24"/>
  <c r="V89" i="24"/>
  <c r="V71" i="24"/>
  <c r="V67" i="24"/>
  <c r="V102" i="24"/>
  <c r="V95" i="24"/>
  <c r="V94" i="24"/>
  <c r="V76" i="24"/>
  <c r="V66" i="24"/>
  <c r="V64" i="24"/>
  <c r="V62" i="24"/>
  <c r="V58" i="24"/>
  <c r="V54" i="24"/>
  <c r="V50" i="24"/>
  <c r="V80" i="24"/>
  <c r="V79" i="24"/>
  <c r="V75" i="24"/>
  <c r="T64" i="24"/>
  <c r="V86" i="24"/>
  <c r="V72" i="24"/>
  <c r="V68" i="24"/>
  <c r="V96" i="24"/>
  <c r="V91" i="24"/>
  <c r="V59" i="24"/>
  <c r="V55" i="24"/>
  <c r="V51" i="24"/>
  <c r="V47" i="24"/>
  <c r="V98" i="24"/>
  <c r="V81" i="24"/>
  <c r="V73" i="24"/>
  <c r="V69" i="24"/>
  <c r="V92" i="24"/>
  <c r="V87" i="24"/>
  <c r="V60" i="24"/>
  <c r="V56" i="24"/>
  <c r="V52" i="24"/>
  <c r="V48" i="24"/>
  <c r="V93" i="24"/>
  <c r="V88" i="24"/>
  <c r="V70" i="24"/>
  <c r="V84" i="24"/>
  <c r="V49" i="24"/>
  <c r="V57" i="24"/>
  <c r="V61" i="24"/>
  <c r="V53" i="24"/>
  <c r="V78" i="24"/>
  <c r="P27" i="46"/>
  <c r="X18" i="46"/>
  <c r="P50" i="103"/>
  <c r="T69" i="102"/>
  <c r="P22" i="99"/>
  <c r="X16" i="99"/>
  <c r="P69" i="98"/>
  <c r="X19" i="93"/>
  <c r="Z19" i="93" s="1"/>
  <c r="P68" i="93"/>
  <c r="R19" i="93"/>
  <c r="F54" i="76"/>
  <c r="F53" i="76"/>
  <c r="F66" i="76"/>
  <c r="F61" i="76"/>
  <c r="F44" i="76"/>
  <c r="F43" i="76"/>
  <c r="F55" i="76"/>
  <c r="F39" i="76"/>
  <c r="F38" i="76"/>
  <c r="F46" i="76"/>
  <c r="F45" i="76"/>
  <c r="F34" i="76"/>
  <c r="F30" i="76"/>
  <c r="F29" i="76"/>
  <c r="F28" i="76"/>
  <c r="F24" i="76"/>
  <c r="F50" i="76"/>
  <c r="F49" i="76"/>
  <c r="F57" i="76"/>
  <c r="F41" i="76"/>
  <c r="F52" i="76"/>
  <c r="F51" i="76"/>
  <c r="F36" i="76"/>
  <c r="F32" i="76"/>
  <c r="F47" i="76"/>
  <c r="F42" i="76"/>
  <c r="F58" i="76"/>
  <c r="D26" i="76"/>
  <c r="F56" i="76"/>
  <c r="F48" i="76"/>
  <c r="F62" i="76"/>
  <c r="F59" i="76"/>
  <c r="F37" i="76"/>
  <c r="F35" i="76"/>
  <c r="L12" i="76"/>
  <c r="N12" i="76" s="1"/>
  <c r="F40" i="76"/>
  <c r="F31" i="76"/>
  <c r="F33" i="76"/>
  <c r="F46" i="81"/>
  <c r="F45" i="81"/>
  <c r="F30" i="81"/>
  <c r="F26" i="81"/>
  <c r="F61" i="81"/>
  <c r="F17" i="81"/>
  <c r="F16" i="81"/>
  <c r="F56" i="81"/>
  <c r="F48" i="81"/>
  <c r="F47" i="81"/>
  <c r="F36" i="81"/>
  <c r="L12" i="81"/>
  <c r="F63" i="81"/>
  <c r="F62" i="81"/>
  <c r="F31" i="81"/>
  <c r="F27" i="81"/>
  <c r="F58" i="81"/>
  <c r="F57" i="81"/>
  <c r="F50" i="81"/>
  <c r="F49" i="81"/>
  <c r="F38" i="81"/>
  <c r="F37" i="81"/>
  <c r="F18" i="81"/>
  <c r="F65" i="81"/>
  <c r="F64" i="81"/>
  <c r="F33" i="81"/>
  <c r="F32" i="81"/>
  <c r="F52" i="81"/>
  <c r="F51" i="81"/>
  <c r="F40" i="81"/>
  <c r="F39" i="81"/>
  <c r="F28" i="81"/>
  <c r="F24" i="81"/>
  <c r="F23" i="81"/>
  <c r="F67" i="81"/>
  <c r="F54" i="81"/>
  <c r="F53" i="81"/>
  <c r="F42" i="81"/>
  <c r="F41" i="81"/>
  <c r="F34" i="81"/>
  <c r="D20" i="81"/>
  <c r="F20" i="81" s="1"/>
  <c r="F60" i="81"/>
  <c r="F59" i="81"/>
  <c r="F71" i="81"/>
  <c r="F44" i="81"/>
  <c r="F43" i="81"/>
  <c r="F35" i="81"/>
  <c r="F22" i="81"/>
  <c r="F55" i="81"/>
  <c r="F29" i="81"/>
  <c r="F25" i="81"/>
  <c r="V46" i="73"/>
  <c r="V57" i="73"/>
  <c r="V45" i="73"/>
  <c r="V37" i="73"/>
  <c r="V48" i="73"/>
  <c r="V32" i="73"/>
  <c r="V28" i="73"/>
  <c r="V58" i="73"/>
  <c r="V50" i="73"/>
  <c r="V38" i="73"/>
  <c r="V49" i="73"/>
  <c r="V33" i="73"/>
  <c r="V29" i="73"/>
  <c r="V60" i="73"/>
  <c r="V52" i="73"/>
  <c r="V40" i="73"/>
  <c r="V20" i="73"/>
  <c r="V59" i="73"/>
  <c r="V62" i="73"/>
  <c r="V54" i="73"/>
  <c r="V42" i="73"/>
  <c r="V34" i="73"/>
  <c r="V30" i="73"/>
  <c r="V26" i="73"/>
  <c r="V63" i="73"/>
  <c r="V61" i="73"/>
  <c r="T23" i="73"/>
  <c r="V55" i="73"/>
  <c r="V53" i="73"/>
  <c r="V44" i="73"/>
  <c r="V39" i="73"/>
  <c r="V65" i="73"/>
  <c r="V51" i="73"/>
  <c r="V31" i="73"/>
  <c r="V27" i="73"/>
  <c r="V25" i="73"/>
  <c r="V56" i="73"/>
  <c r="V36" i="73"/>
  <c r="V19" i="73"/>
  <c r="V21" i="73"/>
  <c r="V69" i="73"/>
  <c r="V41" i="73"/>
  <c r="V43" i="73"/>
  <c r="V23" i="73"/>
  <c r="V35" i="73"/>
  <c r="V47" i="73"/>
  <c r="P51" i="68"/>
  <c r="X16" i="68"/>
  <c r="L16" i="59"/>
  <c r="D59" i="59"/>
  <c r="L16" i="55"/>
  <c r="D30" i="55"/>
  <c r="D56" i="57"/>
  <c r="L16" i="57"/>
  <c r="F84" i="36"/>
  <c r="F80" i="36"/>
  <c r="F79" i="36"/>
  <c r="F72" i="36"/>
  <c r="F71" i="36"/>
  <c r="F60" i="36"/>
  <c r="F59" i="36"/>
  <c r="F103" i="36"/>
  <c r="F95" i="36"/>
  <c r="F91" i="36"/>
  <c r="F30" i="36"/>
  <c r="F28" i="36"/>
  <c r="F86" i="36"/>
  <c r="F85" i="36"/>
  <c r="F74" i="36"/>
  <c r="F73" i="36"/>
  <c r="F62" i="36"/>
  <c r="F61" i="36"/>
  <c r="F54" i="36"/>
  <c r="F53" i="36"/>
  <c r="F46" i="36"/>
  <c r="F42" i="36"/>
  <c r="F41" i="36"/>
  <c r="F110" i="36"/>
  <c r="F105" i="36"/>
  <c r="F104" i="36"/>
  <c r="F97" i="36"/>
  <c r="F96" i="36"/>
  <c r="F81" i="36"/>
  <c r="F37" i="36"/>
  <c r="F33" i="36"/>
  <c r="F108" i="36"/>
  <c r="F99" i="36"/>
  <c r="F98" i="36"/>
  <c r="F75" i="36"/>
  <c r="F47" i="36"/>
  <c r="F43" i="36"/>
  <c r="F107" i="36"/>
  <c r="F82" i="36"/>
  <c r="F66" i="36"/>
  <c r="F65" i="36"/>
  <c r="F38" i="36"/>
  <c r="F34" i="36"/>
  <c r="F101" i="36"/>
  <c r="F100" i="36"/>
  <c r="F93" i="36"/>
  <c r="F89" i="36"/>
  <c r="F77" i="36"/>
  <c r="F76" i="36"/>
  <c r="F57" i="36"/>
  <c r="F25" i="36"/>
  <c r="F24" i="36"/>
  <c r="F83" i="36"/>
  <c r="F39" i="36"/>
  <c r="F35" i="36"/>
  <c r="F69" i="36"/>
  <c r="F78" i="36"/>
  <c r="F58" i="36"/>
  <c r="F67" i="36"/>
  <c r="F51" i="36"/>
  <c r="F40" i="36"/>
  <c r="F36" i="36"/>
  <c r="F32" i="36"/>
  <c r="L12" i="36"/>
  <c r="F109" i="36"/>
  <c r="F88" i="36"/>
  <c r="F70" i="36"/>
  <c r="D28" i="36"/>
  <c r="F49" i="36"/>
  <c r="F90" i="36"/>
  <c r="F63" i="36"/>
  <c r="F45" i="36"/>
  <c r="F68" i="36"/>
  <c r="F52" i="36"/>
  <c r="F50" i="36"/>
  <c r="F26" i="36"/>
  <c r="F94" i="36"/>
  <c r="F48" i="36"/>
  <c r="F44" i="36"/>
  <c r="F92" i="36"/>
  <c r="F64" i="36"/>
  <c r="F55" i="36"/>
  <c r="F31" i="36"/>
  <c r="F102" i="36"/>
  <c r="F87" i="36"/>
  <c r="F114" i="36"/>
  <c r="F56" i="36"/>
  <c r="J103" i="36"/>
  <c r="J95" i="36"/>
  <c r="J91" i="36"/>
  <c r="J85" i="36"/>
  <c r="J73" i="36"/>
  <c r="J61" i="36"/>
  <c r="J110" i="36"/>
  <c r="J104" i="36"/>
  <c r="J96" i="36"/>
  <c r="J86" i="36"/>
  <c r="J74" i="36"/>
  <c r="J62" i="36"/>
  <c r="J54" i="36"/>
  <c r="J46" i="36"/>
  <c r="J42" i="36"/>
  <c r="J109" i="36"/>
  <c r="J105" i="36"/>
  <c r="J97" i="36"/>
  <c r="J87" i="36"/>
  <c r="J81" i="36"/>
  <c r="J63" i="36"/>
  <c r="J55" i="36"/>
  <c r="J37" i="36"/>
  <c r="J33" i="36"/>
  <c r="J114" i="36"/>
  <c r="J108" i="36"/>
  <c r="J98" i="36"/>
  <c r="J92" i="36"/>
  <c r="J88" i="36"/>
  <c r="J64" i="36"/>
  <c r="J56" i="36"/>
  <c r="J100" i="36"/>
  <c r="J82" i="36"/>
  <c r="J76" i="36"/>
  <c r="J66" i="36"/>
  <c r="J38" i="36"/>
  <c r="J34" i="36"/>
  <c r="J24" i="36"/>
  <c r="J101" i="36"/>
  <c r="J93" i="36"/>
  <c r="J89" i="36"/>
  <c r="J77" i="36"/>
  <c r="J67" i="36"/>
  <c r="J57" i="36"/>
  <c r="J68" i="36"/>
  <c r="J48" i="36"/>
  <c r="J44" i="36"/>
  <c r="N12" i="36"/>
  <c r="J83" i="36"/>
  <c r="J102" i="36"/>
  <c r="J94" i="36"/>
  <c r="J90" i="36"/>
  <c r="J78" i="36"/>
  <c r="J70" i="36"/>
  <c r="J58" i="36"/>
  <c r="J50" i="36"/>
  <c r="J26" i="36"/>
  <c r="J51" i="36"/>
  <c r="J65" i="36"/>
  <c r="J60" i="36"/>
  <c r="J40" i="36"/>
  <c r="J36" i="36"/>
  <c r="J32" i="36"/>
  <c r="J28" i="36"/>
  <c r="J107" i="36"/>
  <c r="J80" i="36"/>
  <c r="J49" i="36"/>
  <c r="H28" i="36"/>
  <c r="J25" i="36"/>
  <c r="J72" i="36"/>
  <c r="J45" i="36"/>
  <c r="J84" i="36"/>
  <c r="J52" i="36"/>
  <c r="J47" i="36"/>
  <c r="J43" i="36"/>
  <c r="J99" i="36"/>
  <c r="J41" i="36"/>
  <c r="J30" i="36"/>
  <c r="J79" i="36"/>
  <c r="J59" i="36"/>
  <c r="J69" i="36"/>
  <c r="J53" i="36"/>
  <c r="J39" i="36"/>
  <c r="J71" i="36"/>
  <c r="J31" i="36"/>
  <c r="J35" i="36"/>
  <c r="J75" i="36"/>
  <c r="L100" i="24"/>
  <c r="D104" i="24"/>
  <c r="P249" i="18"/>
  <c r="N153" i="18"/>
  <c r="H249" i="18"/>
  <c r="X18" i="113"/>
  <c r="P27" i="113"/>
  <c r="X18" i="112"/>
  <c r="P27" i="112"/>
  <c r="H27" i="52"/>
  <c r="N18" i="52"/>
  <c r="T27" i="38"/>
  <c r="Z18" i="38"/>
  <c r="L18" i="44"/>
  <c r="D27" i="44"/>
  <c r="H27" i="35"/>
  <c r="N18" i="35"/>
  <c r="X18" i="26"/>
  <c r="P27" i="26"/>
  <c r="T27" i="23"/>
  <c r="Z18" i="23"/>
  <c r="T27" i="22"/>
  <c r="Z18" i="22"/>
  <c r="L18" i="22"/>
  <c r="D27" i="22"/>
  <c r="T27" i="53"/>
  <c r="Z18" i="53"/>
  <c r="X18" i="16"/>
  <c r="P27" i="16"/>
  <c r="H27" i="16"/>
  <c r="N18" i="16"/>
  <c r="N18" i="14"/>
  <c r="H27" i="14"/>
  <c r="H27" i="7"/>
  <c r="N18" i="7"/>
  <c r="D123" i="30"/>
  <c r="X18" i="41"/>
  <c r="P27" i="41"/>
  <c r="H27" i="25"/>
  <c r="N18" i="25"/>
  <c r="X18" i="20"/>
  <c r="P27" i="20"/>
  <c r="X16" i="107"/>
  <c r="P24" i="107"/>
  <c r="Z16" i="109"/>
  <c r="T35" i="109"/>
  <c r="T31" i="105"/>
  <c r="Z16" i="105"/>
  <c r="X16" i="105"/>
  <c r="H42" i="100"/>
  <c r="N16" i="100"/>
  <c r="T46" i="103"/>
  <c r="X46" i="103" s="1"/>
  <c r="Z16" i="103"/>
  <c r="J70" i="93"/>
  <c r="J60" i="93"/>
  <c r="J56" i="93"/>
  <c r="J46" i="93"/>
  <c r="J36" i="93"/>
  <c r="J32" i="93"/>
  <c r="J22" i="93"/>
  <c r="J47" i="93"/>
  <c r="J48" i="93"/>
  <c r="H19" i="93"/>
  <c r="J61" i="93"/>
  <c r="J57" i="93"/>
  <c r="J49" i="93"/>
  <c r="J37" i="93"/>
  <c r="J33" i="93"/>
  <c r="J50" i="93"/>
  <c r="J38" i="93"/>
  <c r="J28" i="93"/>
  <c r="J24" i="93"/>
  <c r="J51" i="93"/>
  <c r="J39" i="93"/>
  <c r="J62" i="93"/>
  <c r="J58" i="93"/>
  <c r="J52" i="93"/>
  <c r="J40" i="93"/>
  <c r="J34" i="93"/>
  <c r="J63" i="93"/>
  <c r="J53" i="93"/>
  <c r="J41" i="93"/>
  <c r="J29" i="93"/>
  <c r="J25" i="93"/>
  <c r="J64" i="93"/>
  <c r="J42" i="93"/>
  <c r="J44" i="93"/>
  <c r="J19" i="93"/>
  <c r="J27" i="93"/>
  <c r="J55" i="93"/>
  <c r="J23" i="93"/>
  <c r="J16" i="93"/>
  <c r="J59" i="93"/>
  <c r="J21" i="93"/>
  <c r="J45" i="93"/>
  <c r="J43" i="93"/>
  <c r="J30" i="93"/>
  <c r="J17" i="93"/>
  <c r="J26" i="93"/>
  <c r="J31" i="93"/>
  <c r="J66" i="93"/>
  <c r="J54" i="93"/>
  <c r="J35" i="93"/>
  <c r="R18" i="83"/>
  <c r="R19" i="83"/>
  <c r="R25" i="83"/>
  <c r="R23" i="83"/>
  <c r="R21" i="83"/>
  <c r="P21" i="83"/>
  <c r="R29" i="83"/>
  <c r="X12" i="83"/>
  <c r="Z12" i="83" s="1"/>
  <c r="R17" i="83"/>
  <c r="J41" i="80"/>
  <c r="J17" i="80"/>
  <c r="J62" i="80"/>
  <c r="J42" i="80"/>
  <c r="J32" i="80"/>
  <c r="J51" i="80"/>
  <c r="J43" i="80"/>
  <c r="J27" i="80"/>
  <c r="J44" i="80"/>
  <c r="J18" i="80"/>
  <c r="J45" i="80"/>
  <c r="J33" i="80"/>
  <c r="J23" i="80"/>
  <c r="J55" i="80"/>
  <c r="J37" i="80"/>
  <c r="J25" i="80"/>
  <c r="J56" i="80"/>
  <c r="J47" i="80"/>
  <c r="J16" i="80"/>
  <c r="J52" i="80"/>
  <c r="J30" i="80"/>
  <c r="J58" i="80"/>
  <c r="J50" i="80"/>
  <c r="J36" i="80"/>
  <c r="J53" i="80"/>
  <c r="J48" i="80"/>
  <c r="J31" i="80"/>
  <c r="J26" i="80"/>
  <c r="J34" i="80"/>
  <c r="J46" i="80"/>
  <c r="J40" i="80"/>
  <c r="J29" i="80"/>
  <c r="J49" i="80"/>
  <c r="J22" i="80"/>
  <c r="J38" i="80"/>
  <c r="J24" i="80"/>
  <c r="H20" i="80"/>
  <c r="J39" i="80"/>
  <c r="J35" i="80"/>
  <c r="J54" i="80"/>
  <c r="J28" i="80"/>
  <c r="V49" i="76"/>
  <c r="V51" i="76"/>
  <c r="V35" i="76"/>
  <c r="V31" i="76"/>
  <c r="V58" i="76"/>
  <c r="V50" i="76"/>
  <c r="V57" i="76"/>
  <c r="V53" i="76"/>
  <c r="V41" i="76"/>
  <c r="V62" i="76"/>
  <c r="V52" i="76"/>
  <c r="V36" i="76"/>
  <c r="V32" i="76"/>
  <c r="V45" i="76"/>
  <c r="V37" i="76"/>
  <c r="V33" i="76"/>
  <c r="V29" i="76"/>
  <c r="V66" i="76"/>
  <c r="V44" i="76"/>
  <c r="V28" i="76"/>
  <c r="V26" i="76"/>
  <c r="V24" i="76"/>
  <c r="V55" i="76"/>
  <c r="V47" i="76"/>
  <c r="V39" i="76"/>
  <c r="T26" i="76"/>
  <c r="V56" i="76"/>
  <c r="V54" i="76"/>
  <c r="V34" i="76"/>
  <c r="V30" i="76"/>
  <c r="V59" i="76"/>
  <c r="V48" i="76"/>
  <c r="V46" i="76"/>
  <c r="V42" i="76"/>
  <c r="V40" i="76"/>
  <c r="V38" i="76"/>
  <c r="V61" i="76"/>
  <c r="V43" i="76"/>
  <c r="R47" i="76"/>
  <c r="R46" i="76"/>
  <c r="R56" i="76"/>
  <c r="R49" i="76"/>
  <c r="R48" i="76"/>
  <c r="R40" i="76"/>
  <c r="X12" i="76"/>
  <c r="Z12" i="76" s="1"/>
  <c r="R35" i="76"/>
  <c r="R31" i="76"/>
  <c r="R51" i="76"/>
  <c r="R50" i="76"/>
  <c r="R58" i="76"/>
  <c r="R57" i="76"/>
  <c r="R41" i="76"/>
  <c r="R61" i="76"/>
  <c r="R54" i="76"/>
  <c r="R43" i="76"/>
  <c r="R42" i="76"/>
  <c r="R38" i="76"/>
  <c r="R37" i="76"/>
  <c r="R33" i="76"/>
  <c r="R66" i="76"/>
  <c r="R45" i="76"/>
  <c r="R44" i="76"/>
  <c r="R29" i="76"/>
  <c r="R26" i="76"/>
  <c r="R36" i="76"/>
  <c r="P26" i="76"/>
  <c r="R52" i="76"/>
  <c r="R34" i="76"/>
  <c r="R32" i="76"/>
  <c r="R39" i="76"/>
  <c r="R30" i="76"/>
  <c r="R62" i="76"/>
  <c r="R59" i="76"/>
  <c r="R28" i="76"/>
  <c r="R24" i="76"/>
  <c r="R53" i="76"/>
  <c r="R55" i="76"/>
  <c r="R63" i="73"/>
  <c r="R56" i="73"/>
  <c r="R55" i="73"/>
  <c r="R44" i="73"/>
  <c r="R43" i="73"/>
  <c r="R31" i="73"/>
  <c r="R27" i="73"/>
  <c r="P23" i="73"/>
  <c r="R23" i="73" s="1"/>
  <c r="R65" i="73"/>
  <c r="R57" i="73"/>
  <c r="R46" i="73"/>
  <c r="R45" i="73"/>
  <c r="R37" i="73"/>
  <c r="R69" i="73"/>
  <c r="R48" i="73"/>
  <c r="R47" i="73"/>
  <c r="R58" i="73"/>
  <c r="R38" i="73"/>
  <c r="R19" i="73"/>
  <c r="R50" i="73"/>
  <c r="R49" i="73"/>
  <c r="R33" i="73"/>
  <c r="R29" i="73"/>
  <c r="R60" i="73"/>
  <c r="R59" i="73"/>
  <c r="R52" i="73"/>
  <c r="R51" i="73"/>
  <c r="R40" i="73"/>
  <c r="R39" i="73"/>
  <c r="R41" i="73"/>
  <c r="R35" i="73"/>
  <c r="R61" i="73"/>
  <c r="R53" i="73"/>
  <c r="R42" i="73"/>
  <c r="R62" i="73"/>
  <c r="R36" i="73"/>
  <c r="R25" i="73"/>
  <c r="R54" i="73"/>
  <c r="R21" i="73"/>
  <c r="R34" i="73"/>
  <c r="R30" i="73"/>
  <c r="R32" i="73"/>
  <c r="X12" i="73"/>
  <c r="Z12" i="73" s="1"/>
  <c r="R26" i="73"/>
  <c r="R28" i="73"/>
  <c r="R20" i="73"/>
  <c r="H55" i="79"/>
  <c r="J20" i="70"/>
  <c r="H65" i="70"/>
  <c r="Z16" i="64"/>
  <c r="T90" i="64"/>
  <c r="R87" i="71"/>
  <c r="R86" i="71"/>
  <c r="R63" i="71"/>
  <c r="R62" i="71"/>
  <c r="R58" i="71"/>
  <c r="R54" i="71"/>
  <c r="R94" i="71"/>
  <c r="R93" i="71"/>
  <c r="R78" i="71"/>
  <c r="R77" i="71"/>
  <c r="R45" i="71"/>
  <c r="R41" i="71"/>
  <c r="R37" i="71"/>
  <c r="R99" i="71"/>
  <c r="R88" i="71"/>
  <c r="R69" i="71"/>
  <c r="R68" i="71"/>
  <c r="R64" i="71"/>
  <c r="X12" i="71"/>
  <c r="R97" i="71"/>
  <c r="R71" i="71"/>
  <c r="R70" i="71"/>
  <c r="R103" i="71"/>
  <c r="R89" i="71"/>
  <c r="R82" i="71"/>
  <c r="R81" i="71"/>
  <c r="R65" i="71"/>
  <c r="R72" i="71"/>
  <c r="R60" i="71"/>
  <c r="R56" i="71"/>
  <c r="R91" i="71"/>
  <c r="R90" i="71"/>
  <c r="R66" i="71"/>
  <c r="R35" i="71"/>
  <c r="R95" i="71"/>
  <c r="R46" i="71"/>
  <c r="R38" i="71"/>
  <c r="R79" i="71"/>
  <c r="R67" i="71"/>
  <c r="P50" i="71"/>
  <c r="R50" i="71" s="1"/>
  <c r="R84" i="71"/>
  <c r="R74" i="71"/>
  <c r="R61" i="71"/>
  <c r="R52" i="71"/>
  <c r="R44" i="71"/>
  <c r="R36" i="71"/>
  <c r="R80" i="71"/>
  <c r="R59" i="71"/>
  <c r="R57" i="71"/>
  <c r="R47" i="71"/>
  <c r="R39" i="71"/>
  <c r="R43" i="71"/>
  <c r="R76" i="71"/>
  <c r="R40" i="71"/>
  <c r="R42" i="71"/>
  <c r="R83" i="71"/>
  <c r="R75" i="71"/>
  <c r="R73" i="71"/>
  <c r="R55" i="71"/>
  <c r="R48" i="71"/>
  <c r="R92" i="71"/>
  <c r="R53" i="71"/>
  <c r="R98" i="71"/>
  <c r="R85" i="71"/>
  <c r="X16" i="60"/>
  <c r="P46" i="60"/>
  <c r="P60" i="57"/>
  <c r="F74" i="45"/>
  <c r="F73" i="45"/>
  <c r="F38" i="45"/>
  <c r="F69" i="45"/>
  <c r="F57" i="45"/>
  <c r="F56" i="45"/>
  <c r="F76" i="45"/>
  <c r="F75" i="45"/>
  <c r="F64" i="45"/>
  <c r="F78" i="45"/>
  <c r="F77" i="45"/>
  <c r="F70" i="45"/>
  <c r="F66" i="45"/>
  <c r="F65" i="45"/>
  <c r="F30" i="45"/>
  <c r="F26" i="45"/>
  <c r="F49" i="45"/>
  <c r="F48" i="45"/>
  <c r="F79" i="45"/>
  <c r="F71" i="45"/>
  <c r="F67" i="45"/>
  <c r="F51" i="45"/>
  <c r="F50" i="45"/>
  <c r="F31" i="45"/>
  <c r="F27" i="45"/>
  <c r="F81" i="45"/>
  <c r="F72" i="45"/>
  <c r="F68" i="45"/>
  <c r="F85" i="45"/>
  <c r="F63" i="45"/>
  <c r="F55" i="45"/>
  <c r="F54" i="45"/>
  <c r="F43" i="45"/>
  <c r="F42" i="45"/>
  <c r="L12" i="45"/>
  <c r="F53" i="45"/>
  <c r="F41" i="45"/>
  <c r="F34" i="45"/>
  <c r="F44" i="45"/>
  <c r="F29" i="45"/>
  <c r="F23" i="45"/>
  <c r="F62" i="45"/>
  <c r="F47" i="45"/>
  <c r="F39" i="45"/>
  <c r="F37" i="45"/>
  <c r="F60" i="45"/>
  <c r="F58" i="45"/>
  <c r="F24" i="45"/>
  <c r="F35" i="45"/>
  <c r="F32" i="45"/>
  <c r="F19" i="45"/>
  <c r="F52" i="45"/>
  <c r="F17" i="45"/>
  <c r="F33" i="45"/>
  <c r="F21" i="45"/>
  <c r="F36" i="45"/>
  <c r="F59" i="45"/>
  <c r="F45" i="45"/>
  <c r="D21" i="45"/>
  <c r="F61" i="45"/>
  <c r="F40" i="45"/>
  <c r="F28" i="45"/>
  <c r="F46" i="45"/>
  <c r="F25" i="45"/>
  <c r="F18" i="45"/>
  <c r="V105" i="42"/>
  <c r="V95" i="42"/>
  <c r="V83" i="42"/>
  <c r="V71" i="42"/>
  <c r="V59" i="42"/>
  <c r="V51" i="42"/>
  <c r="V39" i="42"/>
  <c r="V35" i="42"/>
  <c r="V31" i="42"/>
  <c r="V104" i="42"/>
  <c r="V102" i="42"/>
  <c r="V94" i="42"/>
  <c r="V78" i="42"/>
  <c r="V62" i="42"/>
  <c r="V54" i="42"/>
  <c r="V111" i="42"/>
  <c r="V97" i="42"/>
  <c r="V89" i="42"/>
  <c r="V85" i="42"/>
  <c r="V73" i="42"/>
  <c r="V61" i="42"/>
  <c r="V53" i="42"/>
  <c r="V45" i="42"/>
  <c r="V41" i="42"/>
  <c r="V96" i="42"/>
  <c r="V72" i="42"/>
  <c r="V64" i="42"/>
  <c r="V36" i="42"/>
  <c r="V32" i="42"/>
  <c r="V79" i="42"/>
  <c r="V63" i="42"/>
  <c r="V55" i="42"/>
  <c r="V23" i="42"/>
  <c r="V98" i="42"/>
  <c r="V90" i="42"/>
  <c r="V86" i="42"/>
  <c r="V74" i="42"/>
  <c r="V66" i="42"/>
  <c r="V46" i="42"/>
  <c r="V42" i="42"/>
  <c r="V65" i="42"/>
  <c r="V37" i="42"/>
  <c r="V33" i="42"/>
  <c r="V99" i="42"/>
  <c r="V91" i="42"/>
  <c r="V87" i="42"/>
  <c r="V75" i="42"/>
  <c r="V67" i="42"/>
  <c r="V47" i="42"/>
  <c r="V43" i="42"/>
  <c r="V107" i="42"/>
  <c r="V101" i="42"/>
  <c r="V93" i="42"/>
  <c r="V81" i="42"/>
  <c r="V77" i="42"/>
  <c r="V69" i="42"/>
  <c r="V57" i="42"/>
  <c r="V49" i="42"/>
  <c r="V29" i="42"/>
  <c r="V27" i="42"/>
  <c r="V25" i="42"/>
  <c r="V58" i="42"/>
  <c r="V40" i="42"/>
  <c r="Z12" i="42"/>
  <c r="V38" i="42"/>
  <c r="V92" i="42"/>
  <c r="V70" i="42"/>
  <c r="V56" i="42"/>
  <c r="V100" i="42"/>
  <c r="V76" i="42"/>
  <c r="V68" i="42"/>
  <c r="V52" i="42"/>
  <c r="V50" i="42"/>
  <c r="V48" i="42"/>
  <c r="V44" i="42"/>
  <c r="V84" i="42"/>
  <c r="V82" i="42"/>
  <c r="V30" i="42"/>
  <c r="V24" i="42"/>
  <c r="V106" i="42"/>
  <c r="V80" i="42"/>
  <c r="T27" i="42"/>
  <c r="V34" i="42"/>
  <c r="V60" i="42"/>
  <c r="V88" i="42"/>
  <c r="V83" i="27"/>
  <c r="V71" i="27"/>
  <c r="V47" i="27"/>
  <c r="V43" i="27"/>
  <c r="V39" i="27"/>
  <c r="V104" i="27"/>
  <c r="V90" i="27"/>
  <c r="V82" i="27"/>
  <c r="V66" i="27"/>
  <c r="V73" i="27"/>
  <c r="V61" i="27"/>
  <c r="V57" i="27"/>
  <c r="V92" i="27"/>
  <c r="V84" i="27"/>
  <c r="V48" i="27"/>
  <c r="V44" i="27"/>
  <c r="V40" i="27"/>
  <c r="V36" i="27"/>
  <c r="V91" i="27"/>
  <c r="V75" i="27"/>
  <c r="V67" i="27"/>
  <c r="V86" i="27"/>
  <c r="V74" i="27"/>
  <c r="V62" i="27"/>
  <c r="V58" i="27"/>
  <c r="V54" i="27"/>
  <c r="V93" i="27"/>
  <c r="V85" i="27"/>
  <c r="V77" i="27"/>
  <c r="V88" i="27"/>
  <c r="V76" i="27"/>
  <c r="V68" i="27"/>
  <c r="V64" i="27"/>
  <c r="T51" i="27"/>
  <c r="Z12" i="27"/>
  <c r="V99" i="27"/>
  <c r="V89" i="27"/>
  <c r="V81" i="27"/>
  <c r="V69" i="27"/>
  <c r="V65" i="27"/>
  <c r="V59" i="27"/>
  <c r="V51" i="27"/>
  <c r="V38" i="27"/>
  <c r="V78" i="27"/>
  <c r="V56" i="27"/>
  <c r="V94" i="27"/>
  <c r="V80" i="27"/>
  <c r="V45" i="27"/>
  <c r="V96" i="27"/>
  <c r="V63" i="27"/>
  <c r="V42" i="27"/>
  <c r="V79" i="27"/>
  <c r="V53" i="27"/>
  <c r="V100" i="27"/>
  <c r="V95" i="27"/>
  <c r="V60" i="27"/>
  <c r="V55" i="27"/>
  <c r="V49" i="27"/>
  <c r="V37" i="27"/>
  <c r="V46" i="27"/>
  <c r="V98" i="27"/>
  <c r="V87" i="27"/>
  <c r="V70" i="27"/>
  <c r="V41" i="27"/>
  <c r="V72" i="27"/>
  <c r="H100" i="24"/>
  <c r="N64" i="24"/>
  <c r="N16" i="6"/>
  <c r="H22" i="6"/>
  <c r="X12" i="24"/>
  <c r="Z12" i="24" s="1"/>
  <c r="H27" i="46"/>
  <c r="N18" i="46"/>
  <c r="L18" i="53"/>
  <c r="D27" i="53"/>
  <c r="H27" i="40"/>
  <c r="N18" i="40"/>
  <c r="X18" i="37"/>
  <c r="P27" i="37"/>
  <c r="P27" i="47"/>
  <c r="X18" i="47"/>
  <c r="P27" i="35"/>
  <c r="X18" i="35"/>
  <c r="X18" i="28"/>
  <c r="P27" i="28"/>
  <c r="T27" i="25"/>
  <c r="Z18" i="25"/>
  <c r="H27" i="22"/>
  <c r="N18" i="22"/>
  <c r="H27" i="17"/>
  <c r="N18" i="17"/>
  <c r="L18" i="5"/>
  <c r="D27" i="5"/>
  <c r="D27" i="19"/>
  <c r="L18" i="19"/>
  <c r="H27" i="11"/>
  <c r="N18" i="11"/>
  <c r="R78" i="88"/>
  <c r="R61" i="88"/>
  <c r="R60" i="88"/>
  <c r="R53" i="88"/>
  <c r="R52" i="88"/>
  <c r="R67" i="88"/>
  <c r="R66" i="88"/>
  <c r="R62" i="88"/>
  <c r="R55" i="88"/>
  <c r="R54" i="88"/>
  <c r="R35" i="88"/>
  <c r="R34" i="88"/>
  <c r="R71" i="88"/>
  <c r="R70" i="88"/>
  <c r="R39" i="88"/>
  <c r="R38" i="88"/>
  <c r="R57" i="88"/>
  <c r="R50" i="88"/>
  <c r="R49" i="88"/>
  <c r="R72" i="88"/>
  <c r="R64" i="88"/>
  <c r="R41" i="88"/>
  <c r="R40" i="88"/>
  <c r="R74" i="88"/>
  <c r="R51" i="88"/>
  <c r="R45" i="88"/>
  <c r="R16" i="88"/>
  <c r="R69" i="88"/>
  <c r="R30" i="88"/>
  <c r="R26" i="88"/>
  <c r="R17" i="88"/>
  <c r="R46" i="88"/>
  <c r="X12" i="88"/>
  <c r="R42" i="88"/>
  <c r="R32" i="88"/>
  <c r="R31" i="88"/>
  <c r="R27" i="88"/>
  <c r="R23" i="88"/>
  <c r="R18" i="88"/>
  <c r="R58" i="88"/>
  <c r="R36" i="88"/>
  <c r="R22" i="88"/>
  <c r="R20" i="88"/>
  <c r="R33" i="88"/>
  <c r="R28" i="88"/>
  <c r="R24" i="88"/>
  <c r="P20" i="88"/>
  <c r="R68" i="88"/>
  <c r="R44" i="88"/>
  <c r="R63" i="88"/>
  <c r="R48" i="88"/>
  <c r="R56" i="88"/>
  <c r="R65" i="88"/>
  <c r="R25" i="88"/>
  <c r="R43" i="88"/>
  <c r="R59" i="88"/>
  <c r="R47" i="88"/>
  <c r="R29" i="88"/>
  <c r="R37" i="88"/>
  <c r="H27" i="5"/>
  <c r="N18" i="5"/>
  <c r="T57" i="110"/>
  <c r="N54" i="110"/>
  <c r="L54" i="110"/>
  <c r="P35" i="105"/>
  <c r="X31" i="105"/>
  <c r="F16" i="101"/>
  <c r="F15" i="101"/>
  <c r="F39" i="101"/>
  <c r="F38" i="101"/>
  <c r="F27" i="101"/>
  <c r="F26" i="101"/>
  <c r="F41" i="101"/>
  <c r="F40" i="101"/>
  <c r="F29" i="101"/>
  <c r="F28" i="101"/>
  <c r="F17" i="101"/>
  <c r="F21" i="101"/>
  <c r="F46" i="101"/>
  <c r="F33" i="101"/>
  <c r="F32" i="101"/>
  <c r="D19" i="101"/>
  <c r="F50" i="101"/>
  <c r="F45" i="101"/>
  <c r="F24" i="101"/>
  <c r="F31" i="101"/>
  <c r="F36" i="101"/>
  <c r="F34" i="101"/>
  <c r="F23" i="101"/>
  <c r="L12" i="101"/>
  <c r="F30" i="101"/>
  <c r="F35" i="101"/>
  <c r="F42" i="101"/>
  <c r="F25" i="101"/>
  <c r="F22" i="101"/>
  <c r="F43" i="101"/>
  <c r="F37" i="101"/>
  <c r="J58" i="106"/>
  <c r="J50" i="106"/>
  <c r="J73" i="106"/>
  <c r="J51" i="106"/>
  <c r="J64" i="106"/>
  <c r="J52" i="106"/>
  <c r="J77" i="106"/>
  <c r="J59" i="106"/>
  <c r="J53" i="106"/>
  <c r="J60" i="106"/>
  <c r="J54" i="106"/>
  <c r="J65" i="106"/>
  <c r="J61" i="106"/>
  <c r="J43" i="106"/>
  <c r="J66" i="106"/>
  <c r="J44" i="106"/>
  <c r="J67" i="106"/>
  <c r="J55" i="106"/>
  <c r="J45" i="106"/>
  <c r="J57" i="106"/>
  <c r="J39" i="106"/>
  <c r="J35" i="106"/>
  <c r="J71" i="106"/>
  <c r="J69" i="106"/>
  <c r="J30" i="106"/>
  <c r="J26" i="106"/>
  <c r="J48" i="106"/>
  <c r="J63" i="106"/>
  <c r="J40" i="106"/>
  <c r="J36" i="106"/>
  <c r="N12" i="106"/>
  <c r="J41" i="106"/>
  <c r="J31" i="106"/>
  <c r="J27" i="106"/>
  <c r="J17" i="106"/>
  <c r="J46" i="106"/>
  <c r="J42" i="106"/>
  <c r="J18" i="106"/>
  <c r="J47" i="106"/>
  <c r="J19" i="106"/>
  <c r="J38" i="106"/>
  <c r="J24" i="106"/>
  <c r="J68" i="106"/>
  <c r="J34" i="106"/>
  <c r="J28" i="106"/>
  <c r="J21" i="106"/>
  <c r="J70" i="106"/>
  <c r="J32" i="106"/>
  <c r="H21" i="106"/>
  <c r="J25" i="106"/>
  <c r="J56" i="106"/>
  <c r="J29" i="106"/>
  <c r="J23" i="106"/>
  <c r="J33" i="106"/>
  <c r="J62" i="106"/>
  <c r="J37" i="106"/>
  <c r="J49" i="106"/>
  <c r="J39" i="101"/>
  <c r="J27" i="101"/>
  <c r="J40" i="101"/>
  <c r="J28" i="101"/>
  <c r="J41" i="101"/>
  <c r="J29" i="101"/>
  <c r="J17" i="101"/>
  <c r="J42" i="101"/>
  <c r="J30" i="101"/>
  <c r="J22" i="101"/>
  <c r="N12" i="101"/>
  <c r="J43" i="101"/>
  <c r="J31" i="101"/>
  <c r="J23" i="101"/>
  <c r="J21" i="101"/>
  <c r="J19" i="101"/>
  <c r="J45" i="101"/>
  <c r="J33" i="101"/>
  <c r="J50" i="101"/>
  <c r="J34" i="101"/>
  <c r="J24" i="101"/>
  <c r="J35" i="101"/>
  <c r="J55" i="101"/>
  <c r="J16" i="101"/>
  <c r="J48" i="101"/>
  <c r="J52" i="101"/>
  <c r="J32" i="101"/>
  <c r="J25" i="101"/>
  <c r="J46" i="101"/>
  <c r="J38" i="101"/>
  <c r="J36" i="101"/>
  <c r="H19" i="101"/>
  <c r="J15" i="101"/>
  <c r="J37" i="101"/>
  <c r="J26" i="101"/>
  <c r="D78" i="92"/>
  <c r="L16" i="92"/>
  <c r="D76" i="88"/>
  <c r="L20" i="88"/>
  <c r="R58" i="81"/>
  <c r="R51" i="81"/>
  <c r="R50" i="81"/>
  <c r="R39" i="81"/>
  <c r="R38" i="81"/>
  <c r="R23" i="81"/>
  <c r="R18" i="81"/>
  <c r="R65" i="81"/>
  <c r="R33" i="81"/>
  <c r="R22" i="81"/>
  <c r="R67" i="81"/>
  <c r="R53" i="81"/>
  <c r="R52" i="81"/>
  <c r="R41" i="81"/>
  <c r="R40" i="81"/>
  <c r="R28" i="81"/>
  <c r="R24" i="81"/>
  <c r="P20" i="81"/>
  <c r="R59" i="81"/>
  <c r="R54" i="81"/>
  <c r="R43" i="81"/>
  <c r="R42" i="81"/>
  <c r="R34" i="81"/>
  <c r="R71" i="81"/>
  <c r="R29" i="81"/>
  <c r="R25" i="81"/>
  <c r="R60" i="81"/>
  <c r="R45" i="81"/>
  <c r="R44" i="81"/>
  <c r="R47" i="81"/>
  <c r="R46" i="81"/>
  <c r="R30" i="81"/>
  <c r="R26" i="81"/>
  <c r="R57" i="81"/>
  <c r="R56" i="81"/>
  <c r="R49" i="81"/>
  <c r="R63" i="81"/>
  <c r="R36" i="81"/>
  <c r="R27" i="81"/>
  <c r="R16" i="81"/>
  <c r="R37" i="81"/>
  <c r="R35" i="81"/>
  <c r="R64" i="81"/>
  <c r="R62" i="81"/>
  <c r="R55" i="81"/>
  <c r="R48" i="81"/>
  <c r="R17" i="81"/>
  <c r="X12" i="81"/>
  <c r="Z12" i="81" s="1"/>
  <c r="R32" i="81"/>
  <c r="R61" i="81"/>
  <c r="R31" i="81"/>
  <c r="T73" i="84"/>
  <c r="Z20" i="84"/>
  <c r="V97" i="85"/>
  <c r="V89" i="85"/>
  <c r="V81" i="85"/>
  <c r="V69" i="85"/>
  <c r="V41" i="85"/>
  <c r="V37" i="85"/>
  <c r="V33" i="85"/>
  <c r="V96" i="85"/>
  <c r="V72" i="85"/>
  <c r="V60" i="85"/>
  <c r="V83" i="85"/>
  <c r="V71" i="85"/>
  <c r="V100" i="85"/>
  <c r="V98" i="85"/>
  <c r="V90" i="85"/>
  <c r="V74" i="85"/>
  <c r="V62" i="85"/>
  <c r="V42" i="85"/>
  <c r="V84" i="85"/>
  <c r="V91" i="85"/>
  <c r="V75" i="85"/>
  <c r="V104" i="85"/>
  <c r="V86" i="85"/>
  <c r="V78" i="85"/>
  <c r="V66" i="85"/>
  <c r="V58" i="85"/>
  <c r="T45" i="85"/>
  <c r="V93" i="85"/>
  <c r="V85" i="85"/>
  <c r="V77" i="85"/>
  <c r="V73" i="85"/>
  <c r="V68" i="85"/>
  <c r="V65" i="85"/>
  <c r="V51" i="85"/>
  <c r="V87" i="85"/>
  <c r="V59" i="85"/>
  <c r="V56" i="85"/>
  <c r="V49" i="85"/>
  <c r="V43" i="85"/>
  <c r="V57" i="85"/>
  <c r="V38" i="85"/>
  <c r="V35" i="85"/>
  <c r="V32" i="85"/>
  <c r="V79" i="85"/>
  <c r="V54" i="85"/>
  <c r="V52" i="85"/>
  <c r="V88" i="85"/>
  <c r="V63" i="85"/>
  <c r="V64" i="85"/>
  <c r="V47" i="85"/>
  <c r="V80" i="85"/>
  <c r="V30" i="85"/>
  <c r="V95" i="85"/>
  <c r="V61" i="85"/>
  <c r="V53" i="85"/>
  <c r="V40" i="85"/>
  <c r="V55" i="85"/>
  <c r="V76" i="85"/>
  <c r="V70" i="85"/>
  <c r="V48" i="85"/>
  <c r="V39" i="85"/>
  <c r="V92" i="85"/>
  <c r="V36" i="85"/>
  <c r="V34" i="85"/>
  <c r="V94" i="85"/>
  <c r="V82" i="85"/>
  <c r="V31" i="85"/>
  <c r="V67" i="85"/>
  <c r="V50" i="85"/>
  <c r="T47" i="61"/>
  <c r="Z16" i="61"/>
  <c r="J79" i="69"/>
  <c r="J69" i="69"/>
  <c r="J61" i="69"/>
  <c r="J57" i="69"/>
  <c r="J80" i="69"/>
  <c r="J70" i="69"/>
  <c r="J62" i="69"/>
  <c r="J48" i="69"/>
  <c r="J44" i="69"/>
  <c r="J40" i="69"/>
  <c r="J81" i="69"/>
  <c r="J71" i="69"/>
  <c r="J63" i="69"/>
  <c r="J53" i="69"/>
  <c r="J82" i="69"/>
  <c r="J72" i="69"/>
  <c r="J58" i="69"/>
  <c r="J54" i="69"/>
  <c r="J52" i="69"/>
  <c r="J50" i="69"/>
  <c r="J73" i="69"/>
  <c r="J84" i="69"/>
  <c r="J77" i="69"/>
  <c r="J43" i="69"/>
  <c r="J56" i="69"/>
  <c r="J46" i="69"/>
  <c r="H50" i="69"/>
  <c r="J74" i="69"/>
  <c r="J67" i="69"/>
  <c r="J64" i="69"/>
  <c r="J41" i="69"/>
  <c r="J38" i="69"/>
  <c r="J59" i="69"/>
  <c r="J68" i="69"/>
  <c r="J47" i="69"/>
  <c r="J45" i="69"/>
  <c r="J42" i="69"/>
  <c r="J65" i="69"/>
  <c r="J60" i="69"/>
  <c r="J76" i="69"/>
  <c r="N12" i="69"/>
  <c r="J88" i="69"/>
  <c r="J78" i="69"/>
  <c r="J66" i="69"/>
  <c r="J39" i="69"/>
  <c r="J55" i="69"/>
  <c r="J75" i="69"/>
  <c r="L16" i="58"/>
  <c r="D64" i="58"/>
  <c r="D50" i="60"/>
  <c r="X16" i="56"/>
  <c r="P65" i="56"/>
  <c r="P37" i="55"/>
  <c r="F66" i="51"/>
  <c r="F65" i="51"/>
  <c r="F58" i="51"/>
  <c r="F82" i="51"/>
  <c r="F77" i="51"/>
  <c r="F76" i="51"/>
  <c r="F53" i="51"/>
  <c r="F49" i="51"/>
  <c r="F86" i="51"/>
  <c r="F81" i="51"/>
  <c r="F68" i="51"/>
  <c r="F67" i="51"/>
  <c r="F40" i="51"/>
  <c r="F36" i="51"/>
  <c r="F80" i="51"/>
  <c r="F59" i="51"/>
  <c r="F79" i="51"/>
  <c r="F70" i="51"/>
  <c r="F69" i="51"/>
  <c r="F54" i="51"/>
  <c r="F50" i="51"/>
  <c r="F41" i="51"/>
  <c r="F37" i="51"/>
  <c r="F33" i="51"/>
  <c r="F32" i="51"/>
  <c r="F72" i="51"/>
  <c r="F71" i="51"/>
  <c r="F60" i="51"/>
  <c r="L12" i="51"/>
  <c r="N12" i="51" s="1"/>
  <c r="F74" i="51"/>
  <c r="F73" i="51"/>
  <c r="F62" i="51"/>
  <c r="F61" i="51"/>
  <c r="F45" i="51"/>
  <c r="F38" i="51"/>
  <c r="F34" i="51"/>
  <c r="F51" i="51"/>
  <c r="F63" i="51"/>
  <c r="F48" i="51"/>
  <c r="F46" i="51"/>
  <c r="D43" i="51"/>
  <c r="F56" i="51"/>
  <c r="F47" i="51"/>
  <c r="F64" i="51"/>
  <c r="F39" i="51"/>
  <c r="F75" i="51"/>
  <c r="F55" i="51"/>
  <c r="F52" i="51"/>
  <c r="F57" i="51"/>
  <c r="F35" i="51"/>
  <c r="P119" i="36"/>
  <c r="N240" i="18"/>
  <c r="T235" i="12"/>
  <c r="R153" i="18"/>
  <c r="R74" i="21"/>
  <c r="R63" i="21"/>
  <c r="R62" i="21"/>
  <c r="R42" i="21"/>
  <c r="R85" i="21"/>
  <c r="R38" i="21"/>
  <c r="R37" i="21"/>
  <c r="R33" i="21"/>
  <c r="R98" i="21"/>
  <c r="R81" i="21"/>
  <c r="R80" i="21"/>
  <c r="R65" i="21"/>
  <c r="R64" i="21"/>
  <c r="R53" i="21"/>
  <c r="R52" i="21"/>
  <c r="R29" i="21"/>
  <c r="R24" i="21"/>
  <c r="R75" i="21"/>
  <c r="R44" i="21"/>
  <c r="R43" i="21"/>
  <c r="R39" i="21"/>
  <c r="R28" i="21"/>
  <c r="R26" i="21"/>
  <c r="R87" i="21"/>
  <c r="R86" i="21"/>
  <c r="R82" i="21"/>
  <c r="R67" i="21"/>
  <c r="R66" i="21"/>
  <c r="R55" i="21"/>
  <c r="R54" i="21"/>
  <c r="R34" i="21"/>
  <c r="R30" i="21"/>
  <c r="P26" i="21"/>
  <c r="R46" i="21"/>
  <c r="R45" i="21"/>
  <c r="R89" i="21"/>
  <c r="R88" i="21"/>
  <c r="R76" i="21"/>
  <c r="R69" i="21"/>
  <c r="R68" i="21"/>
  <c r="R57" i="21"/>
  <c r="R56" i="21"/>
  <c r="R40" i="21"/>
  <c r="X12" i="21"/>
  <c r="Z12" i="21" s="1"/>
  <c r="R83" i="21"/>
  <c r="R48" i="21"/>
  <c r="R47" i="21"/>
  <c r="R35" i="21"/>
  <c r="R31" i="21"/>
  <c r="R91" i="21"/>
  <c r="R90" i="21"/>
  <c r="R71" i="21"/>
  <c r="R70" i="21"/>
  <c r="R59" i="21"/>
  <c r="R58" i="21"/>
  <c r="R78" i="21"/>
  <c r="R77" i="21"/>
  <c r="R50" i="21"/>
  <c r="R49" i="21"/>
  <c r="R41" i="21"/>
  <c r="R22" i="21"/>
  <c r="R92" i="21"/>
  <c r="R84" i="21"/>
  <c r="R73" i="21"/>
  <c r="R72" i="21"/>
  <c r="R61" i="21"/>
  <c r="R60" i="21"/>
  <c r="R36" i="21"/>
  <c r="R32" i="21"/>
  <c r="R51" i="21"/>
  <c r="R79" i="21"/>
  <c r="R23" i="21"/>
  <c r="R94" i="21"/>
  <c r="D235" i="12"/>
  <c r="L138" i="12"/>
  <c r="H271" i="3"/>
  <c r="T27" i="47"/>
  <c r="Z18" i="47"/>
  <c r="T27" i="40"/>
  <c r="Z18" i="40"/>
  <c r="L18" i="37"/>
  <c r="D27" i="37"/>
  <c r="D27" i="43"/>
  <c r="L18" i="43"/>
  <c r="T27" i="28"/>
  <c r="Z18" i="28"/>
  <c r="D27" i="49"/>
  <c r="L18" i="49"/>
  <c r="T27" i="17"/>
  <c r="Z18" i="17"/>
  <c r="N31" i="109"/>
  <c r="J71" i="77"/>
  <c r="J41" i="77"/>
  <c r="J37" i="77"/>
  <c r="J33" i="77"/>
  <c r="J73" i="77"/>
  <c r="J61" i="77"/>
  <c r="J55" i="77"/>
  <c r="J51" i="77"/>
  <c r="J47" i="77"/>
  <c r="J45" i="77"/>
  <c r="J43" i="77"/>
  <c r="J74" i="77"/>
  <c r="J62" i="77"/>
  <c r="J56" i="77"/>
  <c r="H43" i="77"/>
  <c r="J38" i="77"/>
  <c r="J34" i="77"/>
  <c r="J63" i="77"/>
  <c r="J57" i="77"/>
  <c r="J64" i="77"/>
  <c r="J52" i="77"/>
  <c r="J48" i="77"/>
  <c r="J81" i="77"/>
  <c r="J77" i="77"/>
  <c r="J67" i="77"/>
  <c r="J53" i="77"/>
  <c r="J49" i="77"/>
  <c r="J86" i="77"/>
  <c r="J80" i="77"/>
  <c r="J68" i="77"/>
  <c r="J40" i="77"/>
  <c r="J36" i="77"/>
  <c r="J79" i="77"/>
  <c r="J69" i="77"/>
  <c r="J59" i="77"/>
  <c r="J82" i="77"/>
  <c r="J76" i="77"/>
  <c r="J72" i="77"/>
  <c r="J70" i="77"/>
  <c r="J46" i="77"/>
  <c r="J66" i="77"/>
  <c r="J50" i="77"/>
  <c r="J35" i="77"/>
  <c r="J75" i="77"/>
  <c r="J54" i="77"/>
  <c r="J39" i="77"/>
  <c r="N12" i="77"/>
  <c r="J60" i="77"/>
  <c r="J65" i="77"/>
  <c r="J58" i="77"/>
  <c r="J32" i="77"/>
  <c r="F85" i="75"/>
  <c r="F84" i="75"/>
  <c r="F77" i="75"/>
  <c r="F76" i="75"/>
  <c r="F48" i="75"/>
  <c r="F46" i="75"/>
  <c r="F41" i="75"/>
  <c r="F37" i="75"/>
  <c r="F33" i="75"/>
  <c r="F68" i="75"/>
  <c r="F67" i="75"/>
  <c r="F60" i="75"/>
  <c r="D46" i="75"/>
  <c r="L12" i="75"/>
  <c r="F88" i="75"/>
  <c r="F55" i="75"/>
  <c r="F51" i="75"/>
  <c r="F72" i="75"/>
  <c r="F71" i="75"/>
  <c r="F56" i="75"/>
  <c r="F52" i="75"/>
  <c r="F79" i="75"/>
  <c r="F43" i="75"/>
  <c r="F39" i="75"/>
  <c r="F35" i="75"/>
  <c r="F74" i="75"/>
  <c r="F73" i="75"/>
  <c r="F62" i="75"/>
  <c r="F87" i="75"/>
  <c r="F78" i="75"/>
  <c r="F75" i="75"/>
  <c r="F64" i="75"/>
  <c r="F57" i="75"/>
  <c r="F53" i="75"/>
  <c r="F44" i="75"/>
  <c r="F81" i="75"/>
  <c r="F70" i="75"/>
  <c r="F42" i="75"/>
  <c r="F31" i="75"/>
  <c r="F92" i="75"/>
  <c r="F58" i="75"/>
  <c r="F38" i="75"/>
  <c r="F65" i="75"/>
  <c r="F36" i="75"/>
  <c r="F82" i="75"/>
  <c r="F54" i="75"/>
  <c r="F34" i="75"/>
  <c r="F63" i="75"/>
  <c r="F50" i="75"/>
  <c r="F32" i="75"/>
  <c r="F69" i="75"/>
  <c r="F66" i="75"/>
  <c r="F61" i="75"/>
  <c r="F59" i="75"/>
  <c r="F49" i="75"/>
  <c r="F80" i="75"/>
  <c r="F83" i="75"/>
  <c r="F40" i="75"/>
  <c r="H27" i="26"/>
  <c r="N18" i="26"/>
  <c r="J73" i="104"/>
  <c r="V20" i="102"/>
  <c r="H68" i="95"/>
  <c r="P61" i="94"/>
  <c r="X20" i="94"/>
  <c r="L18" i="89"/>
  <c r="D53" i="89"/>
  <c r="V80" i="75"/>
  <c r="V72" i="75"/>
  <c r="V56" i="75"/>
  <c r="V52" i="75"/>
  <c r="V79" i="75"/>
  <c r="V63" i="75"/>
  <c r="V43" i="75"/>
  <c r="V39" i="75"/>
  <c r="V35" i="75"/>
  <c r="V31" i="75"/>
  <c r="V82" i="75"/>
  <c r="V74" i="75"/>
  <c r="V62" i="75"/>
  <c r="V58" i="75"/>
  <c r="V83" i="75"/>
  <c r="V75" i="75"/>
  <c r="V67" i="75"/>
  <c r="V59" i="75"/>
  <c r="T46" i="75"/>
  <c r="V88" i="75"/>
  <c r="V66" i="75"/>
  <c r="V54" i="75"/>
  <c r="V50" i="75"/>
  <c r="V87" i="75"/>
  <c r="V85" i="75"/>
  <c r="V77" i="75"/>
  <c r="V69" i="75"/>
  <c r="V41" i="75"/>
  <c r="V37" i="75"/>
  <c r="V33" i="75"/>
  <c r="V71" i="75"/>
  <c r="V60" i="75"/>
  <c r="V40" i="75"/>
  <c r="V38" i="75"/>
  <c r="V92" i="75"/>
  <c r="V68" i="75"/>
  <c r="V36" i="75"/>
  <c r="V34" i="75"/>
  <c r="V32" i="75"/>
  <c r="V61" i="75"/>
  <c r="V48" i="75"/>
  <c r="V78" i="75"/>
  <c r="V57" i="75"/>
  <c r="V55" i="75"/>
  <c r="V64" i="75"/>
  <c r="V53" i="75"/>
  <c r="V51" i="75"/>
  <c r="V49" i="75"/>
  <c r="V84" i="75"/>
  <c r="V44" i="75"/>
  <c r="V73" i="75"/>
  <c r="V81" i="75"/>
  <c r="V76" i="75"/>
  <c r="V65" i="75"/>
  <c r="V70" i="75"/>
  <c r="V42" i="75"/>
  <c r="D67" i="73"/>
  <c r="N16" i="60"/>
  <c r="H46" i="60"/>
  <c r="P68" i="58"/>
  <c r="T66" i="59"/>
  <c r="H61" i="48"/>
  <c r="R71" i="51"/>
  <c r="R70" i="51"/>
  <c r="R54" i="51"/>
  <c r="R50" i="51"/>
  <c r="R46" i="51"/>
  <c r="R41" i="51"/>
  <c r="R37" i="51"/>
  <c r="R33" i="51"/>
  <c r="R73" i="51"/>
  <c r="R72" i="51"/>
  <c r="R61" i="51"/>
  <c r="R60" i="51"/>
  <c r="R45" i="51"/>
  <c r="X12" i="51"/>
  <c r="R56" i="51"/>
  <c r="R55" i="51"/>
  <c r="R51" i="51"/>
  <c r="R47" i="51"/>
  <c r="P43" i="51"/>
  <c r="R74" i="51"/>
  <c r="R63" i="51"/>
  <c r="R62" i="51"/>
  <c r="R38" i="51"/>
  <c r="R34" i="51"/>
  <c r="R57" i="51"/>
  <c r="R65" i="51"/>
  <c r="R64" i="51"/>
  <c r="R52" i="51"/>
  <c r="R48" i="51"/>
  <c r="R81" i="51"/>
  <c r="R67" i="51"/>
  <c r="R66" i="51"/>
  <c r="R58" i="51"/>
  <c r="R53" i="51"/>
  <c r="R36" i="51"/>
  <c r="R40" i="51"/>
  <c r="R86" i="51"/>
  <c r="R68" i="51"/>
  <c r="R59" i="51"/>
  <c r="R75" i="51"/>
  <c r="R35" i="51"/>
  <c r="R69" i="51"/>
  <c r="R39" i="51"/>
  <c r="R82" i="51"/>
  <c r="R79" i="51"/>
  <c r="R32" i="51"/>
  <c r="R49" i="51"/>
  <c r="R77" i="51"/>
  <c r="R80" i="51"/>
  <c r="R76" i="51"/>
  <c r="X115" i="39"/>
  <c r="V112" i="30"/>
  <c r="V100" i="30"/>
  <c r="V92" i="30"/>
  <c r="V117" i="30"/>
  <c r="V101" i="30"/>
  <c r="V93" i="30"/>
  <c r="V81" i="30"/>
  <c r="V53" i="30"/>
  <c r="V49" i="30"/>
  <c r="V45" i="30"/>
  <c r="V41" i="30"/>
  <c r="V121" i="30"/>
  <c r="V103" i="30"/>
  <c r="V95" i="30"/>
  <c r="V110" i="30"/>
  <c r="V106" i="30"/>
  <c r="V98" i="30"/>
  <c r="V90" i="30"/>
  <c r="V78" i="30"/>
  <c r="V70" i="30"/>
  <c r="T57" i="30"/>
  <c r="V125" i="30"/>
  <c r="V120" i="30"/>
  <c r="V97" i="30"/>
  <c r="V79" i="30"/>
  <c r="V47" i="30"/>
  <c r="Z12" i="30"/>
  <c r="V109" i="30"/>
  <c r="V86" i="30"/>
  <c r="V85" i="30"/>
  <c r="V61" i="30"/>
  <c r="V38" i="30"/>
  <c r="V76" i="30"/>
  <c r="V75" i="30"/>
  <c r="V67" i="30"/>
  <c r="V64" i="30"/>
  <c r="V54" i="30"/>
  <c r="V51" i="30"/>
  <c r="V48" i="30"/>
  <c r="V116" i="30"/>
  <c r="V113" i="30"/>
  <c r="V91" i="30"/>
  <c r="V82" i="30"/>
  <c r="V42" i="30"/>
  <c r="V107" i="30"/>
  <c r="V104" i="30"/>
  <c r="V88" i="30"/>
  <c r="V87" i="30"/>
  <c r="V71" i="30"/>
  <c r="V39" i="30"/>
  <c r="V105" i="30"/>
  <c r="V62" i="30"/>
  <c r="V52" i="30"/>
  <c r="V99" i="30"/>
  <c r="V96" i="30"/>
  <c r="V77" i="30"/>
  <c r="V65" i="30"/>
  <c r="V55" i="30"/>
  <c r="V102" i="30"/>
  <c r="V63" i="30"/>
  <c r="V60" i="30"/>
  <c r="V59" i="30"/>
  <c r="V108" i="30"/>
  <c r="V57" i="30"/>
  <c r="V44" i="30"/>
  <c r="V40" i="30"/>
  <c r="V118" i="30"/>
  <c r="V69" i="30"/>
  <c r="V114" i="30"/>
  <c r="V46" i="30"/>
  <c r="V89" i="30"/>
  <c r="V37" i="30"/>
  <c r="V111" i="30"/>
  <c r="V94" i="30"/>
  <c r="V73" i="30"/>
  <c r="V50" i="30"/>
  <c r="V43" i="30"/>
  <c r="V115" i="30"/>
  <c r="V83" i="30"/>
  <c r="V66" i="30"/>
  <c r="V36" i="30"/>
  <c r="V74" i="30"/>
  <c r="V68" i="30"/>
  <c r="V84" i="30"/>
  <c r="V72" i="30"/>
  <c r="V80" i="30"/>
  <c r="J91" i="21"/>
  <c r="J77" i="21"/>
  <c r="J71" i="21"/>
  <c r="J59" i="21"/>
  <c r="J49" i="21"/>
  <c r="J41" i="21"/>
  <c r="J92" i="21"/>
  <c r="J84" i="21"/>
  <c r="J78" i="21"/>
  <c r="J72" i="21"/>
  <c r="J60" i="21"/>
  <c r="J50" i="21"/>
  <c r="J36" i="21"/>
  <c r="J32" i="21"/>
  <c r="J22" i="21"/>
  <c r="J79" i="21"/>
  <c r="J73" i="21"/>
  <c r="J61" i="21"/>
  <c r="J51" i="21"/>
  <c r="J23" i="21"/>
  <c r="J94" i="21"/>
  <c r="J74" i="21"/>
  <c r="J62" i="21"/>
  <c r="J42" i="21"/>
  <c r="J85" i="21"/>
  <c r="J63" i="21"/>
  <c r="J37" i="21"/>
  <c r="J33" i="21"/>
  <c r="J98" i="21"/>
  <c r="J80" i="21"/>
  <c r="J64" i="21"/>
  <c r="J52" i="21"/>
  <c r="J38" i="21"/>
  <c r="J24" i="21"/>
  <c r="J81" i="21"/>
  <c r="J75" i="21"/>
  <c r="J65" i="21"/>
  <c r="J53" i="21"/>
  <c r="J43" i="21"/>
  <c r="J39" i="21"/>
  <c r="J29" i="21"/>
  <c r="J86" i="21"/>
  <c r="J82" i="21"/>
  <c r="J66" i="21"/>
  <c r="J54" i="21"/>
  <c r="J44" i="21"/>
  <c r="J34" i="21"/>
  <c r="J30" i="21"/>
  <c r="J28" i="21"/>
  <c r="J87" i="21"/>
  <c r="J67" i="21"/>
  <c r="J55" i="21"/>
  <c r="J45" i="21"/>
  <c r="H26" i="21"/>
  <c r="J26" i="21" s="1"/>
  <c r="J88" i="21"/>
  <c r="J76" i="21"/>
  <c r="J68" i="21"/>
  <c r="J56" i="21"/>
  <c r="J46" i="21"/>
  <c r="J40" i="21"/>
  <c r="N12" i="21"/>
  <c r="J89" i="21"/>
  <c r="J83" i="21"/>
  <c r="J69" i="21"/>
  <c r="J57" i="21"/>
  <c r="J47" i="21"/>
  <c r="J35" i="21"/>
  <c r="J31" i="21"/>
  <c r="J90" i="21"/>
  <c r="J58" i="21"/>
  <c r="J48" i="21"/>
  <c r="J70" i="21"/>
  <c r="P227" i="15"/>
  <c r="V247" i="18"/>
  <c r="V205" i="18"/>
  <c r="V193" i="18"/>
  <c r="V173" i="18"/>
  <c r="V169" i="18"/>
  <c r="V246" i="18"/>
  <c r="V228" i="18"/>
  <c r="V216" i="18"/>
  <c r="V204" i="18"/>
  <c r="V184" i="18"/>
  <c r="V176" i="18"/>
  <c r="V164" i="18"/>
  <c r="V160" i="18"/>
  <c r="V156" i="18"/>
  <c r="V245" i="18"/>
  <c r="V235" i="18"/>
  <c r="V227" i="18"/>
  <c r="V223" i="18"/>
  <c r="V211" i="18"/>
  <c r="V195" i="18"/>
  <c r="V175" i="18"/>
  <c r="V155" i="18"/>
  <c r="V151" i="18"/>
  <c r="V147" i="18"/>
  <c r="V143" i="18"/>
  <c r="V139" i="18"/>
  <c r="V135" i="18"/>
  <c r="V131" i="18"/>
  <c r="V127" i="18"/>
  <c r="V123" i="18"/>
  <c r="V119" i="18"/>
  <c r="V115" i="18"/>
  <c r="V111" i="18"/>
  <c r="V107" i="18"/>
  <c r="V244" i="18"/>
  <c r="V218" i="18"/>
  <c r="V206" i="18"/>
  <c r="V194" i="18"/>
  <c r="V186" i="18"/>
  <c r="V178" i="18"/>
  <c r="V170" i="18"/>
  <c r="V166" i="18"/>
  <c r="T153" i="18"/>
  <c r="X153" i="18" s="1"/>
  <c r="V251" i="18"/>
  <c r="V243" i="18"/>
  <c r="V237" i="18"/>
  <c r="V229" i="18"/>
  <c r="V217" i="18"/>
  <c r="V213" i="18"/>
  <c r="V197" i="18"/>
  <c r="V185" i="18"/>
  <c r="V177" i="18"/>
  <c r="V165" i="18"/>
  <c r="V161" i="18"/>
  <c r="V157" i="18"/>
  <c r="V242" i="18"/>
  <c r="V236" i="18"/>
  <c r="V224" i="18"/>
  <c r="V212" i="18"/>
  <c r="V196" i="18"/>
  <c r="V188" i="18"/>
  <c r="V180" i="18"/>
  <c r="V148" i="18"/>
  <c r="V144" i="18"/>
  <c r="V140" i="18"/>
  <c r="V136" i="18"/>
  <c r="V132" i="18"/>
  <c r="V128" i="18"/>
  <c r="V124" i="18"/>
  <c r="V120" i="18"/>
  <c r="V116" i="18"/>
  <c r="V112" i="18"/>
  <c r="V108" i="18"/>
  <c r="V104" i="18"/>
  <c r="V241" i="18"/>
  <c r="V231" i="18"/>
  <c r="V219" i="18"/>
  <c r="V207" i="18"/>
  <c r="V199" i="18"/>
  <c r="V187" i="18"/>
  <c r="V179" i="18"/>
  <c r="V171" i="18"/>
  <c r="V167" i="18"/>
  <c r="V240" i="18"/>
  <c r="V238" i="18"/>
  <c r="V230" i="18"/>
  <c r="V214" i="18"/>
  <c r="V198" i="18"/>
  <c r="V190" i="18"/>
  <c r="V162" i="18"/>
  <c r="V158" i="18"/>
  <c r="V233" i="18"/>
  <c r="V225" i="18"/>
  <c r="V221" i="18"/>
  <c r="V209" i="18"/>
  <c r="V201" i="18"/>
  <c r="V189" i="18"/>
  <c r="V181" i="18"/>
  <c r="V149" i="18"/>
  <c r="V145" i="18"/>
  <c r="V141" i="18"/>
  <c r="V137" i="18"/>
  <c r="V133" i="18"/>
  <c r="V129" i="18"/>
  <c r="V125" i="18"/>
  <c r="V121" i="18"/>
  <c r="V117" i="18"/>
  <c r="V113" i="18"/>
  <c r="V109" i="18"/>
  <c r="V105" i="18"/>
  <c r="V232" i="18"/>
  <c r="V220" i="18"/>
  <c r="V208" i="18"/>
  <c r="V200" i="18"/>
  <c r="V192" i="18"/>
  <c r="V172" i="18"/>
  <c r="V168" i="18"/>
  <c r="Z12" i="18"/>
  <c r="V215" i="18"/>
  <c r="V203" i="18"/>
  <c r="V191" i="18"/>
  <c r="V183" i="18"/>
  <c r="V163" i="18"/>
  <c r="V159" i="18"/>
  <c r="V210" i="18"/>
  <c r="V182" i="18"/>
  <c r="V134" i="18"/>
  <c r="V114" i="18"/>
  <c r="V226" i="18"/>
  <c r="V150" i="18"/>
  <c r="V142" i="18"/>
  <c r="V122" i="18"/>
  <c r="V222" i="18"/>
  <c r="V174" i="18"/>
  <c r="V110" i="18"/>
  <c r="V130" i="18"/>
  <c r="V202" i="18"/>
  <c r="V138" i="18"/>
  <c r="V106" i="18"/>
  <c r="V146" i="18"/>
  <c r="V118" i="18"/>
  <c r="V126" i="18"/>
  <c r="V234" i="18"/>
  <c r="T26" i="6"/>
  <c r="Z22" i="6"/>
  <c r="P26" i="6"/>
  <c r="X22" i="6"/>
  <c r="X18" i="50"/>
  <c r="P27" i="50"/>
  <c r="L18" i="50"/>
  <c r="D27" i="50"/>
  <c r="X18" i="44"/>
  <c r="P27" i="44"/>
  <c r="H27" i="41"/>
  <c r="N18" i="41"/>
  <c r="T27" i="37"/>
  <c r="Z18" i="37"/>
  <c r="L18" i="38"/>
  <c r="D27" i="38"/>
  <c r="T27" i="44"/>
  <c r="Z18" i="44"/>
  <c r="X18" i="31"/>
  <c r="P27" i="31"/>
  <c r="T27" i="32"/>
  <c r="Z18" i="32"/>
  <c r="L18" i="20"/>
  <c r="D27" i="20"/>
  <c r="X18" i="23"/>
  <c r="P27" i="23"/>
  <c r="X18" i="22"/>
  <c r="P27" i="22"/>
  <c r="L18" i="23"/>
  <c r="D27" i="23"/>
  <c r="X18" i="25"/>
  <c r="P27" i="25"/>
  <c r="T27" i="14"/>
  <c r="Z18" i="14"/>
  <c r="T27" i="13"/>
  <c r="Z18" i="13"/>
  <c r="T27" i="10"/>
  <c r="Z18" i="10"/>
  <c r="P27" i="5"/>
  <c r="X18" i="5"/>
  <c r="V71" i="98"/>
  <c r="V62" i="98"/>
  <c r="V54" i="98"/>
  <c r="V46" i="98"/>
  <c r="V22" i="98"/>
  <c r="V18" i="98"/>
  <c r="V61" i="98"/>
  <c r="V57" i="98"/>
  <c r="V37" i="98"/>
  <c r="V33" i="98"/>
  <c r="T20" i="98"/>
  <c r="V64" i="98"/>
  <c r="V56" i="98"/>
  <c r="V48" i="98"/>
  <c r="V28" i="98"/>
  <c r="V24" i="98"/>
  <c r="V63" i="98"/>
  <c r="V47" i="98"/>
  <c r="V39" i="98"/>
  <c r="V58" i="98"/>
  <c r="V50" i="98"/>
  <c r="V38" i="98"/>
  <c r="V34" i="98"/>
  <c r="V59" i="98"/>
  <c r="V51" i="98"/>
  <c r="V43" i="98"/>
  <c r="V35" i="98"/>
  <c r="V42" i="98"/>
  <c r="V30" i="98"/>
  <c r="V26" i="98"/>
  <c r="V53" i="98"/>
  <c r="V45" i="98"/>
  <c r="V17" i="98"/>
  <c r="V49" i="98"/>
  <c r="V41" i="98"/>
  <c r="V36" i="98"/>
  <c r="V23" i="98"/>
  <c r="V60" i="98"/>
  <c r="V52" i="98"/>
  <c r="V25" i="98"/>
  <c r="V65" i="98"/>
  <c r="V29" i="98"/>
  <c r="V67" i="98"/>
  <c r="V44" i="98"/>
  <c r="V55" i="98"/>
  <c r="V40" i="98"/>
  <c r="V32" i="98"/>
  <c r="V27" i="98"/>
  <c r="V31" i="98"/>
  <c r="V16" i="98"/>
  <c r="L16" i="56"/>
  <c r="D65" i="56"/>
  <c r="T96" i="21"/>
  <c r="L16" i="6"/>
  <c r="D22" i="6"/>
  <c r="L18" i="28"/>
  <c r="D27" i="28"/>
  <c r="X17" i="110"/>
  <c r="Z17" i="110" s="1"/>
  <c r="P57" i="110"/>
  <c r="J59" i="110"/>
  <c r="J45" i="110"/>
  <c r="J25" i="110"/>
  <c r="J21" i="110"/>
  <c r="J19" i="110"/>
  <c r="J15" i="110"/>
  <c r="J46" i="110"/>
  <c r="H17" i="110"/>
  <c r="J47" i="110"/>
  <c r="J35" i="110"/>
  <c r="J31" i="110"/>
  <c r="J48" i="110"/>
  <c r="J36" i="110"/>
  <c r="J26" i="110"/>
  <c r="J22" i="110"/>
  <c r="J49" i="110"/>
  <c r="J37" i="110"/>
  <c r="J38" i="110"/>
  <c r="J32" i="110"/>
  <c r="N12" i="110"/>
  <c r="J39" i="110"/>
  <c r="J27" i="110"/>
  <c r="J23" i="110"/>
  <c r="J50" i="110"/>
  <c r="J40" i="110"/>
  <c r="J51" i="110"/>
  <c r="J41" i="110"/>
  <c r="J33" i="110"/>
  <c r="J52" i="110"/>
  <c r="J42" i="110"/>
  <c r="J28" i="110"/>
  <c r="J24" i="110"/>
  <c r="J55" i="110"/>
  <c r="J30" i="110"/>
  <c r="J20" i="110"/>
  <c r="J54" i="110"/>
  <c r="J44" i="110"/>
  <c r="J34" i="110"/>
  <c r="J29" i="110"/>
  <c r="J43" i="110"/>
  <c r="T24" i="107"/>
  <c r="Z16" i="107"/>
  <c r="D24" i="107"/>
  <c r="L16" i="107"/>
  <c r="H28" i="107"/>
  <c r="T74" i="108"/>
  <c r="L16" i="100"/>
  <c r="D42" i="100"/>
  <c r="X12" i="98"/>
  <c r="Z12" i="98" s="1"/>
  <c r="H76" i="88"/>
  <c r="N20" i="88"/>
  <c r="X18" i="86"/>
  <c r="P26" i="86"/>
  <c r="N74" i="92"/>
  <c r="F20" i="88"/>
  <c r="N12" i="83"/>
  <c r="J17" i="83"/>
  <c r="J18" i="83"/>
  <c r="H21" i="83"/>
  <c r="J19" i="83"/>
  <c r="J23" i="83"/>
  <c r="J25" i="83"/>
  <c r="J21" i="83"/>
  <c r="J29" i="83"/>
  <c r="T69" i="81"/>
  <c r="V20" i="81"/>
  <c r="T27" i="83"/>
  <c r="V65" i="77"/>
  <c r="V57" i="77"/>
  <c r="V81" i="77"/>
  <c r="V75" i="77"/>
  <c r="V67" i="77"/>
  <c r="V39" i="77"/>
  <c r="V35" i="77"/>
  <c r="V80" i="77"/>
  <c r="V66" i="77"/>
  <c r="V58" i="77"/>
  <c r="V79" i="77"/>
  <c r="V77" i="77"/>
  <c r="V69" i="77"/>
  <c r="V53" i="77"/>
  <c r="V49" i="77"/>
  <c r="V86" i="77"/>
  <c r="V68" i="77"/>
  <c r="V40" i="77"/>
  <c r="V36" i="77"/>
  <c r="V32" i="77"/>
  <c r="V73" i="77"/>
  <c r="V61" i="77"/>
  <c r="V45" i="77"/>
  <c r="V43" i="77"/>
  <c r="V41" i="77"/>
  <c r="V37" i="77"/>
  <c r="V33" i="77"/>
  <c r="V72" i="77"/>
  <c r="V60" i="77"/>
  <c r="V56" i="77"/>
  <c r="T43" i="77"/>
  <c r="V63" i="77"/>
  <c r="V55" i="77"/>
  <c r="V51" i="77"/>
  <c r="V47" i="77"/>
  <c r="V70" i="77"/>
  <c r="V59" i="77"/>
  <c r="V48" i="77"/>
  <c r="V38" i="77"/>
  <c r="V50" i="77"/>
  <c r="V64" i="77"/>
  <c r="V52" i="77"/>
  <c r="V71" i="77"/>
  <c r="V62" i="77"/>
  <c r="V54" i="77"/>
  <c r="V82" i="77"/>
  <c r="V76" i="77"/>
  <c r="V34" i="77"/>
  <c r="V74" i="77"/>
  <c r="V46" i="77"/>
  <c r="F67" i="74"/>
  <c r="F58" i="74"/>
  <c r="F71" i="74"/>
  <c r="F61" i="74"/>
  <c r="F65" i="74"/>
  <c r="F52" i="74"/>
  <c r="F43" i="74"/>
  <c r="F39" i="74"/>
  <c r="F35" i="74"/>
  <c r="F47" i="74"/>
  <c r="F40" i="74"/>
  <c r="F36" i="74"/>
  <c r="F32" i="74"/>
  <c r="F31" i="74"/>
  <c r="F63" i="74"/>
  <c r="D45" i="74"/>
  <c r="F59" i="74"/>
  <c r="F54" i="74"/>
  <c r="F50" i="74"/>
  <c r="F41" i="74"/>
  <c r="F37" i="74"/>
  <c r="F33" i="74"/>
  <c r="F64" i="74"/>
  <c r="L12" i="74"/>
  <c r="N12" i="74" s="1"/>
  <c r="F60" i="74"/>
  <c r="F55" i="74"/>
  <c r="F51" i="74"/>
  <c r="F42" i="74"/>
  <c r="F38" i="74"/>
  <c r="F57" i="74"/>
  <c r="F48" i="74"/>
  <c r="F56" i="74"/>
  <c r="F53" i="74"/>
  <c r="F49" i="74"/>
  <c r="F34" i="74"/>
  <c r="F62" i="74"/>
  <c r="X16" i="64"/>
  <c r="P90" i="64"/>
  <c r="X20" i="70"/>
  <c r="Z20" i="70" s="1"/>
  <c r="P65" i="70"/>
  <c r="R62" i="74"/>
  <c r="R61" i="74"/>
  <c r="R65" i="74"/>
  <c r="R67" i="74"/>
  <c r="R40" i="74"/>
  <c r="R36" i="74"/>
  <c r="R32" i="74"/>
  <c r="R71" i="74"/>
  <c r="R63" i="74"/>
  <c r="R54" i="74"/>
  <c r="R50" i="74"/>
  <c r="R64" i="74"/>
  <c r="R60" i="74"/>
  <c r="X12" i="74"/>
  <c r="Z12" i="74" s="1"/>
  <c r="R56" i="74"/>
  <c r="R55" i="74"/>
  <c r="R51" i="74"/>
  <c r="R42" i="74"/>
  <c r="R38" i="74"/>
  <c r="R34" i="74"/>
  <c r="R57" i="74"/>
  <c r="R52" i="74"/>
  <c r="R48" i="74"/>
  <c r="R59" i="74"/>
  <c r="R31" i="74"/>
  <c r="R35" i="74"/>
  <c r="R43" i="74"/>
  <c r="R39" i="74"/>
  <c r="R33" i="74"/>
  <c r="R49" i="74"/>
  <c r="R41" i="74"/>
  <c r="R37" i="74"/>
  <c r="R47" i="74"/>
  <c r="R58" i="74"/>
  <c r="R53" i="74"/>
  <c r="P45" i="74"/>
  <c r="R45" i="74" s="1"/>
  <c r="V73" i="69"/>
  <c r="V45" i="69"/>
  <c r="V41" i="69"/>
  <c r="V76" i="69"/>
  <c r="V64" i="69"/>
  <c r="V75" i="69"/>
  <c r="V59" i="69"/>
  <c r="V55" i="69"/>
  <c r="V88" i="69"/>
  <c r="V66" i="69"/>
  <c r="V46" i="69"/>
  <c r="V42" i="69"/>
  <c r="V38" i="69"/>
  <c r="V77" i="69"/>
  <c r="V65" i="69"/>
  <c r="V81" i="69"/>
  <c r="V74" i="69"/>
  <c r="V68" i="69"/>
  <c r="V54" i="69"/>
  <c r="T50" i="69"/>
  <c r="V82" i="69"/>
  <c r="V61" i="69"/>
  <c r="V44" i="69"/>
  <c r="V80" i="69"/>
  <c r="V71" i="69"/>
  <c r="V52" i="69"/>
  <c r="V47" i="69"/>
  <c r="V62" i="69"/>
  <c r="V57" i="69"/>
  <c r="V39" i="69"/>
  <c r="V72" i="69"/>
  <c r="V84" i="69"/>
  <c r="V53" i="69"/>
  <c r="V78" i="69"/>
  <c r="V79" i="69"/>
  <c r="V63" i="69"/>
  <c r="V43" i="69"/>
  <c r="V40" i="69"/>
  <c r="V58" i="69"/>
  <c r="V56" i="69"/>
  <c r="V50" i="69"/>
  <c r="V48" i="69"/>
  <c r="V60" i="69"/>
  <c r="V69" i="69"/>
  <c r="V67" i="69"/>
  <c r="V70" i="69"/>
  <c r="X79" i="51"/>
  <c r="Z79" i="51" s="1"/>
  <c r="Z54" i="48"/>
  <c r="V73" i="51"/>
  <c r="V61" i="51"/>
  <c r="V45" i="51"/>
  <c r="V41" i="51"/>
  <c r="V37" i="51"/>
  <c r="V33" i="51"/>
  <c r="V72" i="51"/>
  <c r="V60" i="51"/>
  <c r="V56" i="51"/>
  <c r="T43" i="51"/>
  <c r="Z12" i="51"/>
  <c r="V63" i="51"/>
  <c r="V55" i="51"/>
  <c r="V51" i="51"/>
  <c r="V47" i="51"/>
  <c r="V74" i="51"/>
  <c r="V62" i="51"/>
  <c r="V38" i="51"/>
  <c r="V34" i="51"/>
  <c r="V65" i="51"/>
  <c r="V57" i="51"/>
  <c r="V82" i="51"/>
  <c r="V76" i="51"/>
  <c r="V64" i="51"/>
  <c r="V52" i="51"/>
  <c r="V48" i="51"/>
  <c r="V81" i="51"/>
  <c r="V75" i="51"/>
  <c r="V67" i="51"/>
  <c r="V39" i="51"/>
  <c r="V35" i="51"/>
  <c r="V79" i="51"/>
  <c r="V77" i="51"/>
  <c r="V69" i="51"/>
  <c r="V53" i="51"/>
  <c r="V49" i="51"/>
  <c r="V70" i="51"/>
  <c r="V40" i="51"/>
  <c r="V86" i="51"/>
  <c r="V80" i="51"/>
  <c r="V68" i="51"/>
  <c r="V59" i="51"/>
  <c r="V46" i="51"/>
  <c r="V71" i="51"/>
  <c r="V50" i="51"/>
  <c r="V54" i="51"/>
  <c r="V36" i="51"/>
  <c r="V58" i="51"/>
  <c r="V66" i="51"/>
  <c r="V32" i="51"/>
  <c r="Z104" i="42"/>
  <c r="Z75" i="33"/>
  <c r="J64" i="24"/>
  <c r="D96" i="21"/>
  <c r="L26" i="21"/>
  <c r="X16" i="9"/>
  <c r="P89" i="9"/>
  <c r="D249" i="18"/>
  <c r="H27" i="111"/>
  <c r="N18" i="111"/>
  <c r="L18" i="111"/>
  <c r="D27" i="111"/>
  <c r="X18" i="49"/>
  <c r="P27" i="49"/>
  <c r="D27" i="46"/>
  <c r="L18" i="46"/>
  <c r="N18" i="47"/>
  <c r="H27" i="47"/>
  <c r="Z18" i="46"/>
  <c r="T27" i="46"/>
  <c r="X18" i="43"/>
  <c r="P27" i="43"/>
  <c r="D27" i="31"/>
  <c r="L18" i="31"/>
  <c r="P27" i="32"/>
  <c r="X18" i="32"/>
  <c r="X18" i="13"/>
  <c r="P27" i="13"/>
  <c r="Z18" i="19"/>
  <c r="T27" i="19"/>
  <c r="X18" i="19"/>
  <c r="P27" i="19"/>
  <c r="L18" i="11"/>
  <c r="D27" i="11"/>
  <c r="L18" i="4"/>
  <c r="D27" i="4"/>
  <c r="H27" i="8"/>
  <c r="N18" i="8"/>
  <c r="R52" i="102"/>
  <c r="R51" i="102"/>
  <c r="R40" i="102"/>
  <c r="R39" i="102"/>
  <c r="R59" i="102"/>
  <c r="R58" i="102"/>
  <c r="R34" i="102"/>
  <c r="R53" i="102"/>
  <c r="R42" i="102"/>
  <c r="R41" i="102"/>
  <c r="R29" i="102"/>
  <c r="R25" i="102"/>
  <c r="R61" i="102"/>
  <c r="R60" i="102"/>
  <c r="R44" i="102"/>
  <c r="R43" i="102"/>
  <c r="R35" i="102"/>
  <c r="R63" i="102"/>
  <c r="R62" i="102"/>
  <c r="R55" i="102"/>
  <c r="R54" i="102"/>
  <c r="R30" i="102"/>
  <c r="R26" i="102"/>
  <c r="R66" i="102"/>
  <c r="R48" i="102"/>
  <c r="R47" i="102"/>
  <c r="R32" i="102"/>
  <c r="R31" i="102"/>
  <c r="R27" i="102"/>
  <c r="R23" i="102"/>
  <c r="R22" i="102"/>
  <c r="R46" i="102"/>
  <c r="R38" i="102"/>
  <c r="R16" i="102"/>
  <c r="R67" i="102"/>
  <c r="R57" i="102"/>
  <c r="R36" i="102"/>
  <c r="R17" i="102"/>
  <c r="X12" i="102"/>
  <c r="Z12" i="102" s="1"/>
  <c r="R49" i="102"/>
  <c r="R18" i="102"/>
  <c r="R71" i="102"/>
  <c r="R45" i="102"/>
  <c r="R24" i="102"/>
  <c r="R56" i="102"/>
  <c r="R33" i="102"/>
  <c r="R50" i="102"/>
  <c r="R20" i="102"/>
  <c r="R37" i="102"/>
  <c r="P20" i="102"/>
  <c r="R28" i="102"/>
  <c r="R64" i="102"/>
  <c r="N16" i="58"/>
  <c r="H64" i="58"/>
  <c r="P57" i="48"/>
  <c r="X17" i="48"/>
  <c r="Z17" i="48" s="1"/>
  <c r="X16" i="59"/>
  <c r="P59" i="59"/>
  <c r="F80" i="42"/>
  <c r="F56" i="42"/>
  <c r="F24" i="42"/>
  <c r="F23" i="42"/>
  <c r="F99" i="42"/>
  <c r="F91" i="42"/>
  <c r="F87" i="42"/>
  <c r="F75" i="42"/>
  <c r="F67" i="42"/>
  <c r="F66" i="42"/>
  <c r="F47" i="42"/>
  <c r="F43" i="42"/>
  <c r="F38" i="42"/>
  <c r="F34" i="42"/>
  <c r="F81" i="42"/>
  <c r="F77" i="42"/>
  <c r="F76" i="42"/>
  <c r="F69" i="42"/>
  <c r="F68" i="42"/>
  <c r="F57" i="42"/>
  <c r="F49" i="42"/>
  <c r="F48" i="42"/>
  <c r="F25" i="42"/>
  <c r="F100" i="42"/>
  <c r="F92" i="42"/>
  <c r="F88" i="42"/>
  <c r="F44" i="42"/>
  <c r="L12" i="42"/>
  <c r="F83" i="42"/>
  <c r="F82" i="42"/>
  <c r="F71" i="42"/>
  <c r="F70" i="42"/>
  <c r="F59" i="42"/>
  <c r="F58" i="42"/>
  <c r="F51" i="42"/>
  <c r="F50" i="42"/>
  <c r="F39" i="42"/>
  <c r="F35" i="42"/>
  <c r="F31" i="42"/>
  <c r="F30" i="42"/>
  <c r="F107" i="42"/>
  <c r="F102" i="42"/>
  <c r="F101" i="42"/>
  <c r="F94" i="42"/>
  <c r="F93" i="42"/>
  <c r="F78" i="42"/>
  <c r="F29" i="42"/>
  <c r="F105" i="42"/>
  <c r="F96" i="42"/>
  <c r="F95" i="42"/>
  <c r="F72" i="42"/>
  <c r="F36" i="42"/>
  <c r="F32" i="42"/>
  <c r="F98" i="42"/>
  <c r="F97" i="42"/>
  <c r="F90" i="42"/>
  <c r="F86" i="42"/>
  <c r="F74" i="42"/>
  <c r="F73" i="42"/>
  <c r="F46" i="42"/>
  <c r="F42" i="42"/>
  <c r="F53" i="42"/>
  <c r="F64" i="42"/>
  <c r="F45" i="42"/>
  <c r="F104" i="42"/>
  <c r="F85" i="42"/>
  <c r="F62" i="42"/>
  <c r="F106" i="42"/>
  <c r="F60" i="42"/>
  <c r="F65" i="42"/>
  <c r="F40" i="42"/>
  <c r="F79" i="42"/>
  <c r="F33" i="42"/>
  <c r="F89" i="42"/>
  <c r="F54" i="42"/>
  <c r="F63" i="42"/>
  <c r="F61" i="42"/>
  <c r="F52" i="42"/>
  <c r="F41" i="42"/>
  <c r="F37" i="42"/>
  <c r="F111" i="42"/>
  <c r="D27" i="42"/>
  <c r="F55" i="42"/>
  <c r="F84" i="42"/>
  <c r="L18" i="52"/>
  <c r="D27" i="52"/>
  <c r="T27" i="49"/>
  <c r="Z18" i="49"/>
  <c r="H35" i="109"/>
  <c r="N16" i="109"/>
  <c r="Z54" i="110"/>
  <c r="V66" i="106"/>
  <c r="V54" i="106"/>
  <c r="V65" i="106"/>
  <c r="V61" i="106"/>
  <c r="V68" i="106"/>
  <c r="V56" i="106"/>
  <c r="V67" i="106"/>
  <c r="V55" i="106"/>
  <c r="V47" i="106"/>
  <c r="V70" i="106"/>
  <c r="V62" i="106"/>
  <c r="V69" i="106"/>
  <c r="V57" i="106"/>
  <c r="V49" i="106"/>
  <c r="V48" i="106"/>
  <c r="V73" i="106"/>
  <c r="V71" i="106"/>
  <c r="V63" i="106"/>
  <c r="V51" i="106"/>
  <c r="V59" i="106"/>
  <c r="V31" i="106"/>
  <c r="V27" i="106"/>
  <c r="V42" i="106"/>
  <c r="V18" i="106"/>
  <c r="V43" i="106"/>
  <c r="V37" i="106"/>
  <c r="V46" i="106"/>
  <c r="V32" i="106"/>
  <c r="V28" i="106"/>
  <c r="V24" i="106"/>
  <c r="V60" i="106"/>
  <c r="V23" i="106"/>
  <c r="V19" i="106"/>
  <c r="V58" i="106"/>
  <c r="V38" i="106"/>
  <c r="V34" i="106"/>
  <c r="T21" i="106"/>
  <c r="V52" i="106"/>
  <c r="V50" i="106"/>
  <c r="V39" i="106"/>
  <c r="V35" i="106"/>
  <c r="V30" i="106"/>
  <c r="V26" i="106"/>
  <c r="V53" i="106"/>
  <c r="V36" i="106"/>
  <c r="V44" i="106"/>
  <c r="V40" i="106"/>
  <c r="V17" i="106"/>
  <c r="V25" i="106"/>
  <c r="Z12" i="106"/>
  <c r="V29" i="106"/>
  <c r="V45" i="106"/>
  <c r="V41" i="106"/>
  <c r="V64" i="106"/>
  <c r="V33" i="106"/>
  <c r="V77" i="106"/>
  <c r="N58" i="94"/>
  <c r="L58" i="94"/>
  <c r="H61" i="94"/>
  <c r="R20" i="98"/>
  <c r="P57" i="89"/>
  <c r="P68" i="95"/>
  <c r="X20" i="95"/>
  <c r="H73" i="84"/>
  <c r="R95" i="85"/>
  <c r="R94" i="85"/>
  <c r="R54" i="85"/>
  <c r="R50" i="85"/>
  <c r="R89" i="85"/>
  <c r="R82" i="85"/>
  <c r="R81" i="85"/>
  <c r="R70" i="85"/>
  <c r="R69" i="85"/>
  <c r="R41" i="85"/>
  <c r="R37" i="85"/>
  <c r="R33" i="85"/>
  <c r="R97" i="85"/>
  <c r="R96" i="85"/>
  <c r="R60" i="85"/>
  <c r="R83" i="85"/>
  <c r="R72" i="85"/>
  <c r="R71" i="85"/>
  <c r="R55" i="85"/>
  <c r="R51" i="85"/>
  <c r="R98" i="85"/>
  <c r="R100" i="85"/>
  <c r="R84" i="85"/>
  <c r="R91" i="85"/>
  <c r="R76" i="85"/>
  <c r="R75" i="85"/>
  <c r="R64" i="85"/>
  <c r="R63" i="85"/>
  <c r="R48" i="85"/>
  <c r="R43" i="85"/>
  <c r="R104" i="85"/>
  <c r="R93" i="85"/>
  <c r="R62" i="85"/>
  <c r="R40" i="85"/>
  <c r="R34" i="85"/>
  <c r="R31" i="85"/>
  <c r="R73" i="85"/>
  <c r="R65" i="85"/>
  <c r="R87" i="85"/>
  <c r="R68" i="85"/>
  <c r="R59" i="85"/>
  <c r="R56" i="85"/>
  <c r="R49" i="85"/>
  <c r="R85" i="85"/>
  <c r="R74" i="85"/>
  <c r="R66" i="85"/>
  <c r="R57" i="85"/>
  <c r="R38" i="85"/>
  <c r="R35" i="85"/>
  <c r="R32" i="85"/>
  <c r="R79" i="85"/>
  <c r="R52" i="85"/>
  <c r="R77" i="85"/>
  <c r="R92" i="85"/>
  <c r="R58" i="85"/>
  <c r="R47" i="85"/>
  <c r="R42" i="85"/>
  <c r="R39" i="85"/>
  <c r="R36" i="85"/>
  <c r="R80" i="85"/>
  <c r="R78" i="85"/>
  <c r="R67" i="85"/>
  <c r="R30" i="85"/>
  <c r="R88" i="85"/>
  <c r="R90" i="85"/>
  <c r="P45" i="85"/>
  <c r="X12" i="85"/>
  <c r="Z12" i="85" s="1"/>
  <c r="R61" i="85"/>
  <c r="R53" i="85"/>
  <c r="R86" i="85"/>
  <c r="V99" i="71"/>
  <c r="V93" i="71"/>
  <c r="V77" i="71"/>
  <c r="V69" i="71"/>
  <c r="V98" i="71"/>
  <c r="V88" i="71"/>
  <c r="V80" i="71"/>
  <c r="V68" i="71"/>
  <c r="V64" i="71"/>
  <c r="Z12" i="71"/>
  <c r="V97" i="71"/>
  <c r="V95" i="71"/>
  <c r="V79" i="71"/>
  <c r="V71" i="71"/>
  <c r="V59" i="71"/>
  <c r="V55" i="71"/>
  <c r="V103" i="71"/>
  <c r="V89" i="71"/>
  <c r="V81" i="71"/>
  <c r="V65" i="71"/>
  <c r="V72" i="71"/>
  <c r="V91" i="71"/>
  <c r="V83" i="71"/>
  <c r="V85" i="71"/>
  <c r="V73" i="71"/>
  <c r="V61" i="71"/>
  <c r="V57" i="71"/>
  <c r="V53" i="71"/>
  <c r="V82" i="71"/>
  <c r="V74" i="71"/>
  <c r="V67" i="71"/>
  <c r="V54" i="71"/>
  <c r="V84" i="71"/>
  <c r="V52" i="71"/>
  <c r="V41" i="71"/>
  <c r="V87" i="71"/>
  <c r="V44" i="71"/>
  <c r="V36" i="71"/>
  <c r="V47" i="71"/>
  <c r="V39" i="71"/>
  <c r="V42" i="71"/>
  <c r="V66" i="71"/>
  <c r="V62" i="71"/>
  <c r="V60" i="71"/>
  <c r="V48" i="71"/>
  <c r="V40" i="71"/>
  <c r="V43" i="71"/>
  <c r="V76" i="71"/>
  <c r="V45" i="71"/>
  <c r="V78" i="71"/>
  <c r="V63" i="71"/>
  <c r="V56" i="71"/>
  <c r="V38" i="71"/>
  <c r="V70" i="71"/>
  <c r="V86" i="71"/>
  <c r="V35" i="71"/>
  <c r="V37" i="71"/>
  <c r="V92" i="71"/>
  <c r="V90" i="71"/>
  <c r="V94" i="71"/>
  <c r="V75" i="71"/>
  <c r="V46" i="71"/>
  <c r="T50" i="71"/>
  <c r="V50" i="71" s="1"/>
  <c r="V58" i="71"/>
  <c r="H64" i="76"/>
  <c r="Z16" i="57"/>
  <c r="T56" i="57"/>
  <c r="X56" i="57" s="1"/>
  <c r="L17" i="48"/>
  <c r="N17" i="48" s="1"/>
  <c r="D57" i="48"/>
  <c r="F54" i="48"/>
  <c r="R17" i="48"/>
  <c r="T57" i="48"/>
  <c r="R33" i="39"/>
  <c r="J66" i="33"/>
  <c r="J56" i="33"/>
  <c r="J48" i="33"/>
  <c r="J71" i="33"/>
  <c r="J67" i="33"/>
  <c r="J57" i="33"/>
  <c r="J43" i="33"/>
  <c r="J39" i="33"/>
  <c r="J78" i="33"/>
  <c r="J72" i="33"/>
  <c r="J58" i="33"/>
  <c r="J30" i="33"/>
  <c r="J77" i="33"/>
  <c r="J73" i="33"/>
  <c r="J49" i="33"/>
  <c r="J82" i="33"/>
  <c r="J76" i="33"/>
  <c r="J68" i="33"/>
  <c r="J44" i="33"/>
  <c r="J40" i="33"/>
  <c r="J75" i="33"/>
  <c r="J59" i="33"/>
  <c r="J31" i="33"/>
  <c r="J60" i="33"/>
  <c r="J50" i="33"/>
  <c r="J69" i="33"/>
  <c r="J61" i="33"/>
  <c r="J51" i="33"/>
  <c r="J45" i="33"/>
  <c r="J41" i="33"/>
  <c r="J70" i="33"/>
  <c r="J64" i="33"/>
  <c r="J54" i="33"/>
  <c r="J42" i="33"/>
  <c r="J38" i="33"/>
  <c r="J36" i="33"/>
  <c r="J62" i="33"/>
  <c r="J32" i="33"/>
  <c r="J52" i="33"/>
  <c r="J55" i="33"/>
  <c r="J47" i="33"/>
  <c r="J27" i="33"/>
  <c r="J53" i="33"/>
  <c r="J29" i="33"/>
  <c r="J63" i="33"/>
  <c r="J37" i="33"/>
  <c r="J28" i="33"/>
  <c r="J65" i="33"/>
  <c r="J46" i="33"/>
  <c r="H34" i="33"/>
  <c r="J34" i="33" s="1"/>
  <c r="P102" i="27"/>
  <c r="X51" i="27"/>
  <c r="L153" i="18"/>
  <c r="L16" i="9"/>
  <c r="D89" i="9"/>
  <c r="L228" i="12"/>
  <c r="N228" i="12" s="1"/>
  <c r="R232" i="12"/>
  <c r="R217" i="12"/>
  <c r="R206" i="12"/>
  <c r="R205" i="12"/>
  <c r="R201" i="12"/>
  <c r="R186" i="12"/>
  <c r="R231" i="12"/>
  <c r="R225" i="12"/>
  <c r="R224" i="12"/>
  <c r="R212" i="12"/>
  <c r="R237" i="12"/>
  <c r="R230" i="12"/>
  <c r="R207" i="12"/>
  <c r="R196" i="12"/>
  <c r="R195" i="12"/>
  <c r="R188" i="12"/>
  <c r="R187" i="12"/>
  <c r="R229" i="12"/>
  <c r="R226" i="12"/>
  <c r="R219" i="12"/>
  <c r="R218" i="12"/>
  <c r="R202" i="12"/>
  <c r="R228" i="12"/>
  <c r="R213" i="12"/>
  <c r="R197" i="12"/>
  <c r="R190" i="12"/>
  <c r="R189" i="12"/>
  <c r="R221" i="12"/>
  <c r="R220" i="12"/>
  <c r="R209" i="12"/>
  <c r="R208" i="12"/>
  <c r="R203" i="12"/>
  <c r="R192" i="12"/>
  <c r="R191" i="12"/>
  <c r="R222" i="12"/>
  <c r="R214" i="12"/>
  <c r="R210" i="12"/>
  <c r="R198" i="12"/>
  <c r="R204" i="12"/>
  <c r="R215" i="12"/>
  <c r="R194" i="12"/>
  <c r="R178" i="12"/>
  <c r="R159" i="12"/>
  <c r="R158" i="12"/>
  <c r="R154" i="12"/>
  <c r="R169" i="12"/>
  <c r="R149" i="12"/>
  <c r="R145" i="12"/>
  <c r="R223" i="12"/>
  <c r="R185" i="12"/>
  <c r="R161" i="12"/>
  <c r="R160" i="12"/>
  <c r="R141" i="12"/>
  <c r="R136" i="12"/>
  <c r="R132" i="12"/>
  <c r="R128" i="12"/>
  <c r="R124" i="12"/>
  <c r="R120" i="12"/>
  <c r="R116" i="12"/>
  <c r="R112" i="12"/>
  <c r="R108" i="12"/>
  <c r="R104" i="12"/>
  <c r="R100" i="12"/>
  <c r="R96" i="12"/>
  <c r="R199" i="12"/>
  <c r="R180" i="12"/>
  <c r="R179" i="12"/>
  <c r="R155" i="12"/>
  <c r="R140" i="12"/>
  <c r="R171" i="12"/>
  <c r="R170" i="12"/>
  <c r="R163" i="12"/>
  <c r="R162" i="12"/>
  <c r="R151" i="12"/>
  <c r="R150" i="12"/>
  <c r="R146" i="12"/>
  <c r="R142" i="12"/>
  <c r="P138" i="12"/>
  <c r="R138" i="12" s="1"/>
  <c r="R182" i="12"/>
  <c r="R181" i="12"/>
  <c r="R133" i="12"/>
  <c r="R129" i="12"/>
  <c r="R125" i="12"/>
  <c r="R121" i="12"/>
  <c r="R117" i="12"/>
  <c r="R113" i="12"/>
  <c r="R109" i="12"/>
  <c r="R105" i="12"/>
  <c r="R101" i="12"/>
  <c r="R97" i="12"/>
  <c r="R233" i="12"/>
  <c r="R216" i="12"/>
  <c r="R193" i="12"/>
  <c r="R173" i="12"/>
  <c r="R172" i="12"/>
  <c r="R165" i="12"/>
  <c r="R164" i="12"/>
  <c r="R156" i="12"/>
  <c r="R152" i="12"/>
  <c r="X12" i="12"/>
  <c r="Z12" i="12" s="1"/>
  <c r="R147" i="12"/>
  <c r="R143" i="12"/>
  <c r="R183" i="12"/>
  <c r="R175" i="12"/>
  <c r="R174" i="12"/>
  <c r="R166" i="12"/>
  <c r="R134" i="12"/>
  <c r="R130" i="12"/>
  <c r="R126" i="12"/>
  <c r="R122" i="12"/>
  <c r="R118" i="12"/>
  <c r="R114" i="12"/>
  <c r="R110" i="12"/>
  <c r="R106" i="12"/>
  <c r="R102" i="12"/>
  <c r="R98" i="12"/>
  <c r="R211" i="12"/>
  <c r="R200" i="12"/>
  <c r="R157" i="12"/>
  <c r="R153" i="12"/>
  <c r="R94" i="12"/>
  <c r="R184" i="12"/>
  <c r="R177" i="12"/>
  <c r="R176" i="12"/>
  <c r="R148" i="12"/>
  <c r="R144" i="12"/>
  <c r="R103" i="12"/>
  <c r="R119" i="12"/>
  <c r="R111" i="12"/>
  <c r="R131" i="12"/>
  <c r="R167" i="12"/>
  <c r="R168" i="12"/>
  <c r="R123" i="12"/>
  <c r="R115" i="12"/>
  <c r="R99" i="12"/>
  <c r="R107" i="12"/>
  <c r="R135" i="12"/>
  <c r="R127" i="12"/>
  <c r="R95" i="12"/>
  <c r="L18" i="112"/>
  <c r="D27" i="112"/>
  <c r="H27" i="113"/>
  <c r="N18" i="113"/>
  <c r="X18" i="111"/>
  <c r="P27" i="111"/>
  <c r="T27" i="50"/>
  <c r="Z18" i="50"/>
  <c r="X18" i="40"/>
  <c r="P27" i="40"/>
  <c r="L18" i="41"/>
  <c r="D27" i="41"/>
  <c r="L18" i="32"/>
  <c r="D27" i="32"/>
  <c r="H27" i="31"/>
  <c r="N18" i="31"/>
  <c r="T27" i="31"/>
  <c r="Z18" i="31"/>
  <c r="X18" i="29"/>
  <c r="P27" i="29"/>
  <c r="D27" i="25"/>
  <c r="L18" i="25"/>
  <c r="X18" i="17"/>
  <c r="P27" i="17"/>
  <c r="L18" i="17"/>
  <c r="D27" i="17"/>
  <c r="L18" i="16"/>
  <c r="D27" i="16"/>
  <c r="H27" i="19"/>
  <c r="N18" i="19"/>
  <c r="T27" i="8"/>
  <c r="Z18" i="8"/>
  <c r="T27" i="7"/>
  <c r="Z18" i="7"/>
  <c r="X18" i="7"/>
  <c r="P27" i="7"/>
  <c r="T27" i="11"/>
  <c r="Z18" i="11"/>
  <c r="D27" i="7"/>
  <c r="L18" i="7"/>
  <c r="L20" i="84"/>
  <c r="N20" i="84" s="1"/>
  <c r="D73" i="84"/>
  <c r="J60" i="73"/>
  <c r="J52" i="73"/>
  <c r="J40" i="73"/>
  <c r="J34" i="73"/>
  <c r="J30" i="73"/>
  <c r="J61" i="73"/>
  <c r="J53" i="73"/>
  <c r="J41" i="73"/>
  <c r="J35" i="73"/>
  <c r="J21" i="73"/>
  <c r="J62" i="73"/>
  <c r="J54" i="73"/>
  <c r="J42" i="73"/>
  <c r="J36" i="73"/>
  <c r="J26" i="73"/>
  <c r="N12" i="73"/>
  <c r="J56" i="73"/>
  <c r="J44" i="73"/>
  <c r="H23" i="73"/>
  <c r="J65" i="73"/>
  <c r="J57" i="73"/>
  <c r="J45" i="73"/>
  <c r="J37" i="73"/>
  <c r="J46" i="73"/>
  <c r="J32" i="73"/>
  <c r="J28" i="73"/>
  <c r="J69" i="73"/>
  <c r="J58" i="73"/>
  <c r="J48" i="73"/>
  <c r="J38" i="73"/>
  <c r="J50" i="73"/>
  <c r="J43" i="73"/>
  <c r="J20" i="73"/>
  <c r="J63" i="73"/>
  <c r="J23" i="73"/>
  <c r="J55" i="73"/>
  <c r="J59" i="73"/>
  <c r="J39" i="73"/>
  <c r="J33" i="73"/>
  <c r="J29" i="73"/>
  <c r="J31" i="73"/>
  <c r="J27" i="73"/>
  <c r="J51" i="73"/>
  <c r="J49" i="73"/>
  <c r="J19" i="73"/>
  <c r="J25" i="73"/>
  <c r="L12" i="73"/>
  <c r="J47" i="73"/>
  <c r="T53" i="60"/>
  <c r="T30" i="55"/>
  <c r="Z16" i="55"/>
  <c r="X16" i="55"/>
  <c r="H34" i="55"/>
  <c r="L107" i="36"/>
  <c r="N107" i="36" s="1"/>
  <c r="F65" i="33"/>
  <c r="F64" i="33"/>
  <c r="F36" i="33"/>
  <c r="F29" i="33"/>
  <c r="F56" i="33"/>
  <c r="F55" i="33"/>
  <c r="F48" i="33"/>
  <c r="D34" i="33"/>
  <c r="F34" i="33" s="1"/>
  <c r="F71" i="33"/>
  <c r="F67" i="33"/>
  <c r="F66" i="33"/>
  <c r="F43" i="33"/>
  <c r="F39" i="33"/>
  <c r="F58" i="33"/>
  <c r="F57" i="33"/>
  <c r="F30" i="33"/>
  <c r="F78" i="33"/>
  <c r="F73" i="33"/>
  <c r="F72" i="33"/>
  <c r="F49" i="33"/>
  <c r="F82" i="33"/>
  <c r="F77" i="33"/>
  <c r="F68" i="33"/>
  <c r="F44" i="33"/>
  <c r="F40" i="33"/>
  <c r="F76" i="33"/>
  <c r="F59" i="33"/>
  <c r="F31" i="33"/>
  <c r="F75" i="33"/>
  <c r="F50" i="33"/>
  <c r="F63" i="33"/>
  <c r="F62" i="33"/>
  <c r="F47" i="33"/>
  <c r="F46" i="33"/>
  <c r="F54" i="33"/>
  <c r="F60" i="33"/>
  <c r="F32" i="33"/>
  <c r="F52" i="33"/>
  <c r="F38" i="33"/>
  <c r="L12" i="33"/>
  <c r="N12" i="33" s="1"/>
  <c r="F70" i="33"/>
  <c r="F45" i="33"/>
  <c r="F27" i="33"/>
  <c r="F61" i="33"/>
  <c r="F53" i="33"/>
  <c r="F42" i="33"/>
  <c r="F37" i="33"/>
  <c r="F28" i="33"/>
  <c r="F69" i="33"/>
  <c r="F41" i="33"/>
  <c r="F51" i="33"/>
  <c r="J120" i="30"/>
  <c r="J104" i="30"/>
  <c r="J111" i="30"/>
  <c r="J99" i="30"/>
  <c r="J89" i="30"/>
  <c r="J77" i="30"/>
  <c r="J65" i="30"/>
  <c r="J61" i="30"/>
  <c r="J59" i="30"/>
  <c r="J113" i="30"/>
  <c r="J107" i="30"/>
  <c r="J91" i="30"/>
  <c r="J118" i="30"/>
  <c r="J102" i="30"/>
  <c r="J96" i="30"/>
  <c r="J84" i="30"/>
  <c r="J54" i="30"/>
  <c r="J50" i="30"/>
  <c r="J46" i="30"/>
  <c r="J42" i="30"/>
  <c r="J114" i="30"/>
  <c r="J108" i="30"/>
  <c r="J83" i="30"/>
  <c r="J78" i="30"/>
  <c r="J72" i="30"/>
  <c r="J40" i="30"/>
  <c r="J93" i="30"/>
  <c r="J90" i="30"/>
  <c r="J69" i="30"/>
  <c r="J66" i="30"/>
  <c r="J63" i="30"/>
  <c r="H57" i="30"/>
  <c r="J57" i="30" s="1"/>
  <c r="J53" i="30"/>
  <c r="J36" i="30"/>
  <c r="J125" i="30"/>
  <c r="J115" i="30"/>
  <c r="J106" i="30"/>
  <c r="J103" i="30"/>
  <c r="J100" i="30"/>
  <c r="J79" i="30"/>
  <c r="J73" i="30"/>
  <c r="J60" i="30"/>
  <c r="J47" i="30"/>
  <c r="J44" i="30"/>
  <c r="J41" i="30"/>
  <c r="J37" i="30"/>
  <c r="J97" i="30"/>
  <c r="J74" i="30"/>
  <c r="J70" i="30"/>
  <c r="N12" i="30"/>
  <c r="J112" i="30"/>
  <c r="J109" i="30"/>
  <c r="J94" i="30"/>
  <c r="J85" i="30"/>
  <c r="J80" i="30"/>
  <c r="J121" i="30"/>
  <c r="J86" i="30"/>
  <c r="J75" i="30"/>
  <c r="J64" i="30"/>
  <c r="J51" i="30"/>
  <c r="J38" i="30"/>
  <c r="J116" i="30"/>
  <c r="J81" i="30"/>
  <c r="J67" i="30"/>
  <c r="J48" i="30"/>
  <c r="J45" i="30"/>
  <c r="J110" i="30"/>
  <c r="J88" i="30"/>
  <c r="J82" i="30"/>
  <c r="J55" i="30"/>
  <c r="J52" i="30"/>
  <c r="J49" i="30"/>
  <c r="J76" i="30"/>
  <c r="J68" i="30"/>
  <c r="J101" i="30"/>
  <c r="J95" i="30"/>
  <c r="J62" i="30"/>
  <c r="J105" i="30"/>
  <c r="J71" i="30"/>
  <c r="J87" i="30"/>
  <c r="J39" i="30"/>
  <c r="J117" i="30"/>
  <c r="J98" i="30"/>
  <c r="J92" i="30"/>
  <c r="J43" i="30"/>
  <c r="F57" i="30"/>
  <c r="H227" i="15"/>
  <c r="J133" i="15"/>
  <c r="V26" i="21"/>
  <c r="D271" i="3"/>
  <c r="L165" i="3"/>
  <c r="N165" i="3" s="1"/>
  <c r="H235" i="12"/>
  <c r="N138" i="12"/>
  <c r="L18" i="113"/>
  <c r="D27" i="113"/>
  <c r="P27" i="53"/>
  <c r="X18" i="53"/>
  <c r="T27" i="52"/>
  <c r="Z18" i="52"/>
  <c r="H27" i="53"/>
  <c r="N18" i="53"/>
  <c r="H27" i="32"/>
  <c r="N18" i="32"/>
  <c r="T27" i="26"/>
  <c r="Z18" i="26"/>
  <c r="X18" i="14"/>
  <c r="P27" i="14"/>
  <c r="H27" i="13"/>
  <c r="N18" i="13"/>
  <c r="L18" i="13"/>
  <c r="D27" i="13"/>
  <c r="X18" i="4"/>
  <c r="P27" i="4"/>
  <c r="R54" i="110"/>
  <c r="H70" i="108"/>
  <c r="P73" i="104"/>
  <c r="X21" i="104"/>
  <c r="T42" i="100"/>
  <c r="Z16" i="100"/>
  <c r="H102" i="85"/>
  <c r="F50" i="80"/>
  <c r="F49" i="80"/>
  <c r="F26" i="80"/>
  <c r="F58" i="80"/>
  <c r="F41" i="80"/>
  <c r="F40" i="80"/>
  <c r="F17" i="80"/>
  <c r="F16" i="80"/>
  <c r="F62" i="80"/>
  <c r="F32" i="80"/>
  <c r="L12" i="80"/>
  <c r="N12" i="80" s="1"/>
  <c r="F51" i="80"/>
  <c r="F43" i="80"/>
  <c r="F42" i="80"/>
  <c r="F27" i="80"/>
  <c r="F18" i="80"/>
  <c r="F54" i="80"/>
  <c r="F53" i="80"/>
  <c r="F30" i="80"/>
  <c r="F29" i="80"/>
  <c r="D20" i="80"/>
  <c r="F46" i="80"/>
  <c r="F44" i="80"/>
  <c r="F35" i="80"/>
  <c r="F25" i="80"/>
  <c r="F47" i="80"/>
  <c r="F38" i="80"/>
  <c r="F23" i="80"/>
  <c r="F52" i="80"/>
  <c r="F33" i="80"/>
  <c r="F55" i="80"/>
  <c r="F24" i="80"/>
  <c r="F20" i="80"/>
  <c r="F48" i="80"/>
  <c r="F31" i="80"/>
  <c r="F37" i="80"/>
  <c r="F34" i="80"/>
  <c r="F36" i="80"/>
  <c r="F22" i="80"/>
  <c r="F45" i="80"/>
  <c r="F39" i="80"/>
  <c r="F56" i="80"/>
  <c r="F28" i="80"/>
  <c r="Z31" i="109"/>
  <c r="X31" i="109"/>
  <c r="N16" i="105"/>
  <c r="H31" i="105"/>
  <c r="D22" i="99"/>
  <c r="L16" i="99"/>
  <c r="H69" i="102"/>
  <c r="V80" i="96"/>
  <c r="V78" i="96"/>
  <c r="V70" i="96"/>
  <c r="V66" i="96"/>
  <c r="V50" i="96"/>
  <c r="V38" i="96"/>
  <c r="V22" i="96"/>
  <c r="V18" i="96"/>
  <c r="V65" i="96"/>
  <c r="V49" i="96"/>
  <c r="V41" i="96"/>
  <c r="V33" i="96"/>
  <c r="V60" i="96"/>
  <c r="V52" i="96"/>
  <c r="V40" i="96"/>
  <c r="V28" i="96"/>
  <c r="V24" i="96"/>
  <c r="V71" i="96"/>
  <c r="V67" i="96"/>
  <c r="V51" i="96"/>
  <c r="V84" i="96"/>
  <c r="V54" i="96"/>
  <c r="V42" i="96"/>
  <c r="V34" i="96"/>
  <c r="V75" i="96"/>
  <c r="V55" i="96"/>
  <c r="V35" i="96"/>
  <c r="V77" i="96"/>
  <c r="V69" i="96"/>
  <c r="V57" i="96"/>
  <c r="V45" i="96"/>
  <c r="T20" i="96"/>
  <c r="V76" i="96"/>
  <c r="V46" i="96"/>
  <c r="V30" i="96"/>
  <c r="V25" i="96"/>
  <c r="V16" i="96"/>
  <c r="V44" i="96"/>
  <c r="V39" i="96"/>
  <c r="V74" i="96"/>
  <c r="V68" i="96"/>
  <c r="V59" i="96"/>
  <c r="V36" i="96"/>
  <c r="V63" i="96"/>
  <c r="V61" i="96"/>
  <c r="V31" i="96"/>
  <c r="V17" i="96"/>
  <c r="V26" i="96"/>
  <c r="V58" i="96"/>
  <c r="V47" i="96"/>
  <c r="V43" i="96"/>
  <c r="V29" i="96"/>
  <c r="V72" i="96"/>
  <c r="V48" i="96"/>
  <c r="V37" i="96"/>
  <c r="V73" i="96"/>
  <c r="X12" i="96"/>
  <c r="Z12" i="96" s="1"/>
  <c r="V23" i="96"/>
  <c r="V32" i="96"/>
  <c r="V64" i="96"/>
  <c r="V62" i="96"/>
  <c r="V53" i="96"/>
  <c r="V27" i="96"/>
  <c r="V56" i="96"/>
  <c r="Z18" i="86"/>
  <c r="T26" i="86"/>
  <c r="P78" i="92"/>
  <c r="T69" i="70"/>
  <c r="N16" i="68"/>
  <c r="H51" i="68"/>
  <c r="X86" i="64"/>
  <c r="H65" i="56"/>
  <c r="N16" i="56"/>
  <c r="T72" i="56"/>
  <c r="D22" i="54"/>
  <c r="L16" i="54"/>
  <c r="L115" i="39"/>
  <c r="N104" i="42"/>
  <c r="T83" i="45"/>
  <c r="Z115" i="39"/>
  <c r="D120" i="39"/>
  <c r="X120" i="30"/>
  <c r="Z120" i="30" s="1"/>
  <c r="R76" i="33"/>
  <c r="R73" i="33"/>
  <c r="R49" i="33"/>
  <c r="R82" i="33"/>
  <c r="R75" i="33"/>
  <c r="R68" i="33"/>
  <c r="R44" i="33"/>
  <c r="R40" i="33"/>
  <c r="R60" i="33"/>
  <c r="R59" i="33"/>
  <c r="R31" i="33"/>
  <c r="R51" i="33"/>
  <c r="R50" i="33"/>
  <c r="R27" i="33"/>
  <c r="R69" i="33"/>
  <c r="R62" i="33"/>
  <c r="R61" i="33"/>
  <c r="R46" i="33"/>
  <c r="R45" i="33"/>
  <c r="R41" i="33"/>
  <c r="R53" i="33"/>
  <c r="R52" i="33"/>
  <c r="R37" i="33"/>
  <c r="R32" i="33"/>
  <c r="R28" i="33"/>
  <c r="R64" i="33"/>
  <c r="R63" i="33"/>
  <c r="R47" i="33"/>
  <c r="R36" i="33"/>
  <c r="R70" i="33"/>
  <c r="R55" i="33"/>
  <c r="R54" i="33"/>
  <c r="R42" i="33"/>
  <c r="R38" i="33"/>
  <c r="P34" i="33"/>
  <c r="R34" i="33" s="1"/>
  <c r="R78" i="33"/>
  <c r="R72" i="33"/>
  <c r="R71" i="33"/>
  <c r="R67" i="33"/>
  <c r="R43" i="33"/>
  <c r="R39" i="33"/>
  <c r="X12" i="33"/>
  <c r="R77" i="33"/>
  <c r="R57" i="33"/>
  <c r="R29" i="33"/>
  <c r="R65" i="33"/>
  <c r="R66" i="33"/>
  <c r="R58" i="33"/>
  <c r="R56" i="33"/>
  <c r="R30" i="33"/>
  <c r="R48" i="33"/>
  <c r="F76" i="27"/>
  <c r="F75" i="27"/>
  <c r="F68" i="27"/>
  <c r="L12" i="27"/>
  <c r="N12" i="27" s="1"/>
  <c r="F87" i="27"/>
  <c r="F86" i="27"/>
  <c r="F63" i="27"/>
  <c r="F59" i="27"/>
  <c r="F55" i="27"/>
  <c r="F54" i="27"/>
  <c r="F94" i="27"/>
  <c r="F78" i="27"/>
  <c r="F77" i="27"/>
  <c r="F53" i="27"/>
  <c r="F46" i="27"/>
  <c r="F42" i="27"/>
  <c r="F38" i="27"/>
  <c r="F89" i="27"/>
  <c r="F88" i="27"/>
  <c r="F69" i="27"/>
  <c r="F65" i="27"/>
  <c r="F64" i="27"/>
  <c r="D51" i="27"/>
  <c r="F51" i="27" s="1"/>
  <c r="F96" i="27"/>
  <c r="F95" i="27"/>
  <c r="F80" i="27"/>
  <c r="F79" i="27"/>
  <c r="F60" i="27"/>
  <c r="F56" i="27"/>
  <c r="F100" i="27"/>
  <c r="F71" i="27"/>
  <c r="F70" i="27"/>
  <c r="F47" i="27"/>
  <c r="F43" i="27"/>
  <c r="F39" i="27"/>
  <c r="F104" i="27"/>
  <c r="F99" i="27"/>
  <c r="F90" i="27"/>
  <c r="F82" i="27"/>
  <c r="F81" i="27"/>
  <c r="F66" i="27"/>
  <c r="F98" i="27"/>
  <c r="F73" i="27"/>
  <c r="F72" i="27"/>
  <c r="F61" i="27"/>
  <c r="F57" i="27"/>
  <c r="F74" i="27"/>
  <c r="F62" i="27"/>
  <c r="F58" i="27"/>
  <c r="F85" i="27"/>
  <c r="F91" i="27"/>
  <c r="F48" i="27"/>
  <c r="F41" i="27"/>
  <c r="F84" i="27"/>
  <c r="F36" i="27"/>
  <c r="F92" i="27"/>
  <c r="F45" i="27"/>
  <c r="F40" i="27"/>
  <c r="F67" i="27"/>
  <c r="F49" i="27"/>
  <c r="F44" i="27"/>
  <c r="F37" i="27"/>
  <c r="F93" i="27"/>
  <c r="F83" i="27"/>
  <c r="V213" i="15"/>
  <c r="V212" i="15"/>
  <c r="V200" i="15"/>
  <c r="V188" i="15"/>
  <c r="V180" i="15"/>
  <c r="V172" i="15"/>
  <c r="V152" i="15"/>
  <c r="V148" i="15"/>
  <c r="Z12" i="15"/>
  <c r="V195" i="15"/>
  <c r="V183" i="15"/>
  <c r="V171" i="15"/>
  <c r="V163" i="15"/>
  <c r="V143" i="15"/>
  <c r="V139" i="15"/>
  <c r="V214" i="15"/>
  <c r="V206" i="15"/>
  <c r="V202" i="15"/>
  <c r="V190" i="15"/>
  <c r="V182" i="15"/>
  <c r="V162" i="15"/>
  <c r="V154" i="15"/>
  <c r="V130" i="15"/>
  <c r="V126" i="15"/>
  <c r="V122" i="15"/>
  <c r="V118" i="15"/>
  <c r="V114" i="15"/>
  <c r="V110" i="15"/>
  <c r="V106" i="15"/>
  <c r="V102" i="15"/>
  <c r="V98" i="15"/>
  <c r="V94" i="15"/>
  <c r="V185" i="15"/>
  <c r="V173" i="15"/>
  <c r="V153" i="15"/>
  <c r="V149" i="15"/>
  <c r="V208" i="15"/>
  <c r="V196" i="15"/>
  <c r="V184" i="15"/>
  <c r="V164" i="15"/>
  <c r="V156" i="15"/>
  <c r="V144" i="15"/>
  <c r="V140" i="15"/>
  <c r="V136" i="15"/>
  <c r="V225" i="15"/>
  <c r="V215" i="15"/>
  <c r="V207" i="15"/>
  <c r="V203" i="15"/>
  <c r="V191" i="15"/>
  <c r="V175" i="15"/>
  <c r="V155" i="15"/>
  <c r="V135" i="15"/>
  <c r="V133" i="15"/>
  <c r="V131" i="15"/>
  <c r="V127" i="15"/>
  <c r="V123" i="15"/>
  <c r="V119" i="15"/>
  <c r="V115" i="15"/>
  <c r="V111" i="15"/>
  <c r="V107" i="15"/>
  <c r="V103" i="15"/>
  <c r="V99" i="15"/>
  <c r="V95" i="15"/>
  <c r="V91" i="15"/>
  <c r="V224" i="15"/>
  <c r="V198" i="15"/>
  <c r="V186" i="15"/>
  <c r="V174" i="15"/>
  <c r="V166" i="15"/>
  <c r="V158" i="15"/>
  <c r="V150" i="15"/>
  <c r="V146" i="15"/>
  <c r="T133" i="15"/>
  <c r="X133" i="15" s="1"/>
  <c r="V223" i="15"/>
  <c r="V217" i="15"/>
  <c r="V209" i="15"/>
  <c r="V197" i="15"/>
  <c r="V193" i="15"/>
  <c r="V177" i="15"/>
  <c r="V165" i="15"/>
  <c r="V157" i="15"/>
  <c r="V145" i="15"/>
  <c r="V141" i="15"/>
  <c r="V137" i="15"/>
  <c r="V222" i="15"/>
  <c r="V216" i="15"/>
  <c r="V204" i="15"/>
  <c r="V192" i="15"/>
  <c r="V176" i="15"/>
  <c r="V168" i="15"/>
  <c r="V229" i="15"/>
  <c r="V221" i="15"/>
  <c r="V211" i="15"/>
  <c r="V199" i="15"/>
  <c r="V187" i="15"/>
  <c r="V179" i="15"/>
  <c r="V167" i="15"/>
  <c r="V159" i="15"/>
  <c r="V151" i="15"/>
  <c r="V147" i="15"/>
  <c r="V218" i="15"/>
  <c r="V194" i="15"/>
  <c r="V170" i="15"/>
  <c r="V189" i="15"/>
  <c r="V129" i="15"/>
  <c r="V124" i="15"/>
  <c r="V104" i="15"/>
  <c r="V96" i="15"/>
  <c r="V138" i="15"/>
  <c r="V121" i="15"/>
  <c r="V101" i="15"/>
  <c r="V93" i="15"/>
  <c r="V210" i="15"/>
  <c r="V205" i="15"/>
  <c r="V116" i="15"/>
  <c r="V108" i="15"/>
  <c r="V113" i="15"/>
  <c r="V178" i="15"/>
  <c r="V161" i="15"/>
  <c r="V128" i="15"/>
  <c r="V169" i="15"/>
  <c r="V142" i="15"/>
  <c r="V120" i="15"/>
  <c r="V105" i="15"/>
  <c r="V100" i="15"/>
  <c r="V92" i="15"/>
  <c r="V201" i="15"/>
  <c r="V160" i="15"/>
  <c r="V125" i="15"/>
  <c r="V97" i="15"/>
  <c r="V220" i="15"/>
  <c r="V112" i="15"/>
  <c r="V181" i="15"/>
  <c r="V117" i="15"/>
  <c r="V109" i="15"/>
  <c r="N16" i="9"/>
  <c r="H89" i="9"/>
  <c r="F209" i="15"/>
  <c r="F208" i="15"/>
  <c r="F197" i="15"/>
  <c r="F165" i="15"/>
  <c r="F157" i="15"/>
  <c r="F156" i="15"/>
  <c r="F145" i="15"/>
  <c r="F141" i="15"/>
  <c r="F137" i="15"/>
  <c r="F136" i="15"/>
  <c r="F225" i="15"/>
  <c r="F216" i="15"/>
  <c r="F204" i="15"/>
  <c r="F192" i="15"/>
  <c r="F176" i="15"/>
  <c r="F175" i="15"/>
  <c r="F135" i="15"/>
  <c r="F128" i="15"/>
  <c r="F124" i="15"/>
  <c r="F120" i="15"/>
  <c r="F116" i="15"/>
  <c r="F112" i="15"/>
  <c r="F108" i="15"/>
  <c r="F104" i="15"/>
  <c r="F100" i="15"/>
  <c r="F96" i="15"/>
  <c r="F92" i="15"/>
  <c r="F91" i="15"/>
  <c r="F229" i="15"/>
  <c r="F224" i="15"/>
  <c r="F199" i="15"/>
  <c r="F198" i="15"/>
  <c r="F187" i="15"/>
  <c r="F167" i="15"/>
  <c r="F166" i="15"/>
  <c r="F159" i="15"/>
  <c r="F158" i="15"/>
  <c r="F151" i="15"/>
  <c r="F147" i="15"/>
  <c r="F146" i="15"/>
  <c r="D133" i="15"/>
  <c r="F133" i="15" s="1"/>
  <c r="F223" i="15"/>
  <c r="F218" i="15"/>
  <c r="F217" i="15"/>
  <c r="F210" i="15"/>
  <c r="F194" i="15"/>
  <c r="F193" i="15"/>
  <c r="F178" i="15"/>
  <c r="F177" i="15"/>
  <c r="F142" i="15"/>
  <c r="F138" i="15"/>
  <c r="F222" i="15"/>
  <c r="F205" i="15"/>
  <c r="F169" i="15"/>
  <c r="F168" i="15"/>
  <c r="F161" i="15"/>
  <c r="F160" i="15"/>
  <c r="F129" i="15"/>
  <c r="F125" i="15"/>
  <c r="F121" i="15"/>
  <c r="F117" i="15"/>
  <c r="F113" i="15"/>
  <c r="F109" i="15"/>
  <c r="F105" i="15"/>
  <c r="F101" i="15"/>
  <c r="F97" i="15"/>
  <c r="F93" i="15"/>
  <c r="F221" i="15"/>
  <c r="F212" i="15"/>
  <c r="F211" i="15"/>
  <c r="F200" i="15"/>
  <c r="F188" i="15"/>
  <c r="F180" i="15"/>
  <c r="F179" i="15"/>
  <c r="F152" i="15"/>
  <c r="F148" i="15"/>
  <c r="L12" i="15"/>
  <c r="N12" i="15" s="1"/>
  <c r="F220" i="15"/>
  <c r="F195" i="15"/>
  <c r="F171" i="15"/>
  <c r="F170" i="15"/>
  <c r="F143" i="15"/>
  <c r="F139" i="15"/>
  <c r="F214" i="15"/>
  <c r="F213" i="15"/>
  <c r="F206" i="15"/>
  <c r="F202" i="15"/>
  <c r="F201" i="15"/>
  <c r="F190" i="15"/>
  <c r="F189" i="15"/>
  <c r="F182" i="15"/>
  <c r="F181" i="15"/>
  <c r="F162" i="15"/>
  <c r="F130" i="15"/>
  <c r="F126" i="15"/>
  <c r="F122" i="15"/>
  <c r="F118" i="15"/>
  <c r="F114" i="15"/>
  <c r="F110" i="15"/>
  <c r="F106" i="15"/>
  <c r="F102" i="15"/>
  <c r="F98" i="15"/>
  <c r="F94" i="15"/>
  <c r="F173" i="15"/>
  <c r="F172" i="15"/>
  <c r="F196" i="15"/>
  <c r="F184" i="15"/>
  <c r="F183" i="15"/>
  <c r="F164" i="15"/>
  <c r="F163" i="15"/>
  <c r="F144" i="15"/>
  <c r="F140" i="15"/>
  <c r="F203" i="15"/>
  <c r="F150" i="15"/>
  <c r="F127" i="15"/>
  <c r="F99" i="15"/>
  <c r="F215" i="15"/>
  <c r="F185" i="15"/>
  <c r="F154" i="15"/>
  <c r="F119" i="15"/>
  <c r="F111" i="15"/>
  <c r="F131" i="15"/>
  <c r="F191" i="15"/>
  <c r="F149" i="15"/>
  <c r="F123" i="15"/>
  <c r="F103" i="15"/>
  <c r="F95" i="15"/>
  <c r="F207" i="15"/>
  <c r="F174" i="15"/>
  <c r="F155" i="15"/>
  <c r="F115" i="15"/>
  <c r="F186" i="15"/>
  <c r="F153" i="15"/>
  <c r="F107" i="15"/>
  <c r="Z260" i="3"/>
  <c r="X260" i="3"/>
  <c r="J260" i="3"/>
  <c r="X18" i="38"/>
  <c r="P27" i="38"/>
  <c r="D27" i="40"/>
  <c r="L18" i="40"/>
  <c r="D27" i="35"/>
  <c r="L18" i="35"/>
  <c r="H27" i="34"/>
  <c r="N18" i="34"/>
  <c r="D27" i="34"/>
  <c r="L18" i="34"/>
  <c r="N18" i="29"/>
  <c r="H27" i="29"/>
  <c r="D27" i="26"/>
  <c r="L18" i="26"/>
  <c r="H27" i="23"/>
  <c r="N18" i="23"/>
  <c r="L18" i="8"/>
  <c r="D27" i="8"/>
  <c r="T27" i="5"/>
  <c r="Z18" i="5"/>
  <c r="H82" i="96"/>
  <c r="F66" i="93"/>
  <c r="F45" i="93"/>
  <c r="F44" i="93"/>
  <c r="F17" i="93"/>
  <c r="F16" i="93"/>
  <c r="F70" i="93"/>
  <c r="F60" i="93"/>
  <c r="F56" i="93"/>
  <c r="F55" i="93"/>
  <c r="F47" i="93"/>
  <c r="F46" i="93"/>
  <c r="F27" i="93"/>
  <c r="F23" i="93"/>
  <c r="F22" i="93"/>
  <c r="F21" i="93"/>
  <c r="F61" i="93"/>
  <c r="F57" i="93"/>
  <c r="F49" i="93"/>
  <c r="F48" i="93"/>
  <c r="F37" i="93"/>
  <c r="F33" i="93"/>
  <c r="F28" i="93"/>
  <c r="F24" i="93"/>
  <c r="F51" i="93"/>
  <c r="F50" i="93"/>
  <c r="F39" i="93"/>
  <c r="F38" i="93"/>
  <c r="F62" i="93"/>
  <c r="F58" i="93"/>
  <c r="F34" i="93"/>
  <c r="F53" i="93"/>
  <c r="F52" i="93"/>
  <c r="F41" i="93"/>
  <c r="F40" i="93"/>
  <c r="F54" i="93"/>
  <c r="F35" i="93"/>
  <c r="F31" i="93"/>
  <c r="F42" i="93"/>
  <c r="D19" i="93"/>
  <c r="F19" i="93" s="1"/>
  <c r="F64" i="93"/>
  <c r="F29" i="93"/>
  <c r="F25" i="93"/>
  <c r="F36" i="93"/>
  <c r="F32" i="93"/>
  <c r="F59" i="93"/>
  <c r="F43" i="93"/>
  <c r="F63" i="93"/>
  <c r="F30" i="93"/>
  <c r="F26" i="93"/>
  <c r="L12" i="93"/>
  <c r="N12" i="93" s="1"/>
  <c r="D27" i="83"/>
  <c r="L21" i="83"/>
  <c r="F21" i="83"/>
  <c r="R92" i="75"/>
  <c r="R61" i="75"/>
  <c r="R73" i="75"/>
  <c r="R72" i="75"/>
  <c r="R56" i="75"/>
  <c r="R52" i="75"/>
  <c r="R80" i="75"/>
  <c r="R79" i="75"/>
  <c r="R43" i="75"/>
  <c r="R39" i="75"/>
  <c r="R35" i="75"/>
  <c r="R65" i="75"/>
  <c r="R64" i="75"/>
  <c r="R49" i="75"/>
  <c r="R44" i="75"/>
  <c r="R40" i="75"/>
  <c r="R36" i="75"/>
  <c r="R32" i="75"/>
  <c r="R84" i="75"/>
  <c r="R83" i="75"/>
  <c r="R76" i="75"/>
  <c r="R75" i="75"/>
  <c r="R59" i="75"/>
  <c r="R48" i="75"/>
  <c r="R67" i="75"/>
  <c r="R66" i="75"/>
  <c r="R54" i="75"/>
  <c r="R50" i="75"/>
  <c r="P46" i="75"/>
  <c r="R46" i="75" s="1"/>
  <c r="R88" i="75"/>
  <c r="R62" i="75"/>
  <c r="R58" i="75"/>
  <c r="R60" i="75"/>
  <c r="R38" i="75"/>
  <c r="R82" i="75"/>
  <c r="R71" i="75"/>
  <c r="R68" i="75"/>
  <c r="R85" i="75"/>
  <c r="R77" i="75"/>
  <c r="R74" i="75"/>
  <c r="R63" i="75"/>
  <c r="R69" i="75"/>
  <c r="X12" i="75"/>
  <c r="Z12" i="75" s="1"/>
  <c r="R41" i="75"/>
  <c r="R87" i="75"/>
  <c r="R37" i="75"/>
  <c r="R78" i="75"/>
  <c r="R57" i="75"/>
  <c r="R55" i="75"/>
  <c r="R34" i="75"/>
  <c r="R53" i="75"/>
  <c r="R31" i="75"/>
  <c r="R33" i="75"/>
  <c r="R70" i="75"/>
  <c r="R81" i="75"/>
  <c r="R42" i="75"/>
  <c r="R51" i="75"/>
  <c r="V17" i="110"/>
  <c r="X16" i="109"/>
  <c r="P42" i="100"/>
  <c r="X16" i="100"/>
  <c r="T73" i="104"/>
  <c r="Z21" i="104"/>
  <c r="D73" i="104"/>
  <c r="L21" i="104"/>
  <c r="N21" i="104" s="1"/>
  <c r="V45" i="101"/>
  <c r="V43" i="101"/>
  <c r="V31" i="101"/>
  <c r="V23" i="101"/>
  <c r="V34" i="101"/>
  <c r="V33" i="101"/>
  <c r="V55" i="101"/>
  <c r="V52" i="101"/>
  <c r="V50" i="101"/>
  <c r="V36" i="101"/>
  <c r="V24" i="101"/>
  <c r="V35" i="101"/>
  <c r="V15" i="101"/>
  <c r="V37" i="101"/>
  <c r="V25" i="101"/>
  <c r="V40" i="101"/>
  <c r="V28" i="101"/>
  <c r="V16" i="101"/>
  <c r="V39" i="101"/>
  <c r="V27" i="101"/>
  <c r="V42" i="101"/>
  <c r="V48" i="101"/>
  <c r="V32" i="101"/>
  <c r="V30" i="101"/>
  <c r="V21" i="101"/>
  <c r="V17" i="101"/>
  <c r="Z12" i="101"/>
  <c r="V38" i="101"/>
  <c r="V41" i="101"/>
  <c r="V19" i="101"/>
  <c r="T19" i="101"/>
  <c r="V29" i="101"/>
  <c r="V22" i="101"/>
  <c r="V26" i="101"/>
  <c r="V46" i="101"/>
  <c r="J52" i="98"/>
  <c r="J42" i="98"/>
  <c r="J30" i="98"/>
  <c r="J26" i="98"/>
  <c r="J16" i="98"/>
  <c r="J53" i="98"/>
  <c r="J43" i="98"/>
  <c r="J17" i="98"/>
  <c r="J60" i="98"/>
  <c r="J44" i="98"/>
  <c r="J36" i="98"/>
  <c r="N12" i="98"/>
  <c r="J45" i="98"/>
  <c r="J31" i="98"/>
  <c r="J27" i="98"/>
  <c r="J71" i="98"/>
  <c r="J54" i="98"/>
  <c r="J46" i="98"/>
  <c r="J32" i="98"/>
  <c r="J18" i="98"/>
  <c r="J63" i="98"/>
  <c r="J57" i="98"/>
  <c r="J47" i="98"/>
  <c r="H20" i="98"/>
  <c r="J64" i="98"/>
  <c r="J58" i="98"/>
  <c r="J48" i="98"/>
  <c r="J38" i="98"/>
  <c r="J34" i="98"/>
  <c r="J65" i="98"/>
  <c r="J49" i="98"/>
  <c r="J39" i="98"/>
  <c r="J29" i="98"/>
  <c r="J25" i="98"/>
  <c r="J55" i="98"/>
  <c r="J40" i="98"/>
  <c r="J28" i="98"/>
  <c r="J22" i="98"/>
  <c r="J62" i="98"/>
  <c r="J51" i="98"/>
  <c r="J56" i="98"/>
  <c r="J41" i="98"/>
  <c r="J50" i="98"/>
  <c r="J37" i="98"/>
  <c r="J33" i="98"/>
  <c r="J35" i="98"/>
  <c r="J67" i="98"/>
  <c r="J23" i="98"/>
  <c r="J59" i="98"/>
  <c r="J61" i="98"/>
  <c r="J24" i="98"/>
  <c r="J20" i="98"/>
  <c r="F55" i="96"/>
  <c r="F54" i="96"/>
  <c r="F35" i="96"/>
  <c r="F74" i="96"/>
  <c r="F73" i="96"/>
  <c r="F62" i="96"/>
  <c r="F30" i="96"/>
  <c r="F26" i="96"/>
  <c r="F69" i="96"/>
  <c r="F57" i="96"/>
  <c r="F56" i="96"/>
  <c r="F45" i="96"/>
  <c r="F17" i="96"/>
  <c r="F16" i="96"/>
  <c r="F76" i="96"/>
  <c r="F75" i="96"/>
  <c r="F63" i="96"/>
  <c r="F59" i="96"/>
  <c r="F58" i="96"/>
  <c r="F47" i="96"/>
  <c r="F46" i="96"/>
  <c r="F60" i="96"/>
  <c r="F40" i="96"/>
  <c r="F39" i="96"/>
  <c r="F28" i="96"/>
  <c r="F24" i="96"/>
  <c r="F23" i="96"/>
  <c r="F84" i="96"/>
  <c r="F42" i="96"/>
  <c r="F41" i="96"/>
  <c r="F50" i="96"/>
  <c r="F32" i="96"/>
  <c r="F29" i="96"/>
  <c r="F78" i="96"/>
  <c r="F67" i="96"/>
  <c r="F64" i="96"/>
  <c r="F53" i="96"/>
  <c r="F38" i="96"/>
  <c r="F18" i="96"/>
  <c r="F71" i="96"/>
  <c r="F43" i="96"/>
  <c r="F27" i="96"/>
  <c r="F51" i="96"/>
  <c r="F48" i="96"/>
  <c r="F33" i="96"/>
  <c r="F25" i="96"/>
  <c r="L12" i="96"/>
  <c r="N12" i="96" s="1"/>
  <c r="F65" i="96"/>
  <c r="F44" i="96"/>
  <c r="F36" i="96"/>
  <c r="F80" i="96"/>
  <c r="F77" i="96"/>
  <c r="F72" i="96"/>
  <c r="F61" i="96"/>
  <c r="F52" i="96"/>
  <c r="F49" i="96"/>
  <c r="F34" i="96"/>
  <c r="F22" i="96"/>
  <c r="F70" i="96"/>
  <c r="F31" i="96"/>
  <c r="F37" i="96"/>
  <c r="D20" i="96"/>
  <c r="F68" i="96"/>
  <c r="F66" i="96"/>
  <c r="Z20" i="94"/>
  <c r="T61" i="94"/>
  <c r="V20" i="94"/>
  <c r="Z18" i="89"/>
  <c r="T53" i="89"/>
  <c r="D102" i="85"/>
  <c r="L45" i="85"/>
  <c r="N45" i="85" s="1"/>
  <c r="V51" i="79"/>
  <c r="J88" i="75"/>
  <c r="J68" i="75"/>
  <c r="J60" i="75"/>
  <c r="N12" i="75"/>
  <c r="J87" i="75"/>
  <c r="J69" i="75"/>
  <c r="J55" i="75"/>
  <c r="J51" i="75"/>
  <c r="J92" i="75"/>
  <c r="J78" i="75"/>
  <c r="J70" i="75"/>
  <c r="J42" i="75"/>
  <c r="J38" i="75"/>
  <c r="J34" i="75"/>
  <c r="J79" i="75"/>
  <c r="J73" i="75"/>
  <c r="J43" i="75"/>
  <c r="J39" i="75"/>
  <c r="J35" i="75"/>
  <c r="J80" i="75"/>
  <c r="J74" i="75"/>
  <c r="J62" i="75"/>
  <c r="J81" i="75"/>
  <c r="J63" i="75"/>
  <c r="J57" i="75"/>
  <c r="J53" i="75"/>
  <c r="J31" i="75"/>
  <c r="J67" i="75"/>
  <c r="J48" i="75"/>
  <c r="J44" i="75"/>
  <c r="J49" i="75"/>
  <c r="J33" i="75"/>
  <c r="J58" i="75"/>
  <c r="J40" i="75"/>
  <c r="J84" i="75"/>
  <c r="J82" i="75"/>
  <c r="J71" i="75"/>
  <c r="J36" i="75"/>
  <c r="J56" i="75"/>
  <c r="J54" i="75"/>
  <c r="J52" i="75"/>
  <c r="J50" i="75"/>
  <c r="J32" i="75"/>
  <c r="J85" i="75"/>
  <c r="J77" i="75"/>
  <c r="J66" i="75"/>
  <c r="J61" i="75"/>
  <c r="J59" i="75"/>
  <c r="H46" i="75"/>
  <c r="J72" i="75"/>
  <c r="J41" i="75"/>
  <c r="J37" i="75"/>
  <c r="J64" i="75"/>
  <c r="J75" i="75"/>
  <c r="J65" i="75"/>
  <c r="J76" i="75"/>
  <c r="J83" i="75"/>
  <c r="R74" i="77"/>
  <c r="R63" i="77"/>
  <c r="R62" i="77"/>
  <c r="R38" i="77"/>
  <c r="R34" i="77"/>
  <c r="R65" i="77"/>
  <c r="R64" i="77"/>
  <c r="R52" i="77"/>
  <c r="R48" i="77"/>
  <c r="R82" i="77"/>
  <c r="R76" i="77"/>
  <c r="R75" i="77"/>
  <c r="R39" i="77"/>
  <c r="R35" i="77"/>
  <c r="R81" i="77"/>
  <c r="R67" i="77"/>
  <c r="R66" i="77"/>
  <c r="R58" i="77"/>
  <c r="R80" i="77"/>
  <c r="R77" i="77"/>
  <c r="R53" i="77"/>
  <c r="R49" i="77"/>
  <c r="R71" i="77"/>
  <c r="R70" i="77"/>
  <c r="R54" i="77"/>
  <c r="R50" i="77"/>
  <c r="R46" i="77"/>
  <c r="R41" i="77"/>
  <c r="R37" i="77"/>
  <c r="R33" i="77"/>
  <c r="R73" i="77"/>
  <c r="R72" i="77"/>
  <c r="R61" i="77"/>
  <c r="R60" i="77"/>
  <c r="R45" i="77"/>
  <c r="X12" i="77"/>
  <c r="Z12" i="77" s="1"/>
  <c r="R57" i="77"/>
  <c r="R55" i="77"/>
  <c r="R68" i="77"/>
  <c r="R59" i="77"/>
  <c r="R40" i="77"/>
  <c r="P43" i="77"/>
  <c r="R43" i="77" s="1"/>
  <c r="R56" i="77"/>
  <c r="R69" i="77"/>
  <c r="R47" i="77"/>
  <c r="R32" i="77"/>
  <c r="R79" i="77"/>
  <c r="R51" i="77"/>
  <c r="R86" i="77"/>
  <c r="R36" i="77"/>
  <c r="J26" i="76"/>
  <c r="H47" i="61"/>
  <c r="L47" i="61" s="1"/>
  <c r="N16" i="61"/>
  <c r="P47" i="61"/>
  <c r="X16" i="61"/>
  <c r="H90" i="64"/>
  <c r="N16" i="64"/>
  <c r="Z16" i="58"/>
  <c r="T64" i="58"/>
  <c r="H60" i="57"/>
  <c r="H22" i="54"/>
  <c r="N16" i="54"/>
  <c r="J75" i="45"/>
  <c r="J69" i="45"/>
  <c r="J57" i="45"/>
  <c r="J45" i="45"/>
  <c r="J33" i="45"/>
  <c r="J29" i="45"/>
  <c r="J25" i="45"/>
  <c r="J23" i="45"/>
  <c r="J76" i="45"/>
  <c r="J64" i="45"/>
  <c r="J58" i="45"/>
  <c r="J77" i="45"/>
  <c r="J65" i="45"/>
  <c r="J59" i="45"/>
  <c r="J47" i="45"/>
  <c r="J49" i="45"/>
  <c r="J60" i="45"/>
  <c r="J50" i="45"/>
  <c r="J40" i="45"/>
  <c r="J36" i="45"/>
  <c r="N12" i="45"/>
  <c r="J62" i="45"/>
  <c r="J52" i="45"/>
  <c r="J18" i="45"/>
  <c r="J85" i="45"/>
  <c r="J73" i="45"/>
  <c r="J63" i="45"/>
  <c r="J55" i="45"/>
  <c r="J43" i="45"/>
  <c r="J74" i="45"/>
  <c r="J56" i="45"/>
  <c r="J44" i="45"/>
  <c r="J38" i="45"/>
  <c r="J53" i="45"/>
  <c r="J41" i="45"/>
  <c r="J31" i="45"/>
  <c r="J81" i="45"/>
  <c r="J78" i="45"/>
  <c r="J51" i="45"/>
  <c r="J39" i="45"/>
  <c r="J37" i="45"/>
  <c r="J24" i="45"/>
  <c r="J72" i="45"/>
  <c r="J66" i="45"/>
  <c r="J42" i="45"/>
  <c r="J35" i="45"/>
  <c r="J32" i="45"/>
  <c r="J27" i="45"/>
  <c r="J19" i="45"/>
  <c r="J70" i="45"/>
  <c r="J68" i="45"/>
  <c r="J54" i="45"/>
  <c r="J30" i="45"/>
  <c r="J17" i="45"/>
  <c r="J48" i="45"/>
  <c r="J28" i="45"/>
  <c r="J67" i="45"/>
  <c r="J61" i="45"/>
  <c r="H21" i="45"/>
  <c r="J26" i="45"/>
  <c r="J71" i="45"/>
  <c r="J46" i="45"/>
  <c r="J79" i="45"/>
  <c r="J34" i="45"/>
  <c r="J99" i="42"/>
  <c r="J91" i="42"/>
  <c r="J87" i="42"/>
  <c r="J75" i="42"/>
  <c r="J67" i="42"/>
  <c r="J47" i="42"/>
  <c r="J43" i="42"/>
  <c r="J76" i="42"/>
  <c r="J68" i="42"/>
  <c r="J48" i="42"/>
  <c r="J38" i="42"/>
  <c r="J34" i="42"/>
  <c r="J81" i="42"/>
  <c r="J77" i="42"/>
  <c r="J69" i="42"/>
  <c r="J57" i="42"/>
  <c r="J49" i="42"/>
  <c r="J25" i="42"/>
  <c r="J100" i="42"/>
  <c r="J92" i="42"/>
  <c r="J88" i="42"/>
  <c r="J82" i="42"/>
  <c r="J70" i="42"/>
  <c r="J58" i="42"/>
  <c r="J50" i="42"/>
  <c r="J44" i="42"/>
  <c r="J30" i="42"/>
  <c r="N12" i="42"/>
  <c r="J107" i="42"/>
  <c r="J101" i="42"/>
  <c r="J93" i="42"/>
  <c r="J83" i="42"/>
  <c r="J71" i="42"/>
  <c r="J59" i="42"/>
  <c r="J51" i="42"/>
  <c r="J39" i="42"/>
  <c r="J35" i="42"/>
  <c r="J31" i="42"/>
  <c r="J29" i="42"/>
  <c r="J106" i="42"/>
  <c r="J102" i="42"/>
  <c r="J94" i="42"/>
  <c r="J84" i="42"/>
  <c r="J78" i="42"/>
  <c r="J60" i="42"/>
  <c r="J52" i="42"/>
  <c r="J40" i="42"/>
  <c r="H27" i="42"/>
  <c r="J27" i="42" s="1"/>
  <c r="J111" i="42"/>
  <c r="J105" i="42"/>
  <c r="J95" i="42"/>
  <c r="J89" i="42"/>
  <c r="J85" i="42"/>
  <c r="J61" i="42"/>
  <c r="J53" i="42"/>
  <c r="J45" i="42"/>
  <c r="J41" i="42"/>
  <c r="J97" i="42"/>
  <c r="J79" i="42"/>
  <c r="J73" i="42"/>
  <c r="J63" i="42"/>
  <c r="J55" i="42"/>
  <c r="J65" i="42"/>
  <c r="J37" i="42"/>
  <c r="J33" i="42"/>
  <c r="J23" i="42"/>
  <c r="J80" i="42"/>
  <c r="J62" i="42"/>
  <c r="J104" i="42"/>
  <c r="J90" i="42"/>
  <c r="J36" i="42"/>
  <c r="J98" i="42"/>
  <c r="J54" i="42"/>
  <c r="J42" i="42"/>
  <c r="J96" i="42"/>
  <c r="J56" i="42"/>
  <c r="J74" i="42"/>
  <c r="J72" i="42"/>
  <c r="J46" i="42"/>
  <c r="J66" i="42"/>
  <c r="J24" i="42"/>
  <c r="J86" i="42"/>
  <c r="J32" i="42"/>
  <c r="J64" i="42"/>
  <c r="H84" i="51"/>
  <c r="Z16" i="54"/>
  <c r="T22" i="54"/>
  <c r="P113" i="42"/>
  <c r="V82" i="33"/>
  <c r="V68" i="33"/>
  <c r="V60" i="33"/>
  <c r="V44" i="33"/>
  <c r="V40" i="33"/>
  <c r="V59" i="33"/>
  <c r="V51" i="33"/>
  <c r="V31" i="33"/>
  <c r="V27" i="33"/>
  <c r="V62" i="33"/>
  <c r="V50" i="33"/>
  <c r="V46" i="33"/>
  <c r="V69" i="33"/>
  <c r="V61" i="33"/>
  <c r="V53" i="33"/>
  <c r="V45" i="33"/>
  <c r="V41" i="33"/>
  <c r="V37" i="33"/>
  <c r="V64" i="33"/>
  <c r="V52" i="33"/>
  <c r="V36" i="33"/>
  <c r="V32" i="33"/>
  <c r="V28" i="33"/>
  <c r="V63" i="33"/>
  <c r="V55" i="33"/>
  <c r="V47" i="33"/>
  <c r="T34" i="33"/>
  <c r="V34" i="33" s="1"/>
  <c r="V70" i="33"/>
  <c r="V66" i="33"/>
  <c r="V54" i="33"/>
  <c r="V42" i="33"/>
  <c r="V38" i="33"/>
  <c r="V65" i="33"/>
  <c r="V57" i="33"/>
  <c r="V29" i="33"/>
  <c r="V76" i="33"/>
  <c r="V58" i="33"/>
  <c r="V30" i="33"/>
  <c r="V77" i="33"/>
  <c r="V72" i="33"/>
  <c r="Z12" i="33"/>
  <c r="V78" i="33"/>
  <c r="V75" i="33"/>
  <c r="V67" i="33"/>
  <c r="V49" i="33"/>
  <c r="V39" i="33"/>
  <c r="V48" i="33"/>
  <c r="V71" i="33"/>
  <c r="V73" i="33"/>
  <c r="V56" i="33"/>
  <c r="V43" i="33"/>
  <c r="T89" i="9"/>
  <c r="Z16" i="9"/>
  <c r="X64" i="24"/>
  <c r="P100" i="24"/>
  <c r="P271" i="3"/>
  <c r="X165" i="3"/>
  <c r="L260" i="3"/>
  <c r="N260" i="3" s="1"/>
  <c r="L18" i="47"/>
  <c r="D27" i="47"/>
  <c r="T27" i="43"/>
  <c r="Z18" i="43"/>
  <c r="H27" i="38"/>
  <c r="N18" i="38"/>
  <c r="L18" i="14"/>
  <c r="D27" i="14"/>
  <c r="L18" i="10"/>
  <c r="D27" i="10"/>
  <c r="H27" i="4"/>
  <c r="N18" i="4"/>
  <c r="X18" i="8"/>
  <c r="P27" i="8"/>
  <c r="X18" i="11"/>
  <c r="P27" i="11"/>
  <c r="N16" i="103"/>
  <c r="H46" i="103"/>
  <c r="D69" i="102"/>
  <c r="L20" i="102"/>
  <c r="N20" i="102" s="1"/>
  <c r="H82" i="92"/>
  <c r="H30" i="86"/>
  <c r="J26" i="86"/>
  <c r="T60" i="80"/>
  <c r="J61" i="81"/>
  <c r="J47" i="81"/>
  <c r="J17" i="81"/>
  <c r="J62" i="81"/>
  <c r="J56" i="81"/>
  <c r="J48" i="81"/>
  <c r="J36" i="81"/>
  <c r="N12" i="81"/>
  <c r="J63" i="81"/>
  <c r="J57" i="81"/>
  <c r="J49" i="81"/>
  <c r="J37" i="81"/>
  <c r="J31" i="81"/>
  <c r="J27" i="81"/>
  <c r="J64" i="81"/>
  <c r="J58" i="81"/>
  <c r="J50" i="81"/>
  <c r="J38" i="81"/>
  <c r="J32" i="81"/>
  <c r="J18" i="81"/>
  <c r="J65" i="81"/>
  <c r="J51" i="81"/>
  <c r="J39" i="81"/>
  <c r="J33" i="81"/>
  <c r="J23" i="81"/>
  <c r="J52" i="81"/>
  <c r="J40" i="81"/>
  <c r="J28" i="81"/>
  <c r="J24" i="81"/>
  <c r="J22" i="81"/>
  <c r="J67" i="81"/>
  <c r="J59" i="81"/>
  <c r="J53" i="81"/>
  <c r="J41" i="81"/>
  <c r="J71" i="81"/>
  <c r="J43" i="81"/>
  <c r="J29" i="81"/>
  <c r="J25" i="81"/>
  <c r="J55" i="81"/>
  <c r="J54" i="81"/>
  <c r="J34" i="81"/>
  <c r="J30" i="81"/>
  <c r="J26" i="81"/>
  <c r="J42" i="81"/>
  <c r="J44" i="81"/>
  <c r="J46" i="81"/>
  <c r="J45" i="81"/>
  <c r="H20" i="81"/>
  <c r="J20" i="81" s="1"/>
  <c r="J16" i="81"/>
  <c r="J35" i="81"/>
  <c r="J60" i="81"/>
  <c r="X20" i="108"/>
  <c r="Z20" i="108" s="1"/>
  <c r="P70" i="108"/>
  <c r="R20" i="108"/>
  <c r="P39" i="109"/>
  <c r="X35" i="109"/>
  <c r="D35" i="109"/>
  <c r="L16" i="109"/>
  <c r="L16" i="105"/>
  <c r="D31" i="105"/>
  <c r="D75" i="106"/>
  <c r="L21" i="106"/>
  <c r="D46" i="103"/>
  <c r="L16" i="103"/>
  <c r="R77" i="106"/>
  <c r="R60" i="106"/>
  <c r="R59" i="106"/>
  <c r="R54" i="106"/>
  <c r="R66" i="106"/>
  <c r="R65" i="106"/>
  <c r="R61" i="106"/>
  <c r="R45" i="106"/>
  <c r="R44" i="106"/>
  <c r="R68" i="106"/>
  <c r="R67" i="106"/>
  <c r="R56" i="106"/>
  <c r="R55" i="106"/>
  <c r="R62" i="106"/>
  <c r="R47" i="106"/>
  <c r="R46" i="106"/>
  <c r="R70" i="106"/>
  <c r="R69" i="106"/>
  <c r="R57" i="106"/>
  <c r="R49" i="106"/>
  <c r="R48" i="106"/>
  <c r="R63" i="106"/>
  <c r="R41" i="106"/>
  <c r="R40" i="106"/>
  <c r="R36" i="106"/>
  <c r="R17" i="106"/>
  <c r="X12" i="106"/>
  <c r="R53" i="106"/>
  <c r="R51" i="106"/>
  <c r="R31" i="106"/>
  <c r="R27" i="106"/>
  <c r="R42" i="106"/>
  <c r="R18" i="106"/>
  <c r="R73" i="106"/>
  <c r="R37" i="106"/>
  <c r="R43" i="106"/>
  <c r="R32" i="106"/>
  <c r="R28" i="106"/>
  <c r="R24" i="106"/>
  <c r="R19" i="106"/>
  <c r="R64" i="106"/>
  <c r="R52" i="106"/>
  <c r="R50" i="106"/>
  <c r="R39" i="106"/>
  <c r="R35" i="106"/>
  <c r="R26" i="106"/>
  <c r="R58" i="106"/>
  <c r="R30" i="106"/>
  <c r="R21" i="106"/>
  <c r="R38" i="106"/>
  <c r="P21" i="106"/>
  <c r="R25" i="106"/>
  <c r="R33" i="106"/>
  <c r="R23" i="106"/>
  <c r="R71" i="106"/>
  <c r="R29" i="106"/>
  <c r="R34" i="106"/>
  <c r="D69" i="98"/>
  <c r="L20" i="98"/>
  <c r="P82" i="96"/>
  <c r="X20" i="96"/>
  <c r="X58" i="94"/>
  <c r="Z58" i="94" s="1"/>
  <c r="R20" i="94"/>
  <c r="L20" i="94"/>
  <c r="N20" i="94" s="1"/>
  <c r="D61" i="94"/>
  <c r="V19" i="93"/>
  <c r="Z20" i="95"/>
  <c r="T68" i="95"/>
  <c r="V18" i="86"/>
  <c r="H53" i="89"/>
  <c r="N18" i="89"/>
  <c r="Z61" i="76"/>
  <c r="R21" i="79"/>
  <c r="R45" i="79"/>
  <c r="R44" i="79"/>
  <c r="R36" i="79"/>
  <c r="R46" i="79"/>
  <c r="R52" i="79"/>
  <c r="R47" i="79"/>
  <c r="R27" i="79"/>
  <c r="R17" i="79"/>
  <c r="X12" i="79"/>
  <c r="Z12" i="79" s="1"/>
  <c r="R48" i="79"/>
  <c r="R31" i="79"/>
  <c r="R18" i="79"/>
  <c r="R41" i="79"/>
  <c r="R38" i="79"/>
  <c r="R34" i="79"/>
  <c r="R28" i="79"/>
  <c r="R42" i="79"/>
  <c r="R39" i="79"/>
  <c r="R29" i="79"/>
  <c r="R40" i="79"/>
  <c r="R33" i="79"/>
  <c r="P24" i="79"/>
  <c r="R51" i="79"/>
  <c r="R43" i="79"/>
  <c r="R22" i="79"/>
  <c r="R57" i="79"/>
  <c r="R26" i="79"/>
  <c r="R32" i="79"/>
  <c r="R30" i="79"/>
  <c r="R19" i="79"/>
  <c r="R49" i="79"/>
  <c r="R53" i="79"/>
  <c r="R20" i="79"/>
  <c r="R35" i="79"/>
  <c r="R37" i="79"/>
  <c r="T55" i="79"/>
  <c r="D55" i="79"/>
  <c r="L24" i="79"/>
  <c r="N24" i="79" s="1"/>
  <c r="X51" i="79"/>
  <c r="Z51" i="79" s="1"/>
  <c r="F23" i="73"/>
  <c r="L16" i="68"/>
  <c r="D51" i="68"/>
  <c r="L20" i="70"/>
  <c r="N20" i="70" s="1"/>
  <c r="D65" i="70"/>
  <c r="T73" i="74"/>
  <c r="F90" i="71"/>
  <c r="F66" i="71"/>
  <c r="F73" i="71"/>
  <c r="F61" i="71"/>
  <c r="F57" i="71"/>
  <c r="F92" i="71"/>
  <c r="F91" i="71"/>
  <c r="F84" i="71"/>
  <c r="F48" i="71"/>
  <c r="F44" i="71"/>
  <c r="F40" i="71"/>
  <c r="F36" i="71"/>
  <c r="F35" i="71"/>
  <c r="F86" i="71"/>
  <c r="F85" i="71"/>
  <c r="F62" i="71"/>
  <c r="F58" i="71"/>
  <c r="F54" i="71"/>
  <c r="F53" i="71"/>
  <c r="F93" i="71"/>
  <c r="F77" i="71"/>
  <c r="F76" i="71"/>
  <c r="F88" i="71"/>
  <c r="F87" i="71"/>
  <c r="F68" i="71"/>
  <c r="F64" i="71"/>
  <c r="F63" i="71"/>
  <c r="F99" i="71"/>
  <c r="F70" i="71"/>
  <c r="F69" i="71"/>
  <c r="F46" i="71"/>
  <c r="F42" i="71"/>
  <c r="F38" i="71"/>
  <c r="F94" i="71"/>
  <c r="F60" i="71"/>
  <c r="F78" i="71"/>
  <c r="F71" i="71"/>
  <c r="F43" i="71"/>
  <c r="F98" i="71"/>
  <c r="F95" i="71"/>
  <c r="F56" i="71"/>
  <c r="F79" i="71"/>
  <c r="F65" i="71"/>
  <c r="L12" i="71"/>
  <c r="F67" i="71"/>
  <c r="F41" i="71"/>
  <c r="D50" i="71"/>
  <c r="F50" i="71" s="1"/>
  <c r="F97" i="71"/>
  <c r="F80" i="71"/>
  <c r="F55" i="71"/>
  <c r="F39" i="71"/>
  <c r="F83" i="71"/>
  <c r="F75" i="71"/>
  <c r="F52" i="71"/>
  <c r="F89" i="71"/>
  <c r="F59" i="71"/>
  <c r="F45" i="71"/>
  <c r="F47" i="71"/>
  <c r="F103" i="71"/>
  <c r="F82" i="71"/>
  <c r="F74" i="71"/>
  <c r="F72" i="71"/>
  <c r="F37" i="71"/>
  <c r="F81" i="71"/>
  <c r="D51" i="61"/>
  <c r="J91" i="71"/>
  <c r="J73" i="71"/>
  <c r="J61" i="71"/>
  <c r="J57" i="71"/>
  <c r="J92" i="71"/>
  <c r="J84" i="71"/>
  <c r="J74" i="71"/>
  <c r="J48" i="71"/>
  <c r="J44" i="71"/>
  <c r="J40" i="71"/>
  <c r="J36" i="71"/>
  <c r="J85" i="71"/>
  <c r="J75" i="71"/>
  <c r="J67" i="71"/>
  <c r="J53" i="71"/>
  <c r="J93" i="71"/>
  <c r="J87" i="71"/>
  <c r="J77" i="71"/>
  <c r="J63" i="71"/>
  <c r="J94" i="71"/>
  <c r="J88" i="71"/>
  <c r="J78" i="71"/>
  <c r="J68" i="71"/>
  <c r="J64" i="71"/>
  <c r="J99" i="71"/>
  <c r="J95" i="71"/>
  <c r="J79" i="71"/>
  <c r="J69" i="71"/>
  <c r="J59" i="71"/>
  <c r="J55" i="71"/>
  <c r="J103" i="71"/>
  <c r="J97" i="71"/>
  <c r="J89" i="71"/>
  <c r="J81" i="71"/>
  <c r="J71" i="71"/>
  <c r="J65" i="71"/>
  <c r="J98" i="71"/>
  <c r="J43" i="71"/>
  <c r="J76" i="71"/>
  <c r="J58" i="71"/>
  <c r="J56" i="71"/>
  <c r="J90" i="71"/>
  <c r="J86" i="71"/>
  <c r="J50" i="71"/>
  <c r="J35" i="71"/>
  <c r="N12" i="71"/>
  <c r="J54" i="71"/>
  <c r="H50" i="71"/>
  <c r="J46" i="71"/>
  <c r="J41" i="71"/>
  <c r="J38" i="71"/>
  <c r="J82" i="71"/>
  <c r="J52" i="71"/>
  <c r="J83" i="71"/>
  <c r="J62" i="71"/>
  <c r="J45" i="71"/>
  <c r="J47" i="71"/>
  <c r="J80" i="71"/>
  <c r="J66" i="71"/>
  <c r="J72" i="71"/>
  <c r="J70" i="71"/>
  <c r="J37" i="71"/>
  <c r="J60" i="71"/>
  <c r="J42" i="71"/>
  <c r="J39" i="71"/>
  <c r="T55" i="68"/>
  <c r="Z86" i="64"/>
  <c r="R82" i="69"/>
  <c r="R58" i="69"/>
  <c r="R54" i="69"/>
  <c r="P50" i="69"/>
  <c r="R84" i="69"/>
  <c r="R74" i="69"/>
  <c r="R73" i="69"/>
  <c r="R45" i="69"/>
  <c r="R41" i="69"/>
  <c r="R64" i="69"/>
  <c r="X12" i="69"/>
  <c r="Z12" i="69" s="1"/>
  <c r="R76" i="69"/>
  <c r="R75" i="69"/>
  <c r="R59" i="69"/>
  <c r="R55" i="69"/>
  <c r="R88" i="69"/>
  <c r="R79" i="69"/>
  <c r="R78" i="69"/>
  <c r="R67" i="69"/>
  <c r="R77" i="69"/>
  <c r="R50" i="69"/>
  <c r="R68" i="69"/>
  <c r="R61" i="69"/>
  <c r="R44" i="69"/>
  <c r="R80" i="69"/>
  <c r="R71" i="69"/>
  <c r="R47" i="69"/>
  <c r="R57" i="69"/>
  <c r="R52" i="69"/>
  <c r="R39" i="69"/>
  <c r="R62" i="69"/>
  <c r="R42" i="69"/>
  <c r="R72" i="69"/>
  <c r="R65" i="69"/>
  <c r="R69" i="69"/>
  <c r="R60" i="69"/>
  <c r="R48" i="69"/>
  <c r="R56" i="69"/>
  <c r="R46" i="69"/>
  <c r="R66" i="69"/>
  <c r="R40" i="69"/>
  <c r="R53" i="69"/>
  <c r="R81" i="69"/>
  <c r="R70" i="69"/>
  <c r="R63" i="69"/>
  <c r="R43" i="69"/>
  <c r="R38" i="69"/>
  <c r="N115" i="39"/>
  <c r="T120" i="39"/>
  <c r="Z33" i="39"/>
  <c r="J88" i="39"/>
  <c r="J70" i="39"/>
  <c r="J118" i="39"/>
  <c r="J112" i="39"/>
  <c r="J104" i="39"/>
  <c r="J94" i="39"/>
  <c r="J82" i="39"/>
  <c r="J72" i="39"/>
  <c r="J117" i="39"/>
  <c r="J113" i="39"/>
  <c r="J105" i="39"/>
  <c r="J95" i="39"/>
  <c r="J89" i="39"/>
  <c r="J83" i="39"/>
  <c r="J73" i="39"/>
  <c r="J122" i="39"/>
  <c r="J116" i="39"/>
  <c r="J106" i="39"/>
  <c r="J100" i="39"/>
  <c r="J96" i="39"/>
  <c r="J84" i="39"/>
  <c r="J74" i="39"/>
  <c r="J115" i="39"/>
  <c r="J107" i="39"/>
  <c r="J108" i="39"/>
  <c r="J90" i="39"/>
  <c r="J76" i="39"/>
  <c r="J64" i="39"/>
  <c r="J86" i="39"/>
  <c r="J78" i="39"/>
  <c r="J110" i="39"/>
  <c r="J102" i="39"/>
  <c r="J98" i="39"/>
  <c r="J92" i="39"/>
  <c r="J109" i="39"/>
  <c r="J101" i="39"/>
  <c r="J99" i="39"/>
  <c r="J91" i="39"/>
  <c r="J80" i="39"/>
  <c r="J42" i="39"/>
  <c r="J38" i="39"/>
  <c r="J111" i="39"/>
  <c r="J103" i="39"/>
  <c r="J93" i="39"/>
  <c r="J85" i="39"/>
  <c r="J75" i="39"/>
  <c r="J60" i="39"/>
  <c r="J69" i="39"/>
  <c r="J52" i="39"/>
  <c r="J48" i="39"/>
  <c r="N12" i="39"/>
  <c r="J65" i="39"/>
  <c r="J61" i="39"/>
  <c r="J43" i="39"/>
  <c r="J39" i="39"/>
  <c r="J29" i="39"/>
  <c r="J66" i="39"/>
  <c r="J30" i="39"/>
  <c r="J53" i="39"/>
  <c r="J49" i="39"/>
  <c r="J62" i="39"/>
  <c r="J54" i="39"/>
  <c r="J44" i="39"/>
  <c r="J40" i="39"/>
  <c r="J81" i="39"/>
  <c r="J67" i="39"/>
  <c r="J55" i="39"/>
  <c r="J31" i="39"/>
  <c r="J79" i="39"/>
  <c r="J71" i="39"/>
  <c r="J56" i="39"/>
  <c r="J50" i="39"/>
  <c r="J36" i="39"/>
  <c r="J57" i="39"/>
  <c r="J45" i="39"/>
  <c r="J41" i="39"/>
  <c r="J37" i="39"/>
  <c r="J35" i="39"/>
  <c r="J58" i="39"/>
  <c r="J63" i="39"/>
  <c r="J77" i="39"/>
  <c r="J46" i="39"/>
  <c r="J51" i="39"/>
  <c r="J87" i="39"/>
  <c r="J97" i="39"/>
  <c r="J68" i="39"/>
  <c r="J47" i="39"/>
  <c r="J59" i="39"/>
  <c r="H33" i="39"/>
  <c r="J33" i="39" s="1"/>
  <c r="X12" i="36"/>
  <c r="Z12" i="36" s="1"/>
  <c r="L75" i="33"/>
  <c r="N75" i="33" s="1"/>
  <c r="H102" i="27"/>
  <c r="P123" i="30"/>
  <c r="X57" i="30"/>
  <c r="X240" i="18"/>
  <c r="Z240" i="18" s="1"/>
  <c r="X220" i="15"/>
  <c r="Z220" i="15" s="1"/>
  <c r="F138" i="12"/>
  <c r="T271" i="3"/>
  <c r="Z165" i="3"/>
  <c r="V260" i="3"/>
  <c r="T27" i="112"/>
  <c r="Z18" i="112"/>
  <c r="X18" i="52"/>
  <c r="P27" i="52"/>
  <c r="H27" i="50"/>
  <c r="N18" i="50"/>
  <c r="H27" i="37"/>
  <c r="N18" i="37"/>
  <c r="T27" i="35"/>
  <c r="Z18" i="35"/>
  <c r="X18" i="34"/>
  <c r="P27" i="34"/>
  <c r="N18" i="28"/>
  <c r="H27" i="28"/>
  <c r="T27" i="16"/>
  <c r="Z18" i="16"/>
  <c r="H27" i="20"/>
  <c r="N18" i="20"/>
  <c r="T27" i="4"/>
  <c r="Z18" i="4"/>
  <c r="Z27" i="26" l="1"/>
  <c r="T31" i="26"/>
  <c r="D253" i="18"/>
  <c r="L249" i="18"/>
  <c r="F249" i="18"/>
  <c r="D69" i="74"/>
  <c r="L45" i="74"/>
  <c r="P71" i="58"/>
  <c r="L59" i="59"/>
  <c r="D63" i="59"/>
  <c r="N45" i="74"/>
  <c r="H69" i="74"/>
  <c r="Z27" i="34"/>
  <c r="T31" i="34"/>
  <c r="Z27" i="113"/>
  <c r="T31" i="113"/>
  <c r="T82" i="92"/>
  <c r="Z27" i="4"/>
  <c r="T31" i="4"/>
  <c r="H31" i="37"/>
  <c r="N27" i="37"/>
  <c r="D59" i="79"/>
  <c r="L55" i="79"/>
  <c r="F55" i="79"/>
  <c r="H33" i="86"/>
  <c r="J30" i="86"/>
  <c r="N27" i="4"/>
  <c r="H31" i="4"/>
  <c r="T68" i="58"/>
  <c r="T77" i="104"/>
  <c r="V73" i="104"/>
  <c r="N27" i="23"/>
  <c r="H31" i="23"/>
  <c r="L27" i="40"/>
  <c r="D31" i="40"/>
  <c r="H93" i="9"/>
  <c r="L33" i="39"/>
  <c r="H69" i="56"/>
  <c r="D26" i="99"/>
  <c r="L22" i="99"/>
  <c r="H74" i="108"/>
  <c r="L27" i="7"/>
  <c r="D31" i="7"/>
  <c r="H31" i="31"/>
  <c r="N27" i="31"/>
  <c r="N27" i="113"/>
  <c r="H31" i="113"/>
  <c r="P69" i="102"/>
  <c r="X20" i="102"/>
  <c r="Z20" i="102" s="1"/>
  <c r="X89" i="9"/>
  <c r="P93" i="9"/>
  <c r="P94" i="64"/>
  <c r="X90" i="64"/>
  <c r="T31" i="83"/>
  <c r="V27" i="83"/>
  <c r="X57" i="110"/>
  <c r="P61" i="110"/>
  <c r="R57" i="110"/>
  <c r="T31" i="14"/>
  <c r="Z27" i="14"/>
  <c r="T31" i="32"/>
  <c r="Z27" i="32"/>
  <c r="V153" i="18"/>
  <c r="P231" i="15"/>
  <c r="R227" i="15"/>
  <c r="X64" i="58"/>
  <c r="Z64" i="58" s="1"/>
  <c r="D82" i="92"/>
  <c r="L78" i="92"/>
  <c r="N78" i="92" s="1"/>
  <c r="P38" i="105"/>
  <c r="X27" i="28"/>
  <c r="P31" i="28"/>
  <c r="H46" i="100"/>
  <c r="P31" i="41"/>
  <c r="X27" i="41"/>
  <c r="L27" i="44"/>
  <c r="D31" i="44"/>
  <c r="P253" i="18"/>
  <c r="X249" i="18"/>
  <c r="R249" i="18"/>
  <c r="H112" i="36"/>
  <c r="T73" i="102"/>
  <c r="V69" i="102"/>
  <c r="Z64" i="24"/>
  <c r="T100" i="24"/>
  <c r="D84" i="77"/>
  <c r="L43" i="77"/>
  <c r="X27" i="10"/>
  <c r="P31" i="10"/>
  <c r="N27" i="43"/>
  <c r="H31" i="43"/>
  <c r="P83" i="45"/>
  <c r="X21" i="45"/>
  <c r="Z21" i="45" s="1"/>
  <c r="Z27" i="46"/>
  <c r="T31" i="46"/>
  <c r="P30" i="86"/>
  <c r="X26" i="86"/>
  <c r="R26" i="86"/>
  <c r="P31" i="44"/>
  <c r="X27" i="44"/>
  <c r="T31" i="25"/>
  <c r="Z27" i="25"/>
  <c r="T76" i="74"/>
  <c r="V73" i="74"/>
  <c r="T59" i="79"/>
  <c r="V55" i="79"/>
  <c r="D50" i="103"/>
  <c r="L46" i="103"/>
  <c r="L27" i="10"/>
  <c r="D31" i="10"/>
  <c r="X271" i="3"/>
  <c r="P275" i="3"/>
  <c r="R271" i="3"/>
  <c r="P31" i="38"/>
  <c r="X27" i="38"/>
  <c r="D124" i="39"/>
  <c r="F120" i="39"/>
  <c r="N31" i="105"/>
  <c r="H35" i="105"/>
  <c r="N27" i="32"/>
  <c r="H31" i="32"/>
  <c r="D275" i="3"/>
  <c r="L271" i="3"/>
  <c r="F271" i="3"/>
  <c r="H123" i="30"/>
  <c r="T34" i="55"/>
  <c r="Z30" i="55"/>
  <c r="X30" i="55"/>
  <c r="L27" i="17"/>
  <c r="D31" i="17"/>
  <c r="L27" i="32"/>
  <c r="D31" i="32"/>
  <c r="D31" i="112"/>
  <c r="L27" i="112"/>
  <c r="H65" i="94"/>
  <c r="J61" i="94"/>
  <c r="T75" i="106"/>
  <c r="Z27" i="19"/>
  <c r="T31" i="19"/>
  <c r="N27" i="47"/>
  <c r="H31" i="47"/>
  <c r="D28" i="107"/>
  <c r="L24" i="107"/>
  <c r="N24" i="107" s="1"/>
  <c r="P31" i="25"/>
  <c r="X27" i="25"/>
  <c r="P31" i="31"/>
  <c r="X27" i="31"/>
  <c r="D31" i="50"/>
  <c r="L27" i="50"/>
  <c r="T123" i="30"/>
  <c r="X123" i="30" s="1"/>
  <c r="Z57" i="30"/>
  <c r="H50" i="60"/>
  <c r="L50" i="60" s="1"/>
  <c r="T31" i="40"/>
  <c r="Z27" i="40"/>
  <c r="P96" i="21"/>
  <c r="X26" i="21"/>
  <c r="Z26" i="21" s="1"/>
  <c r="T51" i="61"/>
  <c r="H31" i="11"/>
  <c r="N27" i="11"/>
  <c r="H31" i="46"/>
  <c r="N27" i="46"/>
  <c r="D83" i="45"/>
  <c r="L21" i="45"/>
  <c r="Z27" i="53"/>
  <c r="T31" i="53"/>
  <c r="P53" i="103"/>
  <c r="D30" i="86"/>
  <c r="L26" i="86"/>
  <c r="N26" i="86" s="1"/>
  <c r="F26" i="86"/>
  <c r="X73" i="84"/>
  <c r="P77" i="84"/>
  <c r="R73" i="84"/>
  <c r="L27" i="16"/>
  <c r="D31" i="16"/>
  <c r="H31" i="20"/>
  <c r="N27" i="20"/>
  <c r="T58" i="68"/>
  <c r="D54" i="61"/>
  <c r="D65" i="94"/>
  <c r="L61" i="94"/>
  <c r="N61" i="94" s="1"/>
  <c r="F61" i="94"/>
  <c r="H85" i="92"/>
  <c r="P104" i="24"/>
  <c r="R100" i="24"/>
  <c r="P116" i="42"/>
  <c r="R113" i="42"/>
  <c r="T48" i="101"/>
  <c r="P46" i="100"/>
  <c r="X42" i="100"/>
  <c r="L27" i="26"/>
  <c r="D31" i="26"/>
  <c r="X27" i="4"/>
  <c r="P31" i="4"/>
  <c r="H67" i="73"/>
  <c r="Z27" i="11"/>
  <c r="T31" i="11"/>
  <c r="L27" i="42"/>
  <c r="D109" i="42"/>
  <c r="T84" i="51"/>
  <c r="H80" i="88"/>
  <c r="L27" i="28"/>
  <c r="D31" i="28"/>
  <c r="L53" i="89"/>
  <c r="D57" i="89"/>
  <c r="T239" i="12"/>
  <c r="V235" i="12"/>
  <c r="P69" i="56"/>
  <c r="X65" i="56"/>
  <c r="Z65" i="56" s="1"/>
  <c r="L57" i="30"/>
  <c r="N57" i="30" s="1"/>
  <c r="L27" i="22"/>
  <c r="D31" i="22"/>
  <c r="X68" i="93"/>
  <c r="P72" i="93"/>
  <c r="R68" i="93"/>
  <c r="H80" i="104"/>
  <c r="J77" i="104"/>
  <c r="P74" i="108"/>
  <c r="X70" i="108"/>
  <c r="Z70" i="108" s="1"/>
  <c r="R70" i="108"/>
  <c r="H239" i="12"/>
  <c r="J235" i="12"/>
  <c r="H31" i="107"/>
  <c r="P84" i="51"/>
  <c r="X43" i="51"/>
  <c r="Z43" i="51" s="1"/>
  <c r="H31" i="25"/>
  <c r="N27" i="25"/>
  <c r="N27" i="50"/>
  <c r="H31" i="50"/>
  <c r="P127" i="30"/>
  <c r="R123" i="30"/>
  <c r="P31" i="52"/>
  <c r="X27" i="52"/>
  <c r="D79" i="106"/>
  <c r="F75" i="106"/>
  <c r="L27" i="14"/>
  <c r="D31" i="14"/>
  <c r="Z22" i="54"/>
  <c r="T26" i="54"/>
  <c r="X22" i="54"/>
  <c r="N27" i="29"/>
  <c r="H31" i="29"/>
  <c r="T87" i="45"/>
  <c r="V83" i="45"/>
  <c r="H55" i="68"/>
  <c r="D60" i="80"/>
  <c r="L20" i="80"/>
  <c r="N20" i="80" s="1"/>
  <c r="H106" i="85"/>
  <c r="J102" i="85"/>
  <c r="H31" i="53"/>
  <c r="N27" i="53"/>
  <c r="X27" i="7"/>
  <c r="P31" i="7"/>
  <c r="P31" i="17"/>
  <c r="X27" i="17"/>
  <c r="L27" i="41"/>
  <c r="D31" i="41"/>
  <c r="D93" i="9"/>
  <c r="L89" i="9"/>
  <c r="N89" i="9" s="1"/>
  <c r="H68" i="76"/>
  <c r="J64" i="76"/>
  <c r="F27" i="42"/>
  <c r="X27" i="13"/>
  <c r="P31" i="13"/>
  <c r="L96" i="21"/>
  <c r="D100" i="21"/>
  <c r="F96" i="21"/>
  <c r="T84" i="77"/>
  <c r="H27" i="83"/>
  <c r="N21" i="83"/>
  <c r="T28" i="107"/>
  <c r="H57" i="110"/>
  <c r="T69" i="98"/>
  <c r="Z20" i="98"/>
  <c r="L27" i="23"/>
  <c r="D31" i="23"/>
  <c r="X27" i="50"/>
  <c r="P31" i="50"/>
  <c r="Z153" i="18"/>
  <c r="T249" i="18"/>
  <c r="N27" i="26"/>
  <c r="H31" i="26"/>
  <c r="Z27" i="17"/>
  <c r="T31" i="17"/>
  <c r="Z27" i="47"/>
  <c r="T31" i="47"/>
  <c r="D84" i="51"/>
  <c r="L43" i="51"/>
  <c r="N43" i="51" s="1"/>
  <c r="Z57" i="110"/>
  <c r="T61" i="110"/>
  <c r="V57" i="110"/>
  <c r="L27" i="19"/>
  <c r="D31" i="19"/>
  <c r="X27" i="35"/>
  <c r="P31" i="35"/>
  <c r="N22" i="6"/>
  <c r="H26" i="6"/>
  <c r="Z51" i="27"/>
  <c r="T102" i="27"/>
  <c r="Z90" i="64"/>
  <c r="T94" i="64"/>
  <c r="P64" i="76"/>
  <c r="X26" i="76"/>
  <c r="T35" i="105"/>
  <c r="Z31" i="105"/>
  <c r="L123" i="30"/>
  <c r="D127" i="30"/>
  <c r="F123" i="30"/>
  <c r="T31" i="38"/>
  <c r="Z27" i="38"/>
  <c r="D107" i="24"/>
  <c r="F104" i="24"/>
  <c r="H31" i="10"/>
  <c r="N27" i="10"/>
  <c r="N27" i="44"/>
  <c r="H31" i="44"/>
  <c r="P48" i="101"/>
  <c r="X19" i="101"/>
  <c r="Z19" i="101" s="1"/>
  <c r="D57" i="110"/>
  <c r="L17" i="110"/>
  <c r="N17" i="110" s="1"/>
  <c r="T57" i="89"/>
  <c r="X57" i="89" s="1"/>
  <c r="P60" i="89"/>
  <c r="P69" i="81"/>
  <c r="X20" i="81"/>
  <c r="Z20" i="81" s="1"/>
  <c r="N27" i="35"/>
  <c r="H31" i="35"/>
  <c r="T31" i="16"/>
  <c r="Z27" i="16"/>
  <c r="H106" i="27"/>
  <c r="J102" i="27"/>
  <c r="L31" i="105"/>
  <c r="D35" i="105"/>
  <c r="H69" i="81"/>
  <c r="D73" i="102"/>
  <c r="L69" i="102"/>
  <c r="F69" i="102"/>
  <c r="N21" i="45"/>
  <c r="H83" i="45"/>
  <c r="H90" i="75"/>
  <c r="N46" i="75"/>
  <c r="T65" i="94"/>
  <c r="V61" i="94"/>
  <c r="D102" i="27"/>
  <c r="L51" i="27"/>
  <c r="N51" i="27" s="1"/>
  <c r="X78" i="92"/>
  <c r="Z78" i="92" s="1"/>
  <c r="P82" i="92"/>
  <c r="T82" i="96"/>
  <c r="Z20" i="96"/>
  <c r="L27" i="13"/>
  <c r="D31" i="13"/>
  <c r="P235" i="12"/>
  <c r="X138" i="12"/>
  <c r="Z138" i="12" s="1"/>
  <c r="P63" i="59"/>
  <c r="X59" i="59"/>
  <c r="Z59" i="59" s="1"/>
  <c r="L27" i="46"/>
  <c r="D31" i="46"/>
  <c r="T73" i="81"/>
  <c r="V69" i="81"/>
  <c r="L22" i="6"/>
  <c r="D26" i="6"/>
  <c r="Z27" i="44"/>
  <c r="T31" i="44"/>
  <c r="T90" i="75"/>
  <c r="H275" i="3"/>
  <c r="N271" i="3"/>
  <c r="J271" i="3"/>
  <c r="L46" i="60"/>
  <c r="N46" i="60" s="1"/>
  <c r="T102" i="85"/>
  <c r="H48" i="101"/>
  <c r="L27" i="5"/>
  <c r="D31" i="5"/>
  <c r="P63" i="57"/>
  <c r="P67" i="73"/>
  <c r="X23" i="73"/>
  <c r="T39" i="109"/>
  <c r="Z35" i="109"/>
  <c r="X51" i="68"/>
  <c r="Z51" i="68" s="1"/>
  <c r="P55" i="68"/>
  <c r="D64" i="76"/>
  <c r="L26" i="76"/>
  <c r="N26" i="76" s="1"/>
  <c r="X20" i="98"/>
  <c r="P31" i="46"/>
  <c r="X27" i="46"/>
  <c r="L50" i="69"/>
  <c r="D86" i="69"/>
  <c r="J45" i="74"/>
  <c r="N27" i="49"/>
  <c r="H31" i="49"/>
  <c r="Z26" i="86"/>
  <c r="T30" i="86"/>
  <c r="V26" i="86"/>
  <c r="Z27" i="52"/>
  <c r="T31" i="52"/>
  <c r="H231" i="15"/>
  <c r="J227" i="15"/>
  <c r="X27" i="40"/>
  <c r="P31" i="40"/>
  <c r="T61" i="48"/>
  <c r="V57" i="48"/>
  <c r="T101" i="71"/>
  <c r="Z50" i="71"/>
  <c r="P31" i="49"/>
  <c r="X27" i="49"/>
  <c r="F45" i="74"/>
  <c r="X27" i="22"/>
  <c r="P31" i="22"/>
  <c r="L27" i="38"/>
  <c r="D31" i="38"/>
  <c r="R43" i="51"/>
  <c r="D31" i="49"/>
  <c r="L27" i="49"/>
  <c r="R119" i="36"/>
  <c r="D53" i="60"/>
  <c r="L19" i="101"/>
  <c r="N19" i="101" s="1"/>
  <c r="D48" i="101"/>
  <c r="X27" i="47"/>
  <c r="P31" i="47"/>
  <c r="X46" i="60"/>
  <c r="Z46" i="60" s="1"/>
  <c r="P50" i="60"/>
  <c r="N27" i="7"/>
  <c r="H31" i="7"/>
  <c r="Z27" i="22"/>
  <c r="T31" i="22"/>
  <c r="N27" i="52"/>
  <c r="H31" i="52"/>
  <c r="X69" i="98"/>
  <c r="P73" i="98"/>
  <c r="R69" i="98"/>
  <c r="Z27" i="20"/>
  <c r="T31" i="20"/>
  <c r="H63" i="59"/>
  <c r="N59" i="59"/>
  <c r="T124" i="39"/>
  <c r="V120" i="39"/>
  <c r="Z27" i="112"/>
  <c r="T31" i="112"/>
  <c r="P75" i="106"/>
  <c r="X21" i="106"/>
  <c r="Z21" i="106" s="1"/>
  <c r="N27" i="38"/>
  <c r="H31" i="38"/>
  <c r="H88" i="51"/>
  <c r="J84" i="51"/>
  <c r="H86" i="96"/>
  <c r="J82" i="96"/>
  <c r="D31" i="34"/>
  <c r="L27" i="34"/>
  <c r="Z133" i="15"/>
  <c r="T227" i="15"/>
  <c r="X227" i="15" s="1"/>
  <c r="T72" i="70"/>
  <c r="V69" i="70"/>
  <c r="T31" i="7"/>
  <c r="Z27" i="7"/>
  <c r="L27" i="25"/>
  <c r="D31" i="25"/>
  <c r="H77" i="84"/>
  <c r="J73" i="84"/>
  <c r="V21" i="106"/>
  <c r="N27" i="8"/>
  <c r="H31" i="8"/>
  <c r="P31" i="32"/>
  <c r="X27" i="32"/>
  <c r="T86" i="69"/>
  <c r="Z50" i="69"/>
  <c r="L42" i="100"/>
  <c r="N42" i="100" s="1"/>
  <c r="D46" i="100"/>
  <c r="J17" i="110"/>
  <c r="X27" i="5"/>
  <c r="P31" i="5"/>
  <c r="P31" i="6"/>
  <c r="X31" i="6" s="1"/>
  <c r="X26" i="6"/>
  <c r="V46" i="75"/>
  <c r="L46" i="75"/>
  <c r="D90" i="75"/>
  <c r="D68" i="58"/>
  <c r="L64" i="58"/>
  <c r="N50" i="69"/>
  <c r="H86" i="69"/>
  <c r="V45" i="85"/>
  <c r="H31" i="5"/>
  <c r="N27" i="5"/>
  <c r="P31" i="37"/>
  <c r="X27" i="37"/>
  <c r="H104" i="24"/>
  <c r="N100" i="24"/>
  <c r="J100" i="24"/>
  <c r="Z27" i="42"/>
  <c r="T109" i="42"/>
  <c r="X27" i="42"/>
  <c r="H69" i="70"/>
  <c r="J65" i="70"/>
  <c r="X21" i="83"/>
  <c r="Z21" i="83" s="1"/>
  <c r="P27" i="83"/>
  <c r="H68" i="93"/>
  <c r="X24" i="107"/>
  <c r="Z24" i="107" s="1"/>
  <c r="P28" i="107"/>
  <c r="N27" i="14"/>
  <c r="H31" i="14"/>
  <c r="X27" i="112"/>
  <c r="P31" i="112"/>
  <c r="L28" i="36"/>
  <c r="N28" i="36" s="1"/>
  <c r="D112" i="36"/>
  <c r="T67" i="73"/>
  <c r="Z23" i="73"/>
  <c r="F26" i="76"/>
  <c r="T72" i="95"/>
  <c r="V68" i="95"/>
  <c r="Z73" i="84"/>
  <c r="T77" i="84"/>
  <c r="V73" i="84"/>
  <c r="D69" i="70"/>
  <c r="L65" i="70"/>
  <c r="N65" i="70" s="1"/>
  <c r="F65" i="70"/>
  <c r="H50" i="103"/>
  <c r="N46" i="103"/>
  <c r="H94" i="64"/>
  <c r="D227" i="15"/>
  <c r="L133" i="15"/>
  <c r="N133" i="15" s="1"/>
  <c r="X27" i="34"/>
  <c r="P31" i="34"/>
  <c r="P86" i="69"/>
  <c r="X50" i="69"/>
  <c r="L51" i="68"/>
  <c r="N51" i="68" s="1"/>
  <c r="D55" i="68"/>
  <c r="X24" i="79"/>
  <c r="Z24" i="79" s="1"/>
  <c r="P55" i="79"/>
  <c r="L35" i="109"/>
  <c r="D39" i="109"/>
  <c r="X27" i="11"/>
  <c r="P31" i="11"/>
  <c r="T80" i="33"/>
  <c r="V20" i="96"/>
  <c r="N27" i="13"/>
  <c r="H31" i="13"/>
  <c r="P31" i="53"/>
  <c r="X27" i="53"/>
  <c r="X27" i="29"/>
  <c r="P31" i="29"/>
  <c r="N35" i="109"/>
  <c r="H39" i="109"/>
  <c r="P61" i="48"/>
  <c r="X57" i="48"/>
  <c r="Z57" i="48" s="1"/>
  <c r="R57" i="48"/>
  <c r="L27" i="4"/>
  <c r="D31" i="4"/>
  <c r="L27" i="111"/>
  <c r="D31" i="111"/>
  <c r="P69" i="74"/>
  <c r="X45" i="74"/>
  <c r="Z45" i="74" s="1"/>
  <c r="T100" i="21"/>
  <c r="V96" i="21"/>
  <c r="X27" i="23"/>
  <c r="P31" i="23"/>
  <c r="H64" i="48"/>
  <c r="J61" i="48"/>
  <c r="X61" i="94"/>
  <c r="Z61" i="94" s="1"/>
  <c r="P65" i="94"/>
  <c r="R61" i="94"/>
  <c r="Z27" i="28"/>
  <c r="T31" i="28"/>
  <c r="L235" i="12"/>
  <c r="N235" i="12" s="1"/>
  <c r="D239" i="12"/>
  <c r="F235" i="12"/>
  <c r="N27" i="17"/>
  <c r="H31" i="17"/>
  <c r="X50" i="71"/>
  <c r="P101" i="71"/>
  <c r="H60" i="80"/>
  <c r="T31" i="23"/>
  <c r="Z27" i="23"/>
  <c r="L27" i="29"/>
  <c r="D31" i="29"/>
  <c r="H31" i="112"/>
  <c r="N27" i="112"/>
  <c r="P60" i="80"/>
  <c r="X20" i="80"/>
  <c r="Z20" i="80" s="1"/>
  <c r="Z27" i="41"/>
  <c r="T31" i="41"/>
  <c r="X27" i="19"/>
  <c r="P31" i="19"/>
  <c r="H120" i="39"/>
  <c r="L120" i="39" s="1"/>
  <c r="N33" i="39"/>
  <c r="T64" i="80"/>
  <c r="V60" i="80"/>
  <c r="T31" i="43"/>
  <c r="Z27" i="43"/>
  <c r="J21" i="45"/>
  <c r="N22" i="54"/>
  <c r="H26" i="54"/>
  <c r="J46" i="75"/>
  <c r="D82" i="96"/>
  <c r="L20" i="96"/>
  <c r="N20" i="96" s="1"/>
  <c r="F20" i="96"/>
  <c r="Z27" i="5"/>
  <c r="T31" i="5"/>
  <c r="H31" i="34"/>
  <c r="N27" i="34"/>
  <c r="L22" i="54"/>
  <c r="D26" i="54"/>
  <c r="T46" i="100"/>
  <c r="Z42" i="100"/>
  <c r="X27" i="14"/>
  <c r="P31" i="14"/>
  <c r="D31" i="113"/>
  <c r="L27" i="113"/>
  <c r="T31" i="8"/>
  <c r="Z27" i="8"/>
  <c r="Z27" i="50"/>
  <c r="T31" i="50"/>
  <c r="P106" i="27"/>
  <c r="X102" i="27"/>
  <c r="R102" i="27"/>
  <c r="L57" i="48"/>
  <c r="N57" i="48" s="1"/>
  <c r="D61" i="48"/>
  <c r="F57" i="48"/>
  <c r="P102" i="85"/>
  <c r="X45" i="85"/>
  <c r="Z45" i="85" s="1"/>
  <c r="H68" i="58"/>
  <c r="N64" i="58"/>
  <c r="L27" i="31"/>
  <c r="D31" i="31"/>
  <c r="T77" i="108"/>
  <c r="L65" i="56"/>
  <c r="N65" i="56" s="1"/>
  <c r="D69" i="56"/>
  <c r="Z27" i="10"/>
  <c r="T31" i="10"/>
  <c r="T31" i="37"/>
  <c r="Z27" i="37"/>
  <c r="T31" i="6"/>
  <c r="Z26" i="6"/>
  <c r="H96" i="21"/>
  <c r="N26" i="21"/>
  <c r="D71" i="73"/>
  <c r="L67" i="73"/>
  <c r="F67" i="73"/>
  <c r="H72" i="95"/>
  <c r="J68" i="95"/>
  <c r="R20" i="81"/>
  <c r="H75" i="106"/>
  <c r="N21" i="106"/>
  <c r="J20" i="80"/>
  <c r="X27" i="20"/>
  <c r="P31" i="20"/>
  <c r="X27" i="26"/>
  <c r="P31" i="26"/>
  <c r="X27" i="113"/>
  <c r="P31" i="113"/>
  <c r="L56" i="57"/>
  <c r="N56" i="57" s="1"/>
  <c r="D60" i="57"/>
  <c r="L20" i="81"/>
  <c r="N20" i="81" s="1"/>
  <c r="D69" i="81"/>
  <c r="F50" i="69"/>
  <c r="Z28" i="36"/>
  <c r="T112" i="36"/>
  <c r="X28" i="36"/>
  <c r="D94" i="64"/>
  <c r="L90" i="64"/>
  <c r="N90" i="64" s="1"/>
  <c r="Z271" i="3"/>
  <c r="T275" i="3"/>
  <c r="V271" i="3"/>
  <c r="H101" i="71"/>
  <c r="N53" i="89"/>
  <c r="H57" i="89"/>
  <c r="P86" i="96"/>
  <c r="X82" i="96"/>
  <c r="R82" i="96"/>
  <c r="X39" i="109"/>
  <c r="P42" i="109"/>
  <c r="P31" i="8"/>
  <c r="X27" i="8"/>
  <c r="D31" i="47"/>
  <c r="L27" i="47"/>
  <c r="N27" i="42"/>
  <c r="H109" i="42"/>
  <c r="P51" i="61"/>
  <c r="X47" i="61"/>
  <c r="Z47" i="61" s="1"/>
  <c r="H69" i="98"/>
  <c r="L69" i="98" s="1"/>
  <c r="N20" i="98"/>
  <c r="L27" i="8"/>
  <c r="D31" i="8"/>
  <c r="X34" i="33"/>
  <c r="Z34" i="33" s="1"/>
  <c r="P80" i="33"/>
  <c r="H37" i="55"/>
  <c r="D77" i="84"/>
  <c r="L73" i="84"/>
  <c r="N73" i="84" s="1"/>
  <c r="F73" i="84"/>
  <c r="X27" i="111"/>
  <c r="P31" i="111"/>
  <c r="H80" i="33"/>
  <c r="P72" i="95"/>
  <c r="X68" i="95"/>
  <c r="Z68" i="95" s="1"/>
  <c r="R68" i="95"/>
  <c r="Z27" i="49"/>
  <c r="T31" i="49"/>
  <c r="D31" i="11"/>
  <c r="L27" i="11"/>
  <c r="P31" i="43"/>
  <c r="X27" i="43"/>
  <c r="V43" i="51"/>
  <c r="V20" i="98"/>
  <c r="D31" i="20"/>
  <c r="L27" i="20"/>
  <c r="L23" i="73"/>
  <c r="N23" i="73" s="1"/>
  <c r="D31" i="43"/>
  <c r="L27" i="43"/>
  <c r="N27" i="22"/>
  <c r="H31" i="22"/>
  <c r="N27" i="40"/>
  <c r="H31" i="40"/>
  <c r="H59" i="79"/>
  <c r="N55" i="79"/>
  <c r="J55" i="79"/>
  <c r="T64" i="76"/>
  <c r="Z26" i="76"/>
  <c r="N27" i="16"/>
  <c r="H31" i="16"/>
  <c r="L30" i="55"/>
  <c r="N30" i="55" s="1"/>
  <c r="D34" i="55"/>
  <c r="P26" i="99"/>
  <c r="X22" i="99"/>
  <c r="T31" i="29"/>
  <c r="Z27" i="29"/>
  <c r="Z27" i="111"/>
  <c r="T31" i="111"/>
  <c r="Z68" i="93"/>
  <c r="T72" i="93"/>
  <c r="V68" i="93"/>
  <c r="N22" i="99"/>
  <c r="H26" i="99"/>
  <c r="D70" i="108"/>
  <c r="L20" i="108"/>
  <c r="N20" i="108" s="1"/>
  <c r="F17" i="110"/>
  <c r="D73" i="98"/>
  <c r="F69" i="98"/>
  <c r="N47" i="61"/>
  <c r="H51" i="61"/>
  <c r="N27" i="28"/>
  <c r="H31" i="28"/>
  <c r="Z89" i="9"/>
  <c r="T93" i="9"/>
  <c r="T31" i="35"/>
  <c r="Z27" i="35"/>
  <c r="L50" i="71"/>
  <c r="N50" i="71" s="1"/>
  <c r="D101" i="71"/>
  <c r="R24" i="79"/>
  <c r="H63" i="57"/>
  <c r="P84" i="77"/>
  <c r="X43" i="77"/>
  <c r="Z43" i="77" s="1"/>
  <c r="D106" i="85"/>
  <c r="L102" i="85"/>
  <c r="N102" i="85" s="1"/>
  <c r="F102" i="85"/>
  <c r="D77" i="104"/>
  <c r="L73" i="104"/>
  <c r="N73" i="104" s="1"/>
  <c r="F73" i="104"/>
  <c r="P90" i="75"/>
  <c r="X46" i="75"/>
  <c r="Z46" i="75" s="1"/>
  <c r="D31" i="83"/>
  <c r="L27" i="83"/>
  <c r="F27" i="83"/>
  <c r="L19" i="93"/>
  <c r="N19" i="93" s="1"/>
  <c r="D68" i="93"/>
  <c r="D31" i="35"/>
  <c r="L27" i="35"/>
  <c r="H73" i="102"/>
  <c r="N69" i="102"/>
  <c r="J69" i="102"/>
  <c r="X73" i="104"/>
  <c r="Z73" i="104" s="1"/>
  <c r="P77" i="104"/>
  <c r="R73" i="104"/>
  <c r="D80" i="33"/>
  <c r="L34" i="33"/>
  <c r="N34" i="33" s="1"/>
  <c r="H31" i="19"/>
  <c r="N27" i="19"/>
  <c r="T31" i="31"/>
  <c r="Z27" i="31"/>
  <c r="T60" i="57"/>
  <c r="Z56" i="57"/>
  <c r="R45" i="85"/>
  <c r="X53" i="89"/>
  <c r="Z53" i="89" s="1"/>
  <c r="L27" i="52"/>
  <c r="D31" i="52"/>
  <c r="N27" i="111"/>
  <c r="H31" i="111"/>
  <c r="X65" i="70"/>
  <c r="Z65" i="70" s="1"/>
  <c r="P69" i="70"/>
  <c r="R65" i="70"/>
  <c r="Z27" i="13"/>
  <c r="T31" i="13"/>
  <c r="N27" i="41"/>
  <c r="H31" i="41"/>
  <c r="N43" i="77"/>
  <c r="H84" i="77"/>
  <c r="L27" i="37"/>
  <c r="D31" i="37"/>
  <c r="F43" i="51"/>
  <c r="L76" i="88"/>
  <c r="N76" i="88" s="1"/>
  <c r="D80" i="88"/>
  <c r="F76" i="88"/>
  <c r="F19" i="101"/>
  <c r="X20" i="88"/>
  <c r="P76" i="88"/>
  <c r="D31" i="53"/>
  <c r="L27" i="53"/>
  <c r="Z46" i="103"/>
  <c r="T50" i="103"/>
  <c r="X50" i="103" s="1"/>
  <c r="P31" i="16"/>
  <c r="X27" i="16"/>
  <c r="N249" i="18"/>
  <c r="H253" i="18"/>
  <c r="J249" i="18"/>
  <c r="T80" i="88"/>
  <c r="L20" i="95"/>
  <c r="N20" i="95" s="1"/>
  <c r="D68" i="95"/>
  <c r="P124" i="39"/>
  <c r="X120" i="39"/>
  <c r="Z120" i="39" s="1"/>
  <c r="R120" i="39"/>
  <c r="P72" i="70" l="1"/>
  <c r="X69" i="70"/>
  <c r="Z69" i="70" s="1"/>
  <c r="R69" i="70"/>
  <c r="X65" i="94"/>
  <c r="P68" i="94"/>
  <c r="R65" i="94"/>
  <c r="L90" i="75"/>
  <c r="D94" i="75"/>
  <c r="F90" i="75"/>
  <c r="X69" i="81"/>
  <c r="Z69" i="81" s="1"/>
  <c r="P73" i="81"/>
  <c r="R69" i="81"/>
  <c r="Z31" i="17"/>
  <c r="T36" i="17"/>
  <c r="Z36" i="17" s="1"/>
  <c r="L31" i="41"/>
  <c r="D36" i="41"/>
  <c r="T242" i="12"/>
  <c r="V239" i="12"/>
  <c r="X53" i="103"/>
  <c r="T79" i="106"/>
  <c r="V75" i="106"/>
  <c r="P36" i="44"/>
  <c r="X31" i="44"/>
  <c r="L31" i="44"/>
  <c r="D36" i="44"/>
  <c r="X61" i="110"/>
  <c r="P64" i="110"/>
  <c r="R61" i="110"/>
  <c r="H36" i="19"/>
  <c r="N36" i="19" s="1"/>
  <c r="N31" i="19"/>
  <c r="Z72" i="93"/>
  <c r="T75" i="93"/>
  <c r="V72" i="93"/>
  <c r="N31" i="16"/>
  <c r="H36" i="16"/>
  <c r="N36" i="16" s="1"/>
  <c r="D36" i="43"/>
  <c r="L31" i="43"/>
  <c r="H105" i="71"/>
  <c r="J101" i="71"/>
  <c r="Z31" i="6"/>
  <c r="H71" i="58"/>
  <c r="T36" i="8"/>
  <c r="Z36" i="8" s="1"/>
  <c r="Z31" i="8"/>
  <c r="H36" i="34"/>
  <c r="N36" i="34" s="1"/>
  <c r="N31" i="34"/>
  <c r="P64" i="80"/>
  <c r="X60" i="80"/>
  <c r="Z60" i="80" s="1"/>
  <c r="R60" i="80"/>
  <c r="X69" i="74"/>
  <c r="Z69" i="74" s="1"/>
  <c r="P73" i="74"/>
  <c r="R69" i="74"/>
  <c r="T84" i="33"/>
  <c r="V80" i="33"/>
  <c r="D72" i="70"/>
  <c r="L69" i="70"/>
  <c r="F69" i="70"/>
  <c r="D36" i="25"/>
  <c r="L31" i="25"/>
  <c r="H89" i="96"/>
  <c r="J86" i="96"/>
  <c r="T127" i="39"/>
  <c r="V124" i="39"/>
  <c r="T94" i="75"/>
  <c r="V90" i="75"/>
  <c r="P66" i="59"/>
  <c r="X66" i="59" s="1"/>
  <c r="Z66" i="59" s="1"/>
  <c r="X63" i="59"/>
  <c r="Z63" i="59" s="1"/>
  <c r="N31" i="44"/>
  <c r="H36" i="44"/>
  <c r="N36" i="44" s="1"/>
  <c r="L31" i="19"/>
  <c r="D36" i="19"/>
  <c r="T73" i="98"/>
  <c r="Z69" i="98"/>
  <c r="V69" i="98"/>
  <c r="X31" i="13"/>
  <c r="P36" i="13"/>
  <c r="L60" i="80"/>
  <c r="D64" i="80"/>
  <c r="F60" i="80"/>
  <c r="P88" i="51"/>
  <c r="X84" i="51"/>
  <c r="Z84" i="51" s="1"/>
  <c r="R84" i="51"/>
  <c r="L57" i="89"/>
  <c r="D60" i="89"/>
  <c r="N67" i="73"/>
  <c r="H71" i="73"/>
  <c r="J67" i="73"/>
  <c r="Z58" i="68"/>
  <c r="L31" i="50"/>
  <c r="D36" i="50"/>
  <c r="D88" i="77"/>
  <c r="L84" i="77"/>
  <c r="F84" i="77"/>
  <c r="D85" i="92"/>
  <c r="L85" i="92" s="1"/>
  <c r="L82" i="92"/>
  <c r="N82" i="92" s="1"/>
  <c r="N31" i="113"/>
  <c r="H36" i="113"/>
  <c r="N36" i="113" s="1"/>
  <c r="H72" i="56"/>
  <c r="T71" i="58"/>
  <c r="L63" i="59"/>
  <c r="D66" i="59"/>
  <c r="T71" i="73"/>
  <c r="Z67" i="73"/>
  <c r="V67" i="73"/>
  <c r="P36" i="16"/>
  <c r="X31" i="16"/>
  <c r="L31" i="37"/>
  <c r="D36" i="37"/>
  <c r="N31" i="111"/>
  <c r="H36" i="111"/>
  <c r="N36" i="111" s="1"/>
  <c r="X84" i="77"/>
  <c r="P88" i="77"/>
  <c r="R84" i="77"/>
  <c r="H54" i="61"/>
  <c r="D63" i="57"/>
  <c r="L63" i="57" s="1"/>
  <c r="L60" i="57"/>
  <c r="N60" i="57" s="1"/>
  <c r="H79" i="106"/>
  <c r="J75" i="106"/>
  <c r="Z31" i="5"/>
  <c r="T36" i="5"/>
  <c r="Z36" i="5" s="1"/>
  <c r="T67" i="80"/>
  <c r="V64" i="80"/>
  <c r="N31" i="17"/>
  <c r="H36" i="17"/>
  <c r="N36" i="17" s="1"/>
  <c r="L31" i="111"/>
  <c r="D36" i="111"/>
  <c r="P36" i="53"/>
  <c r="X31" i="53"/>
  <c r="X27" i="83"/>
  <c r="Z27" i="83" s="1"/>
  <c r="P31" i="83"/>
  <c r="R27" i="83"/>
  <c r="P36" i="37"/>
  <c r="X31" i="37"/>
  <c r="Z31" i="22"/>
  <c r="T36" i="22"/>
  <c r="Z36" i="22" s="1"/>
  <c r="H36" i="49"/>
  <c r="N36" i="49" s="1"/>
  <c r="N31" i="49"/>
  <c r="X55" i="68"/>
  <c r="Z55" i="68" s="1"/>
  <c r="P58" i="68"/>
  <c r="X58" i="68" s="1"/>
  <c r="Z65" i="94"/>
  <c r="T68" i="94"/>
  <c r="V65" i="94"/>
  <c r="T38" i="105"/>
  <c r="N31" i="26"/>
  <c r="H36" i="26"/>
  <c r="N36" i="26" s="1"/>
  <c r="H61" i="110"/>
  <c r="J57" i="110"/>
  <c r="Z26" i="54"/>
  <c r="T31" i="54"/>
  <c r="X26" i="54"/>
  <c r="P36" i="52"/>
  <c r="X31" i="52"/>
  <c r="X72" i="93"/>
  <c r="P75" i="93"/>
  <c r="R72" i="93"/>
  <c r="Z31" i="53"/>
  <c r="T36" i="53"/>
  <c r="Z36" i="53" s="1"/>
  <c r="P100" i="21"/>
  <c r="X96" i="21"/>
  <c r="Z96" i="21" s="1"/>
  <c r="R96" i="21"/>
  <c r="D127" i="39"/>
  <c r="F124" i="39"/>
  <c r="L50" i="103"/>
  <c r="D53" i="103"/>
  <c r="T104" i="24"/>
  <c r="V100" i="24"/>
  <c r="H36" i="37"/>
  <c r="N36" i="37" s="1"/>
  <c r="N31" i="37"/>
  <c r="H113" i="42"/>
  <c r="J109" i="42"/>
  <c r="P105" i="71"/>
  <c r="X101" i="71"/>
  <c r="R101" i="71"/>
  <c r="H72" i="93"/>
  <c r="J68" i="93"/>
  <c r="H52" i="101"/>
  <c r="Z50" i="103"/>
  <c r="T53" i="103"/>
  <c r="L80" i="33"/>
  <c r="N80" i="33" s="1"/>
  <c r="D84" i="33"/>
  <c r="F80" i="33"/>
  <c r="T36" i="37"/>
  <c r="Z36" i="37" s="1"/>
  <c r="Z31" i="37"/>
  <c r="D36" i="113"/>
  <c r="L31" i="113"/>
  <c r="J64" i="48"/>
  <c r="N31" i="13"/>
  <c r="H36" i="13"/>
  <c r="N36" i="13" s="1"/>
  <c r="X31" i="11"/>
  <c r="P36" i="11"/>
  <c r="T80" i="84"/>
  <c r="V77" i="84"/>
  <c r="T106" i="85"/>
  <c r="V102" i="85"/>
  <c r="Z31" i="44"/>
  <c r="T36" i="44"/>
  <c r="Z36" i="44" s="1"/>
  <c r="P239" i="12"/>
  <c r="X235" i="12"/>
  <c r="Z235" i="12" s="1"/>
  <c r="R235" i="12"/>
  <c r="P36" i="17"/>
  <c r="X31" i="17"/>
  <c r="L31" i="28"/>
  <c r="D36" i="28"/>
  <c r="X31" i="4"/>
  <c r="P36" i="4"/>
  <c r="X104" i="24"/>
  <c r="P107" i="24"/>
  <c r="R104" i="24"/>
  <c r="H36" i="20"/>
  <c r="N36" i="20" s="1"/>
  <c r="N31" i="20"/>
  <c r="X31" i="31"/>
  <c r="P36" i="31"/>
  <c r="T37" i="55"/>
  <c r="X34" i="55"/>
  <c r="Z34" i="55" s="1"/>
  <c r="P33" i="86"/>
  <c r="X30" i="86"/>
  <c r="Z30" i="86" s="1"/>
  <c r="R30" i="86"/>
  <c r="P36" i="41"/>
  <c r="X31" i="41"/>
  <c r="T34" i="83"/>
  <c r="V31" i="83"/>
  <c r="N31" i="4"/>
  <c r="H36" i="4"/>
  <c r="N36" i="4" s="1"/>
  <c r="Z31" i="4"/>
  <c r="T36" i="4"/>
  <c r="Z36" i="4" s="1"/>
  <c r="X71" i="58"/>
  <c r="H107" i="24"/>
  <c r="J104" i="24"/>
  <c r="H36" i="52"/>
  <c r="N36" i="52" s="1"/>
  <c r="N31" i="52"/>
  <c r="T33" i="86"/>
  <c r="V30" i="86"/>
  <c r="P75" i="95"/>
  <c r="X72" i="95"/>
  <c r="R72" i="95"/>
  <c r="D36" i="47"/>
  <c r="L31" i="47"/>
  <c r="X102" i="85"/>
  <c r="Z102" i="85" s="1"/>
  <c r="P106" i="85"/>
  <c r="R102" i="85"/>
  <c r="H36" i="112"/>
  <c r="N36" i="112" s="1"/>
  <c r="N31" i="112"/>
  <c r="P36" i="34"/>
  <c r="X31" i="34"/>
  <c r="H88" i="77"/>
  <c r="N84" i="77"/>
  <c r="J84" i="77"/>
  <c r="D36" i="52"/>
  <c r="L31" i="52"/>
  <c r="L31" i="83"/>
  <c r="D34" i="83"/>
  <c r="F31" i="83"/>
  <c r="N63" i="57"/>
  <c r="T68" i="76"/>
  <c r="V64" i="76"/>
  <c r="D36" i="20"/>
  <c r="L31" i="20"/>
  <c r="P84" i="33"/>
  <c r="X80" i="33"/>
  <c r="Z80" i="33" s="1"/>
  <c r="R80" i="33"/>
  <c r="T280" i="3"/>
  <c r="V275" i="3"/>
  <c r="X31" i="113"/>
  <c r="P36" i="113"/>
  <c r="Z31" i="10"/>
  <c r="T36" i="10"/>
  <c r="Z36" i="10" s="1"/>
  <c r="X31" i="14"/>
  <c r="P36" i="14"/>
  <c r="L31" i="29"/>
  <c r="D36" i="29"/>
  <c r="L31" i="4"/>
  <c r="D36" i="4"/>
  <c r="L112" i="36"/>
  <c r="D116" i="36"/>
  <c r="F112" i="36"/>
  <c r="H36" i="5"/>
  <c r="N36" i="5" s="1"/>
  <c r="N31" i="5"/>
  <c r="T90" i="69"/>
  <c r="Z86" i="69"/>
  <c r="V86" i="69"/>
  <c r="T36" i="7"/>
  <c r="Z36" i="7" s="1"/>
  <c r="Z31" i="7"/>
  <c r="N31" i="7"/>
  <c r="H36" i="7"/>
  <c r="N36" i="7" s="1"/>
  <c r="P36" i="49"/>
  <c r="X31" i="49"/>
  <c r="H234" i="15"/>
  <c r="J231" i="15"/>
  <c r="L31" i="13"/>
  <c r="D36" i="13"/>
  <c r="H94" i="75"/>
  <c r="N90" i="75"/>
  <c r="J90" i="75"/>
  <c r="H36" i="10"/>
  <c r="N36" i="10" s="1"/>
  <c r="N31" i="10"/>
  <c r="P68" i="76"/>
  <c r="X64" i="76"/>
  <c r="Z64" i="76" s="1"/>
  <c r="R64" i="76"/>
  <c r="Z61" i="110"/>
  <c r="T64" i="110"/>
  <c r="V61" i="110"/>
  <c r="T31" i="107"/>
  <c r="X31" i="7"/>
  <c r="P36" i="7"/>
  <c r="H58" i="68"/>
  <c r="L31" i="14"/>
  <c r="D36" i="14"/>
  <c r="X100" i="24"/>
  <c r="Z100" i="24" s="1"/>
  <c r="L31" i="16"/>
  <c r="D36" i="16"/>
  <c r="T36" i="40"/>
  <c r="Z36" i="40" s="1"/>
  <c r="Z31" i="40"/>
  <c r="H68" i="94"/>
  <c r="J65" i="94"/>
  <c r="T62" i="79"/>
  <c r="V59" i="79"/>
  <c r="Z31" i="46"/>
  <c r="T36" i="46"/>
  <c r="Z36" i="46" s="1"/>
  <c r="N31" i="31"/>
  <c r="H36" i="31"/>
  <c r="N36" i="31" s="1"/>
  <c r="X68" i="58"/>
  <c r="Z68" i="58" s="1"/>
  <c r="D72" i="93"/>
  <c r="L68" i="93"/>
  <c r="N68" i="93" s="1"/>
  <c r="F68" i="93"/>
  <c r="T36" i="43"/>
  <c r="Z36" i="43" s="1"/>
  <c r="Z31" i="43"/>
  <c r="H80" i="84"/>
  <c r="J77" i="84"/>
  <c r="J80" i="104"/>
  <c r="X77" i="104"/>
  <c r="Z77" i="104" s="1"/>
  <c r="P80" i="104"/>
  <c r="R77" i="104"/>
  <c r="D76" i="98"/>
  <c r="F73" i="98"/>
  <c r="Z31" i="111"/>
  <c r="T36" i="111"/>
  <c r="Z36" i="111" s="1"/>
  <c r="H84" i="33"/>
  <c r="J80" i="33"/>
  <c r="P36" i="8"/>
  <c r="X31" i="8"/>
  <c r="H75" i="95"/>
  <c r="J72" i="95"/>
  <c r="D64" i="48"/>
  <c r="L61" i="48"/>
  <c r="N61" i="48" s="1"/>
  <c r="F61" i="48"/>
  <c r="N120" i="39"/>
  <c r="H124" i="39"/>
  <c r="J120" i="39"/>
  <c r="X31" i="23"/>
  <c r="P36" i="23"/>
  <c r="L39" i="109"/>
  <c r="N39" i="109" s="1"/>
  <c r="D42" i="109"/>
  <c r="H91" i="51"/>
  <c r="J88" i="51"/>
  <c r="D36" i="49"/>
  <c r="L31" i="49"/>
  <c r="T36" i="52"/>
  <c r="Z36" i="52" s="1"/>
  <c r="Z31" i="52"/>
  <c r="D90" i="69"/>
  <c r="L86" i="69"/>
  <c r="F86" i="69"/>
  <c r="T42" i="109"/>
  <c r="Z39" i="109"/>
  <c r="L26" i="6"/>
  <c r="D31" i="6"/>
  <c r="H87" i="45"/>
  <c r="J83" i="45"/>
  <c r="H109" i="27"/>
  <c r="J106" i="27"/>
  <c r="T97" i="64"/>
  <c r="Z94" i="64"/>
  <c r="P130" i="30"/>
  <c r="R127" i="30"/>
  <c r="H242" i="12"/>
  <c r="J239" i="12"/>
  <c r="L31" i="22"/>
  <c r="D36" i="22"/>
  <c r="L31" i="26"/>
  <c r="D36" i="26"/>
  <c r="N85" i="92"/>
  <c r="L83" i="45"/>
  <c r="N83" i="45" s="1"/>
  <c r="D87" i="45"/>
  <c r="F83" i="45"/>
  <c r="P36" i="25"/>
  <c r="X31" i="25"/>
  <c r="N123" i="30"/>
  <c r="H127" i="30"/>
  <c r="J123" i="30"/>
  <c r="P36" i="38"/>
  <c r="X31" i="38"/>
  <c r="T76" i="102"/>
  <c r="V73" i="102"/>
  <c r="H49" i="100"/>
  <c r="P234" i="15"/>
  <c r="R231" i="15"/>
  <c r="L31" i="7"/>
  <c r="D36" i="7"/>
  <c r="H96" i="9"/>
  <c r="N93" i="9"/>
  <c r="T85" i="92"/>
  <c r="D73" i="81"/>
  <c r="L69" i="81"/>
  <c r="F69" i="81"/>
  <c r="P127" i="39"/>
  <c r="X124" i="39"/>
  <c r="Z124" i="39" s="1"/>
  <c r="R124" i="39"/>
  <c r="D72" i="95"/>
  <c r="L68" i="95"/>
  <c r="N68" i="95" s="1"/>
  <c r="F68" i="95"/>
  <c r="D36" i="53"/>
  <c r="L31" i="53"/>
  <c r="P94" i="75"/>
  <c r="X90" i="75"/>
  <c r="Z90" i="75" s="1"/>
  <c r="R90" i="75"/>
  <c r="D105" i="71"/>
  <c r="L101" i="71"/>
  <c r="N101" i="71" s="1"/>
  <c r="F101" i="71"/>
  <c r="X31" i="111"/>
  <c r="P36" i="111"/>
  <c r="L31" i="8"/>
  <c r="D36" i="8"/>
  <c r="X42" i="109"/>
  <c r="X31" i="26"/>
  <c r="P36" i="26"/>
  <c r="L69" i="56"/>
  <c r="N69" i="56" s="1"/>
  <c r="D72" i="56"/>
  <c r="L72" i="56" s="1"/>
  <c r="D86" i="96"/>
  <c r="L82" i="96"/>
  <c r="N82" i="96" s="1"/>
  <c r="F82" i="96"/>
  <c r="X31" i="19"/>
  <c r="P36" i="19"/>
  <c r="D231" i="15"/>
  <c r="L227" i="15"/>
  <c r="N227" i="15" s="1"/>
  <c r="F227" i="15"/>
  <c r="T75" i="95"/>
  <c r="Z72" i="95"/>
  <c r="V72" i="95"/>
  <c r="X31" i="112"/>
  <c r="P36" i="112"/>
  <c r="H72" i="70"/>
  <c r="N69" i="70"/>
  <c r="J69" i="70"/>
  <c r="P36" i="32"/>
  <c r="X31" i="32"/>
  <c r="N31" i="38"/>
  <c r="H36" i="38"/>
  <c r="N36" i="38" s="1"/>
  <c r="N63" i="59"/>
  <c r="H66" i="59"/>
  <c r="P53" i="60"/>
  <c r="X53" i="60" s="1"/>
  <c r="Z53" i="60" s="1"/>
  <c r="X50" i="60"/>
  <c r="Z50" i="60" s="1"/>
  <c r="T105" i="71"/>
  <c r="Z101" i="71"/>
  <c r="V101" i="71"/>
  <c r="Z57" i="89"/>
  <c r="T60" i="89"/>
  <c r="X60" i="89" s="1"/>
  <c r="L104" i="24"/>
  <c r="N104" i="24" s="1"/>
  <c r="T253" i="18"/>
  <c r="Z249" i="18"/>
  <c r="V249" i="18"/>
  <c r="N31" i="50"/>
  <c r="H36" i="50"/>
  <c r="N36" i="50" s="1"/>
  <c r="H83" i="88"/>
  <c r="P97" i="64"/>
  <c r="X97" i="64" s="1"/>
  <c r="X94" i="64"/>
  <c r="L31" i="40"/>
  <c r="D36" i="40"/>
  <c r="J33" i="86"/>
  <c r="D73" i="74"/>
  <c r="L69" i="74"/>
  <c r="F69" i="74"/>
  <c r="P90" i="69"/>
  <c r="X86" i="69"/>
  <c r="R86" i="69"/>
  <c r="P80" i="88"/>
  <c r="X76" i="88"/>
  <c r="Z76" i="88" s="1"/>
  <c r="R76" i="88"/>
  <c r="N31" i="41"/>
  <c r="H36" i="41"/>
  <c r="N36" i="41" s="1"/>
  <c r="H62" i="79"/>
  <c r="J59" i="79"/>
  <c r="L94" i="64"/>
  <c r="N94" i="64" s="1"/>
  <c r="D97" i="64"/>
  <c r="T49" i="100"/>
  <c r="T36" i="23"/>
  <c r="Z36" i="23" s="1"/>
  <c r="Z31" i="23"/>
  <c r="L239" i="12"/>
  <c r="N239" i="12" s="1"/>
  <c r="D242" i="12"/>
  <c r="F239" i="12"/>
  <c r="P59" i="79"/>
  <c r="X55" i="79"/>
  <c r="Z55" i="79" s="1"/>
  <c r="R55" i="79"/>
  <c r="N31" i="8"/>
  <c r="H36" i="8"/>
  <c r="N36" i="8" s="1"/>
  <c r="V72" i="70"/>
  <c r="Z31" i="20"/>
  <c r="T36" i="20"/>
  <c r="Z36" i="20" s="1"/>
  <c r="P71" i="73"/>
  <c r="X67" i="73"/>
  <c r="R67" i="73"/>
  <c r="Z82" i="96"/>
  <c r="T86" i="96"/>
  <c r="V82" i="96"/>
  <c r="L107" i="24"/>
  <c r="F107" i="24"/>
  <c r="T106" i="27"/>
  <c r="Z102" i="27"/>
  <c r="V102" i="27"/>
  <c r="H31" i="83"/>
  <c r="N27" i="83"/>
  <c r="J27" i="83"/>
  <c r="T90" i="45"/>
  <c r="V87" i="45"/>
  <c r="L79" i="106"/>
  <c r="D82" i="106"/>
  <c r="F79" i="106"/>
  <c r="X77" i="84"/>
  <c r="Z77" i="84" s="1"/>
  <c r="P80" i="84"/>
  <c r="R77" i="84"/>
  <c r="H36" i="46"/>
  <c r="N36" i="46" s="1"/>
  <c r="N31" i="46"/>
  <c r="L28" i="107"/>
  <c r="N28" i="107" s="1"/>
  <c r="D31" i="107"/>
  <c r="L31" i="107" s="1"/>
  <c r="N31" i="107" s="1"/>
  <c r="V76" i="74"/>
  <c r="X83" i="45"/>
  <c r="Z83" i="45" s="1"/>
  <c r="P87" i="45"/>
  <c r="R83" i="45"/>
  <c r="X93" i="9"/>
  <c r="P96" i="9"/>
  <c r="X96" i="9" s="1"/>
  <c r="Z31" i="113"/>
  <c r="T36" i="113"/>
  <c r="Z36" i="113" s="1"/>
  <c r="T36" i="29"/>
  <c r="Z36" i="29" s="1"/>
  <c r="Z31" i="29"/>
  <c r="N31" i="40"/>
  <c r="H36" i="40"/>
  <c r="N36" i="40" s="1"/>
  <c r="P36" i="43"/>
  <c r="X31" i="43"/>
  <c r="X31" i="20"/>
  <c r="P36" i="20"/>
  <c r="N26" i="54"/>
  <c r="H31" i="54"/>
  <c r="Z31" i="41"/>
  <c r="T36" i="41"/>
  <c r="Z36" i="41" s="1"/>
  <c r="X61" i="48"/>
  <c r="Z61" i="48" s="1"/>
  <c r="P64" i="48"/>
  <c r="R61" i="48"/>
  <c r="H97" i="64"/>
  <c r="N31" i="14"/>
  <c r="H36" i="14"/>
  <c r="N36" i="14" s="1"/>
  <c r="T113" i="42"/>
  <c r="V109" i="42"/>
  <c r="X109" i="42"/>
  <c r="Z109" i="42" s="1"/>
  <c r="N86" i="69"/>
  <c r="H90" i="69"/>
  <c r="J86" i="69"/>
  <c r="X31" i="5"/>
  <c r="P36" i="5"/>
  <c r="Z227" i="15"/>
  <c r="T231" i="15"/>
  <c r="X231" i="15" s="1"/>
  <c r="V227" i="15"/>
  <c r="X31" i="47"/>
  <c r="P36" i="47"/>
  <c r="L31" i="38"/>
  <c r="D36" i="38"/>
  <c r="P36" i="46"/>
  <c r="X31" i="46"/>
  <c r="X82" i="92"/>
  <c r="Z82" i="92" s="1"/>
  <c r="P85" i="92"/>
  <c r="T36" i="16"/>
  <c r="Z36" i="16" s="1"/>
  <c r="Z31" i="16"/>
  <c r="D61" i="110"/>
  <c r="L57" i="110"/>
  <c r="N57" i="110" s="1"/>
  <c r="F57" i="110"/>
  <c r="X31" i="50"/>
  <c r="P36" i="50"/>
  <c r="H36" i="53"/>
  <c r="N36" i="53" s="1"/>
  <c r="N31" i="53"/>
  <c r="L75" i="106"/>
  <c r="N75" i="106" s="1"/>
  <c r="T88" i="51"/>
  <c r="V84" i="51"/>
  <c r="P49" i="100"/>
  <c r="X46" i="100"/>
  <c r="Z46" i="100" s="1"/>
  <c r="N31" i="47"/>
  <c r="H36" i="47"/>
  <c r="N36" i="47" s="1"/>
  <c r="D36" i="112"/>
  <c r="L31" i="112"/>
  <c r="L275" i="3"/>
  <c r="D280" i="3"/>
  <c r="F275" i="3"/>
  <c r="H36" i="43"/>
  <c r="N36" i="43" s="1"/>
  <c r="N31" i="43"/>
  <c r="H116" i="36"/>
  <c r="N112" i="36"/>
  <c r="J112" i="36"/>
  <c r="X31" i="28"/>
  <c r="P36" i="28"/>
  <c r="T36" i="32"/>
  <c r="Z36" i="32" s="1"/>
  <c r="Z31" i="32"/>
  <c r="H77" i="108"/>
  <c r="N31" i="23"/>
  <c r="H36" i="23"/>
  <c r="N36" i="23" s="1"/>
  <c r="L106" i="85"/>
  <c r="D109" i="85"/>
  <c r="F106" i="85"/>
  <c r="T83" i="88"/>
  <c r="T63" i="57"/>
  <c r="T36" i="35"/>
  <c r="Z36" i="35" s="1"/>
  <c r="Z31" i="35"/>
  <c r="D74" i="108"/>
  <c r="L70" i="108"/>
  <c r="N70" i="108" s="1"/>
  <c r="F70" i="108"/>
  <c r="N69" i="98"/>
  <c r="H73" i="98"/>
  <c r="J69" i="98"/>
  <c r="T116" i="36"/>
  <c r="X112" i="36"/>
  <c r="Z112" i="36" s="1"/>
  <c r="V112" i="36"/>
  <c r="D74" i="73"/>
  <c r="L71" i="73"/>
  <c r="F71" i="73"/>
  <c r="X106" i="27"/>
  <c r="P109" i="27"/>
  <c r="R106" i="27"/>
  <c r="Z31" i="28"/>
  <c r="T36" i="28"/>
  <c r="Z36" i="28" s="1"/>
  <c r="T103" i="21"/>
  <c r="V100" i="21"/>
  <c r="H42" i="109"/>
  <c r="L55" i="68"/>
  <c r="N55" i="68" s="1"/>
  <c r="D58" i="68"/>
  <c r="L58" i="68" s="1"/>
  <c r="P79" i="106"/>
  <c r="X75" i="106"/>
  <c r="Z75" i="106" s="1"/>
  <c r="R75" i="106"/>
  <c r="T64" i="48"/>
  <c r="V61" i="48"/>
  <c r="X60" i="57"/>
  <c r="Z60" i="57" s="1"/>
  <c r="T76" i="81"/>
  <c r="V73" i="81"/>
  <c r="L73" i="102"/>
  <c r="D76" i="102"/>
  <c r="F73" i="102"/>
  <c r="N31" i="35"/>
  <c r="H36" i="35"/>
  <c r="N36" i="35" s="1"/>
  <c r="T36" i="38"/>
  <c r="Z36" i="38" s="1"/>
  <c r="Z31" i="38"/>
  <c r="N26" i="6"/>
  <c r="H31" i="6"/>
  <c r="D88" i="51"/>
  <c r="L84" i="51"/>
  <c r="N84" i="51" s="1"/>
  <c r="F84" i="51"/>
  <c r="Z84" i="77"/>
  <c r="T88" i="77"/>
  <c r="V84" i="77"/>
  <c r="H71" i="76"/>
  <c r="J68" i="76"/>
  <c r="N31" i="29"/>
  <c r="H36" i="29"/>
  <c r="N36" i="29" s="1"/>
  <c r="H36" i="25"/>
  <c r="N36" i="25" s="1"/>
  <c r="N31" i="25"/>
  <c r="P77" i="108"/>
  <c r="X74" i="108"/>
  <c r="Z74" i="108" s="1"/>
  <c r="R74" i="108"/>
  <c r="X69" i="56"/>
  <c r="Z69" i="56" s="1"/>
  <c r="P72" i="56"/>
  <c r="X72" i="56" s="1"/>
  <c r="Z72" i="56" s="1"/>
  <c r="L109" i="42"/>
  <c r="N109" i="42" s="1"/>
  <c r="D113" i="42"/>
  <c r="F109" i="42"/>
  <c r="D68" i="94"/>
  <c r="L65" i="94"/>
  <c r="N65" i="94" s="1"/>
  <c r="F65" i="94"/>
  <c r="H36" i="11"/>
  <c r="N36" i="11" s="1"/>
  <c r="N31" i="11"/>
  <c r="N50" i="60"/>
  <c r="H53" i="60"/>
  <c r="L53" i="60" s="1"/>
  <c r="L31" i="32"/>
  <c r="D36" i="32"/>
  <c r="N31" i="32"/>
  <c r="H36" i="32"/>
  <c r="N36" i="32" s="1"/>
  <c r="X275" i="3"/>
  <c r="Z275" i="3" s="1"/>
  <c r="P280" i="3"/>
  <c r="R275" i="3"/>
  <c r="Z31" i="34"/>
  <c r="T36" i="34"/>
  <c r="Z36" i="34" s="1"/>
  <c r="D256" i="18"/>
  <c r="L253" i="18"/>
  <c r="N253" i="18" s="1"/>
  <c r="F253" i="18"/>
  <c r="Z31" i="13"/>
  <c r="T36" i="13"/>
  <c r="Z36" i="13" s="1"/>
  <c r="D80" i="104"/>
  <c r="L77" i="104"/>
  <c r="N77" i="104" s="1"/>
  <c r="F77" i="104"/>
  <c r="Z93" i="9"/>
  <c r="T96" i="9"/>
  <c r="P29" i="99"/>
  <c r="X29" i="99" s="1"/>
  <c r="X26" i="99"/>
  <c r="N31" i="22"/>
  <c r="H36" i="22"/>
  <c r="N36" i="22" s="1"/>
  <c r="D36" i="11"/>
  <c r="L31" i="11"/>
  <c r="X86" i="96"/>
  <c r="P89" i="96"/>
  <c r="R86" i="96"/>
  <c r="L31" i="31"/>
  <c r="D36" i="31"/>
  <c r="Z31" i="50"/>
  <c r="T36" i="50"/>
  <c r="Z36" i="50" s="1"/>
  <c r="L26" i="54"/>
  <c r="D31" i="54"/>
  <c r="H53" i="103"/>
  <c r="N50" i="103"/>
  <c r="X28" i="107"/>
  <c r="Z28" i="107" s="1"/>
  <c r="P31" i="107"/>
  <c r="X31" i="107" s="1"/>
  <c r="Z31" i="112"/>
  <c r="T36" i="112"/>
  <c r="Z36" i="112" s="1"/>
  <c r="X73" i="98"/>
  <c r="P76" i="98"/>
  <c r="R73" i="98"/>
  <c r="D52" i="101"/>
  <c r="L48" i="101"/>
  <c r="N48" i="101" s="1"/>
  <c r="F48" i="101"/>
  <c r="X31" i="22"/>
  <c r="P36" i="22"/>
  <c r="X31" i="40"/>
  <c r="P36" i="40"/>
  <c r="L31" i="5"/>
  <c r="D36" i="5"/>
  <c r="H280" i="3"/>
  <c r="N275" i="3"/>
  <c r="J275" i="3"/>
  <c r="L31" i="46"/>
  <c r="D36" i="46"/>
  <c r="N69" i="81"/>
  <c r="H73" i="81"/>
  <c r="J69" i="81"/>
  <c r="P52" i="101"/>
  <c r="X48" i="101"/>
  <c r="Z48" i="101" s="1"/>
  <c r="R48" i="101"/>
  <c r="Z31" i="47"/>
  <c r="T36" i="47"/>
  <c r="Z36" i="47" s="1"/>
  <c r="L31" i="23"/>
  <c r="D36" i="23"/>
  <c r="T52" i="101"/>
  <c r="L51" i="61"/>
  <c r="N51" i="61" s="1"/>
  <c r="Z31" i="19"/>
  <c r="T36" i="19"/>
  <c r="Z36" i="19" s="1"/>
  <c r="T36" i="25"/>
  <c r="Z36" i="25" s="1"/>
  <c r="Z31" i="25"/>
  <c r="X31" i="10"/>
  <c r="P36" i="10"/>
  <c r="X35" i="105"/>
  <c r="Z35" i="105" s="1"/>
  <c r="T36" i="14"/>
  <c r="Z36" i="14" s="1"/>
  <c r="Z31" i="14"/>
  <c r="P73" i="102"/>
  <c r="X69" i="102"/>
  <c r="Z69" i="102" s="1"/>
  <c r="R69" i="102"/>
  <c r="L26" i="99"/>
  <c r="D29" i="99"/>
  <c r="L59" i="79"/>
  <c r="N59" i="79" s="1"/>
  <c r="D62" i="79"/>
  <c r="F59" i="79"/>
  <c r="Z31" i="26"/>
  <c r="T36" i="26"/>
  <c r="Z36" i="26" s="1"/>
  <c r="N31" i="28"/>
  <c r="H36" i="28"/>
  <c r="N36" i="28" s="1"/>
  <c r="L35" i="105"/>
  <c r="D38" i="105"/>
  <c r="R116" i="42"/>
  <c r="N73" i="102"/>
  <c r="H76" i="102"/>
  <c r="J73" i="102"/>
  <c r="N26" i="99"/>
  <c r="H29" i="99"/>
  <c r="N29" i="99" s="1"/>
  <c r="D80" i="84"/>
  <c r="L77" i="84"/>
  <c r="N77" i="84" s="1"/>
  <c r="F77" i="84"/>
  <c r="H256" i="18"/>
  <c r="J253" i="18"/>
  <c r="D83" i="88"/>
  <c r="L80" i="88"/>
  <c r="N80" i="88" s="1"/>
  <c r="F80" i="88"/>
  <c r="Z31" i="31"/>
  <c r="T36" i="31"/>
  <c r="Z36" i="31" s="1"/>
  <c r="D36" i="35"/>
  <c r="L31" i="35"/>
  <c r="D37" i="55"/>
  <c r="L37" i="55" s="1"/>
  <c r="L34" i="55"/>
  <c r="N34" i="55" s="1"/>
  <c r="Z31" i="49"/>
  <c r="T36" i="49"/>
  <c r="Z36" i="49" s="1"/>
  <c r="N37" i="55"/>
  <c r="X51" i="61"/>
  <c r="P54" i="61"/>
  <c r="N57" i="89"/>
  <c r="H60" i="89"/>
  <c r="N96" i="21"/>
  <c r="H100" i="21"/>
  <c r="J96" i="21"/>
  <c r="H64" i="80"/>
  <c r="N60" i="80"/>
  <c r="J60" i="80"/>
  <c r="X31" i="29"/>
  <c r="P36" i="29"/>
  <c r="D71" i="58"/>
  <c r="L71" i="58" s="1"/>
  <c r="L68" i="58"/>
  <c r="N68" i="58" s="1"/>
  <c r="D49" i="100"/>
  <c r="L49" i="100" s="1"/>
  <c r="L46" i="100"/>
  <c r="N46" i="100" s="1"/>
  <c r="L31" i="34"/>
  <c r="D36" i="34"/>
  <c r="L64" i="76"/>
  <c r="N64" i="76" s="1"/>
  <c r="D68" i="76"/>
  <c r="F64" i="76"/>
  <c r="L102" i="27"/>
  <c r="N102" i="27" s="1"/>
  <c r="D106" i="27"/>
  <c r="F102" i="27"/>
  <c r="D130" i="30"/>
  <c r="L127" i="30"/>
  <c r="F127" i="30"/>
  <c r="X31" i="35"/>
  <c r="P36" i="35"/>
  <c r="L100" i="21"/>
  <c r="D103" i="21"/>
  <c r="F100" i="21"/>
  <c r="D96" i="9"/>
  <c r="L96" i="9" s="1"/>
  <c r="L93" i="9"/>
  <c r="H109" i="85"/>
  <c r="N106" i="85"/>
  <c r="J106" i="85"/>
  <c r="Z31" i="11"/>
  <c r="T36" i="11"/>
  <c r="Z36" i="11" s="1"/>
  <c r="L54" i="61"/>
  <c r="L30" i="86"/>
  <c r="N30" i="86" s="1"/>
  <c r="D33" i="86"/>
  <c r="F30" i="86"/>
  <c r="T54" i="61"/>
  <c r="Z51" i="61"/>
  <c r="Z123" i="30"/>
  <c r="T127" i="30"/>
  <c r="X127" i="30" s="1"/>
  <c r="V123" i="30"/>
  <c r="L31" i="17"/>
  <c r="D36" i="17"/>
  <c r="N35" i="105"/>
  <c r="H38" i="105"/>
  <c r="L31" i="10"/>
  <c r="D36" i="10"/>
  <c r="X253" i="18"/>
  <c r="P256" i="18"/>
  <c r="R253" i="18"/>
  <c r="X38" i="105"/>
  <c r="T80" i="104"/>
  <c r="V77" i="104"/>
  <c r="N69" i="74"/>
  <c r="H73" i="74"/>
  <c r="J69" i="74"/>
  <c r="L36" i="34" l="1"/>
  <c r="X36" i="8"/>
  <c r="L36" i="112"/>
  <c r="X36" i="35"/>
  <c r="L36" i="46"/>
  <c r="L36" i="17"/>
  <c r="L36" i="13"/>
  <c r="L36" i="19"/>
  <c r="X36" i="111"/>
  <c r="X36" i="40"/>
  <c r="L36" i="7"/>
  <c r="L36" i="38"/>
  <c r="X36" i="28"/>
  <c r="X36" i="22"/>
  <c r="L36" i="16"/>
  <c r="X36" i="10"/>
  <c r="L36" i="5"/>
  <c r="X36" i="29"/>
  <c r="L36" i="11"/>
  <c r="L36" i="23"/>
  <c r="X36" i="5"/>
  <c r="X36" i="17"/>
  <c r="X36" i="37"/>
  <c r="X36" i="43"/>
  <c r="X36" i="32"/>
  <c r="L36" i="35"/>
  <c r="L36" i="53"/>
  <c r="L36" i="10"/>
  <c r="L36" i="4"/>
  <c r="X36" i="4"/>
  <c r="X36" i="47"/>
  <c r="L36" i="32"/>
  <c r="X36" i="20"/>
  <c r="L36" i="26"/>
  <c r="X36" i="11"/>
  <c r="N60" i="89"/>
  <c r="D55" i="101"/>
  <c r="L52" i="101"/>
  <c r="N52" i="101" s="1"/>
  <c r="F52" i="101"/>
  <c r="Z42" i="109"/>
  <c r="V64" i="110"/>
  <c r="H116" i="42"/>
  <c r="J113" i="42"/>
  <c r="X31" i="83"/>
  <c r="Z31" i="83" s="1"/>
  <c r="P34" i="83"/>
  <c r="R31" i="83"/>
  <c r="V67" i="80"/>
  <c r="X73" i="81"/>
  <c r="Z73" i="81" s="1"/>
  <c r="P76" i="81"/>
  <c r="R73" i="81"/>
  <c r="L33" i="86"/>
  <c r="N33" i="86" s="1"/>
  <c r="F33" i="86"/>
  <c r="J76" i="102"/>
  <c r="J280" i="3"/>
  <c r="L31" i="54"/>
  <c r="L256" i="18"/>
  <c r="F256" i="18"/>
  <c r="X77" i="108"/>
  <c r="Z77" i="108" s="1"/>
  <c r="R77" i="108"/>
  <c r="V76" i="81"/>
  <c r="X36" i="46"/>
  <c r="H34" i="83"/>
  <c r="N31" i="83"/>
  <c r="J31" i="83"/>
  <c r="P62" i="79"/>
  <c r="X59" i="79"/>
  <c r="Z59" i="79" s="1"/>
  <c r="R59" i="79"/>
  <c r="L36" i="8"/>
  <c r="N96" i="9"/>
  <c r="X36" i="38"/>
  <c r="J109" i="27"/>
  <c r="X36" i="23"/>
  <c r="J234" i="15"/>
  <c r="T93" i="69"/>
  <c r="V90" i="69"/>
  <c r="L34" i="83"/>
  <c r="F34" i="83"/>
  <c r="X106" i="85"/>
  <c r="P109" i="85"/>
  <c r="R106" i="85"/>
  <c r="X36" i="41"/>
  <c r="X107" i="24"/>
  <c r="R107" i="24"/>
  <c r="Z53" i="103"/>
  <c r="X88" i="77"/>
  <c r="P91" i="77"/>
  <c r="R88" i="77"/>
  <c r="T74" i="73"/>
  <c r="V71" i="73"/>
  <c r="P91" i="51"/>
  <c r="X88" i="51"/>
  <c r="R88" i="51"/>
  <c r="V75" i="93"/>
  <c r="N97" i="64"/>
  <c r="F103" i="21"/>
  <c r="X54" i="61"/>
  <c r="L62" i="79"/>
  <c r="F62" i="79"/>
  <c r="R76" i="98"/>
  <c r="L88" i="51"/>
  <c r="N88" i="51" s="1"/>
  <c r="D91" i="51"/>
  <c r="F88" i="51"/>
  <c r="F74" i="73"/>
  <c r="X36" i="50"/>
  <c r="H93" i="69"/>
  <c r="J90" i="69"/>
  <c r="X71" i="73"/>
  <c r="Z71" i="73" s="1"/>
  <c r="P74" i="73"/>
  <c r="R71" i="73"/>
  <c r="L73" i="74"/>
  <c r="D76" i="74"/>
  <c r="F73" i="74"/>
  <c r="L36" i="22"/>
  <c r="L36" i="29"/>
  <c r="X100" i="21"/>
  <c r="Z100" i="21" s="1"/>
  <c r="P103" i="21"/>
  <c r="R100" i="21"/>
  <c r="L66" i="59"/>
  <c r="N66" i="59" s="1"/>
  <c r="D91" i="77"/>
  <c r="L88" i="77"/>
  <c r="F88" i="77"/>
  <c r="V127" i="39"/>
  <c r="T82" i="106"/>
  <c r="Z79" i="106"/>
  <c r="V79" i="106"/>
  <c r="X64" i="48"/>
  <c r="Z64" i="48" s="1"/>
  <c r="R64" i="48"/>
  <c r="X87" i="45"/>
  <c r="Z87" i="45" s="1"/>
  <c r="P90" i="45"/>
  <c r="R87" i="45"/>
  <c r="X80" i="84"/>
  <c r="R80" i="84"/>
  <c r="L242" i="12"/>
  <c r="F242" i="12"/>
  <c r="J72" i="70"/>
  <c r="X36" i="19"/>
  <c r="L72" i="95"/>
  <c r="N72" i="95" s="1"/>
  <c r="D75" i="95"/>
  <c r="F72" i="95"/>
  <c r="H130" i="30"/>
  <c r="N127" i="30"/>
  <c r="J127" i="30"/>
  <c r="D93" i="69"/>
  <c r="L90" i="69"/>
  <c r="N90" i="69" s="1"/>
  <c r="F90" i="69"/>
  <c r="H87" i="33"/>
  <c r="J84" i="33"/>
  <c r="L36" i="14"/>
  <c r="X84" i="33"/>
  <c r="P87" i="33"/>
  <c r="R84" i="33"/>
  <c r="N107" i="24"/>
  <c r="J107" i="24"/>
  <c r="X239" i="12"/>
  <c r="Z239" i="12" s="1"/>
  <c r="P242" i="12"/>
  <c r="R239" i="12"/>
  <c r="H55" i="101"/>
  <c r="H64" i="110"/>
  <c r="J61" i="110"/>
  <c r="L36" i="50"/>
  <c r="L64" i="80"/>
  <c r="D67" i="80"/>
  <c r="F64" i="80"/>
  <c r="T87" i="33"/>
  <c r="Z84" i="33"/>
  <c r="V84" i="33"/>
  <c r="N71" i="58"/>
  <c r="L29" i="99"/>
  <c r="Z96" i="9"/>
  <c r="V103" i="21"/>
  <c r="Z105" i="71"/>
  <c r="T108" i="71"/>
  <c r="V105" i="71"/>
  <c r="X36" i="112"/>
  <c r="H127" i="39"/>
  <c r="J124" i="39"/>
  <c r="P71" i="76"/>
  <c r="X68" i="76"/>
  <c r="R68" i="76"/>
  <c r="X36" i="49"/>
  <c r="X36" i="14"/>
  <c r="L36" i="52"/>
  <c r="L36" i="47"/>
  <c r="X33" i="86"/>
  <c r="R33" i="86"/>
  <c r="D97" i="75"/>
  <c r="L94" i="75"/>
  <c r="F94" i="75"/>
  <c r="L68" i="76"/>
  <c r="N68" i="76" s="1"/>
  <c r="D71" i="76"/>
  <c r="F68" i="76"/>
  <c r="V80" i="104"/>
  <c r="N256" i="18"/>
  <c r="J256" i="18"/>
  <c r="L38" i="105"/>
  <c r="X52" i="101"/>
  <c r="P55" i="101"/>
  <c r="R52" i="101"/>
  <c r="L36" i="31"/>
  <c r="X280" i="3"/>
  <c r="Z280" i="3" s="1"/>
  <c r="R280" i="3"/>
  <c r="L68" i="94"/>
  <c r="F68" i="94"/>
  <c r="V64" i="48"/>
  <c r="L36" i="40"/>
  <c r="N242" i="12"/>
  <c r="J242" i="12"/>
  <c r="H90" i="45"/>
  <c r="J87" i="45"/>
  <c r="J80" i="84"/>
  <c r="L36" i="20"/>
  <c r="L36" i="28"/>
  <c r="X36" i="53"/>
  <c r="N79" i="106"/>
  <c r="H82" i="106"/>
  <c r="J79" i="106"/>
  <c r="L36" i="37"/>
  <c r="Z71" i="58"/>
  <c r="X36" i="13"/>
  <c r="J89" i="96"/>
  <c r="X73" i="74"/>
  <c r="Z73" i="74" s="1"/>
  <c r="P76" i="74"/>
  <c r="R73" i="74"/>
  <c r="L280" i="3"/>
  <c r="N280" i="3" s="1"/>
  <c r="F280" i="3"/>
  <c r="N38" i="105"/>
  <c r="L83" i="88"/>
  <c r="N83" i="88" s="1"/>
  <c r="F83" i="88"/>
  <c r="T119" i="36"/>
  <c r="V116" i="36"/>
  <c r="X116" i="36"/>
  <c r="Z116" i="36" s="1"/>
  <c r="L61" i="110"/>
  <c r="N61" i="110" s="1"/>
  <c r="D64" i="110"/>
  <c r="F61" i="110"/>
  <c r="F82" i="106"/>
  <c r="T109" i="27"/>
  <c r="Z106" i="27"/>
  <c r="V106" i="27"/>
  <c r="P83" i="88"/>
  <c r="X80" i="88"/>
  <c r="Z80" i="88" s="1"/>
  <c r="R80" i="88"/>
  <c r="X127" i="39"/>
  <c r="Z127" i="39" s="1"/>
  <c r="R127" i="39"/>
  <c r="R234" i="15"/>
  <c r="L31" i="6"/>
  <c r="N31" i="6" s="1"/>
  <c r="V62" i="79"/>
  <c r="N58" i="68"/>
  <c r="Z104" i="24"/>
  <c r="T107" i="24"/>
  <c r="V104" i="24"/>
  <c r="X75" i="93"/>
  <c r="Z75" i="93" s="1"/>
  <c r="R75" i="93"/>
  <c r="L36" i="111"/>
  <c r="N72" i="56"/>
  <c r="N105" i="71"/>
  <c r="H108" i="71"/>
  <c r="J105" i="71"/>
  <c r="X64" i="110"/>
  <c r="Z64" i="110" s="1"/>
  <c r="R64" i="110"/>
  <c r="V242" i="12"/>
  <c r="N62" i="79"/>
  <c r="J62" i="79"/>
  <c r="N64" i="80"/>
  <c r="H67" i="80"/>
  <c r="J64" i="80"/>
  <c r="H76" i="81"/>
  <c r="J73" i="81"/>
  <c r="D116" i="42"/>
  <c r="L113" i="42"/>
  <c r="N113" i="42" s="1"/>
  <c r="F113" i="42"/>
  <c r="X49" i="100"/>
  <c r="T116" i="42"/>
  <c r="V113" i="42"/>
  <c r="X113" i="42"/>
  <c r="Z113" i="42" s="1"/>
  <c r="D89" i="96"/>
  <c r="L86" i="96"/>
  <c r="N86" i="96" s="1"/>
  <c r="F86" i="96"/>
  <c r="D108" i="71"/>
  <c r="L105" i="71"/>
  <c r="F105" i="71"/>
  <c r="N49" i="100"/>
  <c r="X36" i="25"/>
  <c r="L36" i="49"/>
  <c r="X36" i="7"/>
  <c r="T71" i="76"/>
  <c r="Z68" i="76"/>
  <c r="V68" i="76"/>
  <c r="H91" i="77"/>
  <c r="N88" i="77"/>
  <c r="J88" i="77"/>
  <c r="X75" i="95"/>
  <c r="R75" i="95"/>
  <c r="Z37" i="55"/>
  <c r="X37" i="55"/>
  <c r="Z106" i="85"/>
  <c r="T109" i="85"/>
  <c r="V106" i="85"/>
  <c r="L36" i="113"/>
  <c r="H75" i="93"/>
  <c r="J72" i="93"/>
  <c r="L53" i="103"/>
  <c r="Z38" i="105"/>
  <c r="N71" i="73"/>
  <c r="H74" i="73"/>
  <c r="J71" i="73"/>
  <c r="L36" i="41"/>
  <c r="X68" i="94"/>
  <c r="R68" i="94"/>
  <c r="L74" i="108"/>
  <c r="N74" i="108" s="1"/>
  <c r="D77" i="108"/>
  <c r="F74" i="108"/>
  <c r="Z60" i="89"/>
  <c r="L130" i="30"/>
  <c r="F130" i="30"/>
  <c r="N100" i="21"/>
  <c r="H103" i="21"/>
  <c r="J100" i="21"/>
  <c r="P76" i="102"/>
  <c r="X73" i="102"/>
  <c r="Z73" i="102" s="1"/>
  <c r="R73" i="102"/>
  <c r="R89" i="96"/>
  <c r="L80" i="104"/>
  <c r="N80" i="104" s="1"/>
  <c r="F80" i="104"/>
  <c r="J71" i="76"/>
  <c r="H76" i="98"/>
  <c r="J73" i="98"/>
  <c r="L109" i="85"/>
  <c r="F109" i="85"/>
  <c r="H119" i="36"/>
  <c r="J116" i="36"/>
  <c r="Z49" i="100"/>
  <c r="Z75" i="95"/>
  <c r="V75" i="95"/>
  <c r="L64" i="48"/>
  <c r="N64" i="48" s="1"/>
  <c r="F64" i="48"/>
  <c r="L73" i="98"/>
  <c r="N73" i="98" s="1"/>
  <c r="D119" i="36"/>
  <c r="L116" i="36"/>
  <c r="N116" i="36" s="1"/>
  <c r="F116" i="36"/>
  <c r="X36" i="113"/>
  <c r="X36" i="31"/>
  <c r="X36" i="16"/>
  <c r="T97" i="75"/>
  <c r="V94" i="75"/>
  <c r="L36" i="25"/>
  <c r="L36" i="44"/>
  <c r="T130" i="30"/>
  <c r="Z127" i="30"/>
  <c r="V127" i="30"/>
  <c r="Z52" i="101"/>
  <c r="T55" i="101"/>
  <c r="L80" i="84"/>
  <c r="N80" i="84" s="1"/>
  <c r="F80" i="84"/>
  <c r="N53" i="103"/>
  <c r="P82" i="106"/>
  <c r="X79" i="106"/>
  <c r="R79" i="106"/>
  <c r="T91" i="51"/>
  <c r="Z88" i="51"/>
  <c r="V88" i="51"/>
  <c r="X85" i="92"/>
  <c r="Z85" i="92" s="1"/>
  <c r="Z231" i="15"/>
  <c r="T234" i="15"/>
  <c r="X234" i="15" s="1"/>
  <c r="V231" i="15"/>
  <c r="N31" i="54"/>
  <c r="V90" i="45"/>
  <c r="L97" i="64"/>
  <c r="D76" i="81"/>
  <c r="L73" i="81"/>
  <c r="N73" i="81" s="1"/>
  <c r="F73" i="81"/>
  <c r="L87" i="45"/>
  <c r="N87" i="45" s="1"/>
  <c r="D90" i="45"/>
  <c r="F87" i="45"/>
  <c r="X130" i="30"/>
  <c r="R130" i="30"/>
  <c r="J91" i="51"/>
  <c r="F76" i="98"/>
  <c r="N68" i="94"/>
  <c r="J68" i="94"/>
  <c r="Z31" i="107"/>
  <c r="N94" i="75"/>
  <c r="H97" i="75"/>
  <c r="J94" i="75"/>
  <c r="X36" i="34"/>
  <c r="Z33" i="86"/>
  <c r="V33" i="86"/>
  <c r="X36" i="52"/>
  <c r="L60" i="89"/>
  <c r="Z73" i="98"/>
  <c r="T76" i="98"/>
  <c r="X76" i="98" s="1"/>
  <c r="V73" i="98"/>
  <c r="P67" i="80"/>
  <c r="X64" i="80"/>
  <c r="Z64" i="80" s="1"/>
  <c r="R64" i="80"/>
  <c r="L36" i="43"/>
  <c r="N73" i="74"/>
  <c r="H76" i="74"/>
  <c r="J73" i="74"/>
  <c r="N109" i="85"/>
  <c r="J109" i="85"/>
  <c r="L106" i="27"/>
  <c r="N106" i="27" s="1"/>
  <c r="D109" i="27"/>
  <c r="F106" i="27"/>
  <c r="Z88" i="77"/>
  <c r="T91" i="77"/>
  <c r="V88" i="77"/>
  <c r="L76" i="102"/>
  <c r="N76" i="102" s="1"/>
  <c r="F76" i="102"/>
  <c r="X109" i="27"/>
  <c r="R109" i="27"/>
  <c r="Z86" i="96"/>
  <c r="T89" i="96"/>
  <c r="V86" i="96"/>
  <c r="Z253" i="18"/>
  <c r="T256" i="18"/>
  <c r="V253" i="18"/>
  <c r="X36" i="26"/>
  <c r="P97" i="75"/>
  <c r="X94" i="75"/>
  <c r="Z94" i="75" s="1"/>
  <c r="R94" i="75"/>
  <c r="J75" i="95"/>
  <c r="L72" i="93"/>
  <c r="N72" i="93" s="1"/>
  <c r="D75" i="93"/>
  <c r="F72" i="93"/>
  <c r="V34" i="83"/>
  <c r="Z80" i="84"/>
  <c r="V80" i="84"/>
  <c r="P108" i="71"/>
  <c r="X105" i="71"/>
  <c r="R105" i="71"/>
  <c r="L127" i="39"/>
  <c r="F127" i="39"/>
  <c r="X256" i="18"/>
  <c r="R256" i="18"/>
  <c r="Z54" i="61"/>
  <c r="N53" i="60"/>
  <c r="X63" i="57"/>
  <c r="Z63" i="57" s="1"/>
  <c r="X90" i="69"/>
  <c r="Z90" i="69" s="1"/>
  <c r="P93" i="69"/>
  <c r="R90" i="69"/>
  <c r="L231" i="15"/>
  <c r="N231" i="15" s="1"/>
  <c r="D234" i="15"/>
  <c r="F231" i="15"/>
  <c r="V76" i="102"/>
  <c r="Z97" i="64"/>
  <c r="L42" i="109"/>
  <c r="N42" i="109" s="1"/>
  <c r="X80" i="104"/>
  <c r="Z80" i="104" s="1"/>
  <c r="R80" i="104"/>
  <c r="V280" i="3"/>
  <c r="L84" i="33"/>
  <c r="N84" i="33" s="1"/>
  <c r="D87" i="33"/>
  <c r="F84" i="33"/>
  <c r="L124" i="39"/>
  <c r="N124" i="39" s="1"/>
  <c r="X31" i="54"/>
  <c r="Z31" i="54" s="1"/>
  <c r="Z68" i="94"/>
  <c r="V68" i="94"/>
  <c r="N54" i="61"/>
  <c r="L72" i="70"/>
  <c r="N72" i="70" s="1"/>
  <c r="F72" i="70"/>
  <c r="X36" i="44"/>
  <c r="X72" i="70"/>
  <c r="Z72" i="70" s="1"/>
  <c r="R72" i="70"/>
  <c r="V71" i="76" l="1"/>
  <c r="L67" i="80"/>
  <c r="F67" i="80"/>
  <c r="L76" i="74"/>
  <c r="F76" i="74"/>
  <c r="L91" i="51"/>
  <c r="N91" i="51" s="1"/>
  <c r="F91" i="51"/>
  <c r="L75" i="93"/>
  <c r="N75" i="93" s="1"/>
  <c r="F75" i="93"/>
  <c r="Z256" i="18"/>
  <c r="V256" i="18"/>
  <c r="V91" i="77"/>
  <c r="J97" i="75"/>
  <c r="L90" i="45"/>
  <c r="F90" i="45"/>
  <c r="Z109" i="85"/>
  <c r="V109" i="85"/>
  <c r="L64" i="110"/>
  <c r="F64" i="110"/>
  <c r="V108" i="71"/>
  <c r="N130" i="30"/>
  <c r="J130" i="30"/>
  <c r="X90" i="45"/>
  <c r="Z90" i="45" s="1"/>
  <c r="R90" i="45"/>
  <c r="N34" i="83"/>
  <c r="J34" i="83"/>
  <c r="X76" i="102"/>
  <c r="Z76" i="102" s="1"/>
  <c r="R76" i="102"/>
  <c r="N67" i="80"/>
  <c r="J67" i="80"/>
  <c r="X76" i="74"/>
  <c r="Z76" i="74" s="1"/>
  <c r="R76" i="74"/>
  <c r="X87" i="33"/>
  <c r="R87" i="33"/>
  <c r="X91" i="51"/>
  <c r="R91" i="51"/>
  <c r="X109" i="85"/>
  <c r="R109" i="85"/>
  <c r="J116" i="42"/>
  <c r="L234" i="15"/>
  <c r="N234" i="15" s="1"/>
  <c r="F234" i="15"/>
  <c r="X67" i="80"/>
  <c r="Z67" i="80" s="1"/>
  <c r="R67" i="80"/>
  <c r="Z130" i="30"/>
  <c r="V130" i="30"/>
  <c r="L119" i="36"/>
  <c r="N119" i="36" s="1"/>
  <c r="F119" i="36"/>
  <c r="L75" i="95"/>
  <c r="N75" i="95" s="1"/>
  <c r="F75" i="95"/>
  <c r="L91" i="77"/>
  <c r="F91" i="77"/>
  <c r="X74" i="73"/>
  <c r="R74" i="73"/>
  <c r="V89" i="96"/>
  <c r="N103" i="21"/>
  <c r="J103" i="21"/>
  <c r="N74" i="73"/>
  <c r="J74" i="73"/>
  <c r="V116" i="42"/>
  <c r="X116" i="42"/>
  <c r="Z116" i="42" s="1"/>
  <c r="L71" i="76"/>
  <c r="N71" i="76" s="1"/>
  <c r="F71" i="76"/>
  <c r="N64" i="110"/>
  <c r="J64" i="110"/>
  <c r="Z74" i="73"/>
  <c r="V74" i="73"/>
  <c r="Z76" i="98"/>
  <c r="V76" i="98"/>
  <c r="X76" i="81"/>
  <c r="Z76" i="81" s="1"/>
  <c r="R76" i="81"/>
  <c r="L109" i="27"/>
  <c r="N109" i="27" s="1"/>
  <c r="F109" i="27"/>
  <c r="L76" i="81"/>
  <c r="F76" i="81"/>
  <c r="Z107" i="24"/>
  <c r="V107" i="24"/>
  <c r="X83" i="88"/>
  <c r="Z83" i="88" s="1"/>
  <c r="R83" i="88"/>
  <c r="N87" i="33"/>
  <c r="J87" i="33"/>
  <c r="L87" i="33"/>
  <c r="F87" i="33"/>
  <c r="Z91" i="51"/>
  <c r="V91" i="51"/>
  <c r="N76" i="98"/>
  <c r="J76" i="98"/>
  <c r="X93" i="69"/>
  <c r="R93" i="69"/>
  <c r="X108" i="71"/>
  <c r="Z108" i="71" s="1"/>
  <c r="R108" i="71"/>
  <c r="L76" i="98"/>
  <c r="X82" i="106"/>
  <c r="R82" i="106"/>
  <c r="L108" i="71"/>
  <c r="F108" i="71"/>
  <c r="Z119" i="36"/>
  <c r="V119" i="36"/>
  <c r="X119" i="36"/>
  <c r="N90" i="45"/>
  <c r="J90" i="45"/>
  <c r="X71" i="76"/>
  <c r="Z71" i="76" s="1"/>
  <c r="R71" i="76"/>
  <c r="X103" i="21"/>
  <c r="Z103" i="21" s="1"/>
  <c r="R103" i="21"/>
  <c r="J93" i="69"/>
  <c r="X91" i="77"/>
  <c r="Z91" i="77" s="1"/>
  <c r="R91" i="77"/>
  <c r="Z93" i="69"/>
  <c r="V93" i="69"/>
  <c r="V97" i="75"/>
  <c r="X55" i="101"/>
  <c r="Z55" i="101" s="1"/>
  <c r="R55" i="101"/>
  <c r="L97" i="75"/>
  <c r="N97" i="75" s="1"/>
  <c r="F97" i="75"/>
  <c r="L103" i="21"/>
  <c r="J75" i="93"/>
  <c r="N91" i="77"/>
  <c r="J91" i="77"/>
  <c r="L116" i="42"/>
  <c r="N116" i="42" s="1"/>
  <c r="F116" i="42"/>
  <c r="Z109" i="27"/>
  <c r="V109" i="27"/>
  <c r="N127" i="39"/>
  <c r="J127" i="39"/>
  <c r="X242" i="12"/>
  <c r="Z242" i="12" s="1"/>
  <c r="R242" i="12"/>
  <c r="L77" i="108"/>
  <c r="N77" i="108" s="1"/>
  <c r="F77" i="108"/>
  <c r="L89" i="96"/>
  <c r="N89" i="96" s="1"/>
  <c r="F89" i="96"/>
  <c r="J82" i="106"/>
  <c r="Z87" i="33"/>
  <c r="V87" i="33"/>
  <c r="L93" i="69"/>
  <c r="N93" i="69" s="1"/>
  <c r="F93" i="69"/>
  <c r="Z82" i="106"/>
  <c r="V82" i="106"/>
  <c r="L74" i="73"/>
  <c r="X62" i="79"/>
  <c r="Z62" i="79" s="1"/>
  <c r="R62" i="79"/>
  <c r="L55" i="101"/>
  <c r="N55" i="101" s="1"/>
  <c r="F55" i="101"/>
  <c r="X97" i="75"/>
  <c r="Z97" i="75" s="1"/>
  <c r="R97" i="75"/>
  <c r="N76" i="74"/>
  <c r="J76" i="74"/>
  <c r="Z234" i="15"/>
  <c r="V234" i="15"/>
  <c r="J119" i="36"/>
  <c r="X89" i="96"/>
  <c r="Z89" i="96" s="1"/>
  <c r="N76" i="81"/>
  <c r="J76" i="81"/>
  <c r="N108" i="71"/>
  <c r="J108" i="71"/>
  <c r="L82" i="106"/>
  <c r="N82" i="106" s="1"/>
  <c r="X34" i="83"/>
  <c r="Z34" i="83" s="1"/>
  <c r="R34" i="83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<sst xmlns="http://schemas.openxmlformats.org/spreadsheetml/2006/main" count="2948" uniqueCount="314">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</sst>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167" fontId="2" fillId="2" borderId="3" xfId="3" applyNumberFormat="1" applyFont="1" applyFill="1" applyBorder="1"/>
    <xf numFmtId="168" fontId="2" fillId="2" borderId="3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49" fontId="1" fillId="0" borderId="0" xfId="0" applyNumberFormat="1" applyFont="1" applyFill="1"/>
    <xf numFmtId="49" fontId="2" fillId="0" borderId="0" xfId="0" applyNumberFormat="1" applyFont="1" applyFill="1"/>
    <xf numFmtId="0" fontId="3" fillId="0" borderId="0" xfId="0" applyFont="1" applyFill="1"/>
    <xf numFmtId="0" fontId="4" fillId="0" borderId="0" xfId="0" applyFont="1" applyAlignment="1">
      <alignment horizontal="left"/>
    </xf>
    <xf numFmtId="0" fontId="0" fillId="0" borderId="0" xfId="0" applyBorder="1"/>
    <xf numFmtId="0" fontId="2" fillId="0" borderId="0" xfId="0" applyFont="1" applyFill="1" applyBorder="1"/>
    <xf numFmtId="166" fontId="4" fillId="0" borderId="0" xfId="0" applyNumberFormat="1" applyFont="1" applyAlignment="1">
      <alignment horizontal="left"/>
    </xf>
    <xf numFmtId="165" fontId="0" fillId="0" borderId="0" xfId="0" applyNumberFormat="1"/>
    <xf numFmtId="164" fontId="2" fillId="0" borderId="0" xfId="1" applyNumberFormat="1" applyFont="1" applyFill="1" applyAlignment="1">
      <alignment horizontal="centerContinuous"/>
    </xf>
    <xf numFmtId="0" fontId="5" fillId="0" borderId="0" xfId="0" applyFont="1"/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307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307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308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308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311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311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305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305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304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304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301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301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302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302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303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303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309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309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312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312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85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212" sqref="D212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295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1506911.3799999997</v>
      </c>
      <c r="E12" s="4"/>
      <c r="F12" s="12"/>
      <c r="G12" s="4"/>
      <c r="H12" s="4">
        <f>SUM(OSRRefH13x_0)</f>
        <v>1664715.5800000008</v>
      </c>
      <c r="I12" s="4"/>
      <c r="J12" s="12"/>
      <c r="K12" s="4"/>
      <c r="L12" s="4">
        <f t="shared" ref="L12:L112" si="0">+D12-H12</f>
        <v>-157804.20000000112</v>
      </c>
      <c r="M12" s="4"/>
      <c r="N12" s="12">
        <f t="shared" ref="N12:N112" si="1">IF(H12=0,0,L12/H12)</f>
        <v>-9.4793490188877214E-2</v>
      </c>
      <c r="O12" s="10"/>
      <c r="P12" s="4">
        <f>SUM(OSRRefP13x_0)</f>
        <v>1506911.3799999997</v>
      </c>
      <c r="Q12" s="4"/>
      <c r="R12" s="12"/>
      <c r="S12" s="4"/>
      <c r="T12" s="4">
        <f>SUM(OSRRefT13x_0)</f>
        <v>1664715.5800000008</v>
      </c>
      <c r="U12" s="4"/>
      <c r="V12" s="12"/>
      <c r="W12" s="4"/>
      <c r="X12" s="4">
        <f t="shared" ref="X12:X112" si="2">+P12-T12</f>
        <v>-157804.20000000112</v>
      </c>
      <c r="Y12" s="4"/>
      <c r="Z12" s="12">
        <f t="shared" ref="Z12:Z112" si="3">IF(T12=0,0,X12/T12)</f>
        <v>-9.4793490188877214E-2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--36312.25</f>
        <v>36312.25</v>
      </c>
      <c r="E13" s="2"/>
      <c r="F13" s="22"/>
      <c r="G13" s="2"/>
      <c r="H13" s="2">
        <f>--73264.63</f>
        <v>73264.63</v>
      </c>
      <c r="I13" s="2"/>
      <c r="J13" s="22"/>
      <c r="K13" s="2"/>
      <c r="L13" s="2">
        <f t="shared" si="0"/>
        <v>-36952.380000000005</v>
      </c>
      <c r="M13" s="2"/>
      <c r="N13" s="22">
        <f t="shared" si="1"/>
        <v>-0.50436861552429868</v>
      </c>
      <c r="O13" s="11"/>
      <c r="P13" s="2">
        <f>--36312.25</f>
        <v>36312.25</v>
      </c>
      <c r="Q13" s="2"/>
      <c r="R13" s="22"/>
      <c r="S13" s="2"/>
      <c r="T13" s="2">
        <f>--73264.63</f>
        <v>73264.63</v>
      </c>
      <c r="U13" s="2"/>
      <c r="V13" s="22"/>
      <c r="W13" s="2"/>
      <c r="X13" s="2">
        <f t="shared" si="2"/>
        <v>-36952.380000000005</v>
      </c>
      <c r="Y13" s="2"/>
      <c r="Z13" s="22">
        <f t="shared" si="3"/>
        <v>-0.50436861552429868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--21794.81</f>
        <v>21794.81</v>
      </c>
      <c r="E14" s="2"/>
      <c r="F14" s="22"/>
      <c r="G14" s="2"/>
      <c r="H14" s="2">
        <f>--26581.58</f>
        <v>26581.58</v>
      </c>
      <c r="I14" s="2"/>
      <c r="J14" s="22"/>
      <c r="K14" s="2"/>
      <c r="L14" s="2">
        <f t="shared" si="0"/>
        <v>-4786.7700000000004</v>
      </c>
      <c r="M14" s="2"/>
      <c r="N14" s="22">
        <f t="shared" si="1"/>
        <v>-0.18007846034735331</v>
      </c>
      <c r="O14" s="11"/>
      <c r="P14" s="2">
        <f>--21794.81</f>
        <v>21794.81</v>
      </c>
      <c r="Q14" s="2"/>
      <c r="R14" s="22"/>
      <c r="S14" s="2"/>
      <c r="T14" s="2">
        <f>--26581.58</f>
        <v>26581.58</v>
      </c>
      <c r="U14" s="2"/>
      <c r="V14" s="22"/>
      <c r="W14" s="2"/>
      <c r="X14" s="2">
        <f t="shared" si="2"/>
        <v>-4786.7700000000004</v>
      </c>
      <c r="Y14" s="2"/>
      <c r="Z14" s="22">
        <f t="shared" si="3"/>
        <v>-0.18007846034735331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>
        <f>--484</f>
        <v>484</v>
      </c>
      <c r="I15" s="2"/>
      <c r="J15" s="22"/>
      <c r="K15" s="2"/>
      <c r="L15" s="2">
        <f t="shared" si="0"/>
        <v>-50.019999999999982</v>
      </c>
      <c r="M15" s="2"/>
      <c r="N15" s="22">
        <f t="shared" si="1"/>
        <v>-0.10334710743801649</v>
      </c>
      <c r="O15" s="11"/>
      <c r="P15" s="2">
        <f>--433.98</f>
        <v>433.98</v>
      </c>
      <c r="Q15" s="2"/>
      <c r="R15" s="22"/>
      <c r="S15" s="2"/>
      <c r="T15" s="2">
        <f>--484</f>
        <v>484</v>
      </c>
      <c r="U15" s="2"/>
      <c r="V15" s="22"/>
      <c r="W15" s="2"/>
      <c r="X15" s="2">
        <f t="shared" si="2"/>
        <v>-50.019999999999982</v>
      </c>
      <c r="Y15" s="2"/>
      <c r="Z15" s="22">
        <f t="shared" si="3"/>
        <v>-0.10334710743801649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>
        <f>--143</f>
        <v>143</v>
      </c>
      <c r="I16" s="2"/>
      <c r="J16" s="22"/>
      <c r="K16" s="2"/>
      <c r="L16" s="2">
        <f t="shared" si="0"/>
        <v>-9.6500000000000057</v>
      </c>
      <c r="M16" s="2"/>
      <c r="N16" s="22">
        <f t="shared" si="1"/>
        <v>-6.7482517482517518E-2</v>
      </c>
      <c r="O16" s="11"/>
      <c r="P16" s="2">
        <f>--133.35</f>
        <v>133.35</v>
      </c>
      <c r="Q16" s="2"/>
      <c r="R16" s="22"/>
      <c r="S16" s="2"/>
      <c r="T16" s="2">
        <f>--143</f>
        <v>143</v>
      </c>
      <c r="U16" s="2"/>
      <c r="V16" s="22"/>
      <c r="W16" s="2"/>
      <c r="X16" s="2">
        <f t="shared" si="2"/>
        <v>-9.6500000000000057</v>
      </c>
      <c r="Y16" s="2"/>
      <c r="Z16" s="22">
        <f t="shared" si="3"/>
        <v>-6.7482517482517518E-2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>
        <f>--53.96</f>
        <v>53.96</v>
      </c>
      <c r="I17" s="2"/>
      <c r="J17" s="22"/>
      <c r="K17" s="2"/>
      <c r="L17" s="2">
        <f t="shared" si="0"/>
        <v>-14.009999999999998</v>
      </c>
      <c r="M17" s="2"/>
      <c r="N17" s="22">
        <f t="shared" si="1"/>
        <v>-0.25963676797627866</v>
      </c>
      <c r="O17" s="11"/>
      <c r="P17" s="2">
        <f>--39.95</f>
        <v>39.950000000000003</v>
      </c>
      <c r="Q17" s="2"/>
      <c r="R17" s="22"/>
      <c r="S17" s="2"/>
      <c r="T17" s="2">
        <f>--53.96</f>
        <v>53.96</v>
      </c>
      <c r="U17" s="2"/>
      <c r="V17" s="22"/>
      <c r="W17" s="2"/>
      <c r="X17" s="2">
        <f t="shared" si="2"/>
        <v>-14.009999999999998</v>
      </c>
      <c r="Y17" s="2"/>
      <c r="Z17" s="22">
        <f t="shared" si="3"/>
        <v>-0.25963676797627866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>
        <f>--200.49</f>
        <v>200.49</v>
      </c>
      <c r="I18" s="2"/>
      <c r="J18" s="22"/>
      <c r="K18" s="2"/>
      <c r="L18" s="2">
        <f t="shared" si="0"/>
        <v>50.16</v>
      </c>
      <c r="M18" s="2"/>
      <c r="N18" s="22">
        <f t="shared" si="1"/>
        <v>0.25018704174771805</v>
      </c>
      <c r="O18" s="11"/>
      <c r="P18" s="2">
        <f>--250.65</f>
        <v>250.65</v>
      </c>
      <c r="Q18" s="2"/>
      <c r="R18" s="22"/>
      <c r="S18" s="2"/>
      <c r="T18" s="2">
        <f>--200.49</f>
        <v>200.49</v>
      </c>
      <c r="U18" s="2"/>
      <c r="V18" s="22"/>
      <c r="W18" s="2"/>
      <c r="X18" s="2">
        <f t="shared" si="2"/>
        <v>50.16</v>
      </c>
      <c r="Y18" s="2"/>
      <c r="Z18" s="22">
        <f t="shared" si="3"/>
        <v>0.25018704174771805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--4.47</f>
        <v>4.47</v>
      </c>
      <c r="E19" s="2"/>
      <c r="F19" s="22"/>
      <c r="G19" s="2"/>
      <c r="H19" s="2">
        <f>--264.61</f>
        <v>264.61</v>
      </c>
      <c r="I19" s="2"/>
      <c r="J19" s="22"/>
      <c r="K19" s="2"/>
      <c r="L19" s="2">
        <f t="shared" si="0"/>
        <v>-260.14</v>
      </c>
      <c r="M19" s="2"/>
      <c r="N19" s="22">
        <f t="shared" si="1"/>
        <v>-0.98310721439099036</v>
      </c>
      <c r="O19" s="11"/>
      <c r="P19" s="2">
        <f>--4.47</f>
        <v>4.47</v>
      </c>
      <c r="Q19" s="2"/>
      <c r="R19" s="22"/>
      <c r="S19" s="2"/>
      <c r="T19" s="2">
        <f>--264.61</f>
        <v>264.61</v>
      </c>
      <c r="U19" s="2"/>
      <c r="V19" s="22"/>
      <c r="W19" s="2"/>
      <c r="X19" s="2">
        <f t="shared" si="2"/>
        <v>-260.14</v>
      </c>
      <c r="Y19" s="2"/>
      <c r="Z19" s="22">
        <f t="shared" si="3"/>
        <v>-0.98310721439099036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--179.29</f>
        <v>179.29</v>
      </c>
      <c r="E20" s="2"/>
      <c r="F20" s="22"/>
      <c r="G20" s="2"/>
      <c r="H20" s="2">
        <f>--479.34</f>
        <v>479.34</v>
      </c>
      <c r="I20" s="2"/>
      <c r="J20" s="22"/>
      <c r="K20" s="2"/>
      <c r="L20" s="2">
        <f t="shared" si="0"/>
        <v>-300.04999999999995</v>
      </c>
      <c r="M20" s="2"/>
      <c r="N20" s="22">
        <f t="shared" si="1"/>
        <v>-0.62596486836066256</v>
      </c>
      <c r="O20" s="11"/>
      <c r="P20" s="2">
        <f>--179.29</f>
        <v>179.29</v>
      </c>
      <c r="Q20" s="2"/>
      <c r="R20" s="22"/>
      <c r="S20" s="2"/>
      <c r="T20" s="2">
        <f>--479.34</f>
        <v>479.34</v>
      </c>
      <c r="U20" s="2"/>
      <c r="V20" s="22"/>
      <c r="W20" s="2"/>
      <c r="X20" s="2">
        <f t="shared" si="2"/>
        <v>-300.04999999999995</v>
      </c>
      <c r="Y20" s="2"/>
      <c r="Z20" s="22">
        <f t="shared" si="3"/>
        <v>-0.62596486836066256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0</f>
        <v>0</v>
      </c>
      <c r="E21" s="2"/>
      <c r="F21" s="22"/>
      <c r="G21" s="2"/>
      <c r="H21" s="2">
        <f>--39.9</f>
        <v>39.9</v>
      </c>
      <c r="I21" s="2"/>
      <c r="J21" s="22"/>
      <c r="K21" s="2"/>
      <c r="L21" s="2">
        <f t="shared" si="0"/>
        <v>-39.9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f>--39.9</f>
        <v>39.9</v>
      </c>
      <c r="U21" s="2"/>
      <c r="V21" s="22"/>
      <c r="W21" s="2"/>
      <c r="X21" s="2">
        <f t="shared" si="2"/>
        <v>-39.9</v>
      </c>
      <c r="Y21" s="2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>
        <f>--619.88</f>
        <v>619.88</v>
      </c>
      <c r="I22" s="2"/>
      <c r="J22" s="22"/>
      <c r="K22" s="2"/>
      <c r="L22" s="2">
        <f t="shared" si="0"/>
        <v>-227.58999999999997</v>
      </c>
      <c r="M22" s="2"/>
      <c r="N22" s="22">
        <f t="shared" si="1"/>
        <v>-0.36715170678195774</v>
      </c>
      <c r="O22" s="11"/>
      <c r="P22" s="2">
        <f>--392.29</f>
        <v>392.29</v>
      </c>
      <c r="Q22" s="2"/>
      <c r="R22" s="22"/>
      <c r="S22" s="2"/>
      <c r="T22" s="2">
        <f>--619.88</f>
        <v>619.88</v>
      </c>
      <c r="U22" s="2"/>
      <c r="V22" s="22"/>
      <c r="W22" s="2"/>
      <c r="X22" s="2">
        <f t="shared" si="2"/>
        <v>-227.58999999999997</v>
      </c>
      <c r="Y22" s="2"/>
      <c r="Z22" s="22">
        <f t="shared" si="3"/>
        <v>-0.36715170678195774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>
        <f>--2074.52</f>
        <v>2074.52</v>
      </c>
      <c r="I23" s="2"/>
      <c r="J23" s="22"/>
      <c r="K23" s="2"/>
      <c r="L23" s="2">
        <f t="shared" si="0"/>
        <v>-139.01</v>
      </c>
      <c r="M23" s="2"/>
      <c r="N23" s="22">
        <f t="shared" si="1"/>
        <v>-6.7008271792993068E-2</v>
      </c>
      <c r="O23" s="11"/>
      <c r="P23" s="2">
        <f>--1935.51</f>
        <v>1935.51</v>
      </c>
      <c r="Q23" s="2"/>
      <c r="R23" s="22"/>
      <c r="S23" s="2"/>
      <c r="T23" s="2">
        <f>--2074.52</f>
        <v>2074.52</v>
      </c>
      <c r="U23" s="2"/>
      <c r="V23" s="22"/>
      <c r="W23" s="2"/>
      <c r="X23" s="2">
        <f t="shared" si="2"/>
        <v>-139.01</v>
      </c>
      <c r="Y23" s="2"/>
      <c r="Z23" s="22">
        <f t="shared" si="3"/>
        <v>-6.7008271792993068E-2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>
        <f>--11922.5</f>
        <v>11922.5</v>
      </c>
      <c r="I24" s="2"/>
      <c r="J24" s="22"/>
      <c r="K24" s="2"/>
      <c r="L24" s="2">
        <f t="shared" si="0"/>
        <v>1227.5</v>
      </c>
      <c r="M24" s="2"/>
      <c r="N24" s="22">
        <f t="shared" si="1"/>
        <v>0.10295659467393584</v>
      </c>
      <c r="O24" s="11"/>
      <c r="P24" s="2">
        <f>--13150</f>
        <v>13150</v>
      </c>
      <c r="Q24" s="2"/>
      <c r="R24" s="22"/>
      <c r="S24" s="2"/>
      <c r="T24" s="2">
        <f>--11922.5</f>
        <v>11922.5</v>
      </c>
      <c r="U24" s="2"/>
      <c r="V24" s="22"/>
      <c r="W24" s="2"/>
      <c r="X24" s="2">
        <f t="shared" si="2"/>
        <v>1227.5</v>
      </c>
      <c r="Y24" s="2"/>
      <c r="Z24" s="22">
        <f t="shared" si="3"/>
        <v>0.10295659467393584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>
        <f>--2013.49</f>
        <v>2013.49</v>
      </c>
      <c r="I25" s="2"/>
      <c r="J25" s="22"/>
      <c r="K25" s="2"/>
      <c r="L25" s="2">
        <f t="shared" si="0"/>
        <v>270.66999999999985</v>
      </c>
      <c r="M25" s="2"/>
      <c r="N25" s="22">
        <f t="shared" si="1"/>
        <v>0.13442828124301578</v>
      </c>
      <c r="O25" s="11"/>
      <c r="P25" s="2">
        <f>--2284.16</f>
        <v>2284.16</v>
      </c>
      <c r="Q25" s="2"/>
      <c r="R25" s="22"/>
      <c r="S25" s="2"/>
      <c r="T25" s="2">
        <f>--2013.49</f>
        <v>2013.49</v>
      </c>
      <c r="U25" s="2"/>
      <c r="V25" s="22"/>
      <c r="W25" s="2"/>
      <c r="X25" s="2">
        <f t="shared" si="2"/>
        <v>270.66999999999985</v>
      </c>
      <c r="Y25" s="2"/>
      <c r="Z25" s="22">
        <f t="shared" si="3"/>
        <v>0.13442828124301578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>
        <f>--1.23</f>
        <v>1.23</v>
      </c>
      <c r="I26" s="2"/>
      <c r="J26" s="22"/>
      <c r="K26" s="2"/>
      <c r="L26" s="2">
        <f t="shared" si="0"/>
        <v>0.29000000000000004</v>
      </c>
      <c r="M26" s="2"/>
      <c r="N26" s="22">
        <f t="shared" si="1"/>
        <v>0.23577235772357727</v>
      </c>
      <c r="O26" s="11"/>
      <c r="P26" s="2">
        <f>--1.52</f>
        <v>1.52</v>
      </c>
      <c r="Q26" s="2"/>
      <c r="R26" s="22"/>
      <c r="S26" s="2"/>
      <c r="T26" s="2">
        <f>--1.23</f>
        <v>1.23</v>
      </c>
      <c r="U26" s="2"/>
      <c r="V26" s="22"/>
      <c r="W26" s="2"/>
      <c r="X26" s="2">
        <f t="shared" si="2"/>
        <v>0.29000000000000004</v>
      </c>
      <c r="Y26" s="2"/>
      <c r="Z26" s="22">
        <f t="shared" si="3"/>
        <v>0.23577235772357727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--6881.73</f>
        <v>6881.73</v>
      </c>
      <c r="E27" s="2"/>
      <c r="F27" s="22"/>
      <c r="G27" s="2"/>
      <c r="H27" s="2">
        <f>--7221.96</f>
        <v>7221.96</v>
      </c>
      <c r="I27" s="2"/>
      <c r="J27" s="22"/>
      <c r="K27" s="2"/>
      <c r="L27" s="2">
        <f t="shared" si="0"/>
        <v>-340.23000000000047</v>
      </c>
      <c r="M27" s="2"/>
      <c r="N27" s="22">
        <f t="shared" si="1"/>
        <v>-4.7110479703570844E-2</v>
      </c>
      <c r="O27" s="11"/>
      <c r="P27" s="2">
        <f>--6881.73</f>
        <v>6881.73</v>
      </c>
      <c r="Q27" s="2"/>
      <c r="R27" s="22"/>
      <c r="S27" s="2"/>
      <c r="T27" s="2">
        <f>--7221.96</f>
        <v>7221.96</v>
      </c>
      <c r="U27" s="2"/>
      <c r="V27" s="22"/>
      <c r="W27" s="2"/>
      <c r="X27" s="2">
        <f t="shared" si="2"/>
        <v>-340.23000000000047</v>
      </c>
      <c r="Y27" s="2"/>
      <c r="Z27" s="22">
        <f t="shared" si="3"/>
        <v>-4.7110479703570844E-2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>
        <f>--0.68</f>
        <v>0.68</v>
      </c>
      <c r="I28" s="2"/>
      <c r="J28" s="22"/>
      <c r="K28" s="2"/>
      <c r="L28" s="2">
        <f t="shared" si="0"/>
        <v>2.4899999999999998</v>
      </c>
      <c r="M28" s="2"/>
      <c r="N28" s="22">
        <f t="shared" si="1"/>
        <v>3.6617647058823524</v>
      </c>
      <c r="O28" s="11"/>
      <c r="P28" s="2">
        <f>--3.17</f>
        <v>3.17</v>
      </c>
      <c r="Q28" s="2"/>
      <c r="R28" s="22"/>
      <c r="S28" s="2"/>
      <c r="T28" s="2">
        <f>--0.68</f>
        <v>0.68</v>
      </c>
      <c r="U28" s="2"/>
      <c r="V28" s="22"/>
      <c r="W28" s="2"/>
      <c r="X28" s="2">
        <f t="shared" si="2"/>
        <v>2.4899999999999998</v>
      </c>
      <c r="Y28" s="2"/>
      <c r="Z28" s="22">
        <f t="shared" si="3"/>
        <v>3.6617647058823524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--323.49</f>
        <v>323.49</v>
      </c>
      <c r="E29" s="2"/>
      <c r="F29" s="22"/>
      <c r="G29" s="2"/>
      <c r="H29" s="2">
        <f>--242.31</f>
        <v>242.31</v>
      </c>
      <c r="I29" s="2"/>
      <c r="J29" s="22"/>
      <c r="K29" s="2"/>
      <c r="L29" s="2">
        <f t="shared" si="0"/>
        <v>81.180000000000007</v>
      </c>
      <c r="M29" s="2"/>
      <c r="N29" s="22">
        <f t="shared" si="1"/>
        <v>0.3350253807106599</v>
      </c>
      <c r="O29" s="11"/>
      <c r="P29" s="2">
        <f>--323.49</f>
        <v>323.49</v>
      </c>
      <c r="Q29" s="2"/>
      <c r="R29" s="22"/>
      <c r="S29" s="2"/>
      <c r="T29" s="2">
        <f>--242.31</f>
        <v>242.31</v>
      </c>
      <c r="U29" s="2"/>
      <c r="V29" s="22"/>
      <c r="W29" s="2"/>
      <c r="X29" s="2">
        <f t="shared" si="2"/>
        <v>81.180000000000007</v>
      </c>
      <c r="Y29" s="2"/>
      <c r="Z29" s="22">
        <f t="shared" si="3"/>
        <v>0.3350253807106599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>
        <f>--48.05</f>
        <v>48.05</v>
      </c>
      <c r="I30" s="2"/>
      <c r="J30" s="22"/>
      <c r="K30" s="2"/>
      <c r="L30" s="2">
        <f t="shared" si="0"/>
        <v>-42.08</v>
      </c>
      <c r="M30" s="2"/>
      <c r="N30" s="22">
        <f t="shared" si="1"/>
        <v>-0.87575442247658686</v>
      </c>
      <c r="O30" s="11"/>
      <c r="P30" s="2">
        <f>--5.97</f>
        <v>5.97</v>
      </c>
      <c r="Q30" s="2"/>
      <c r="R30" s="22"/>
      <c r="S30" s="2"/>
      <c r="T30" s="2">
        <f>--48.05</f>
        <v>48.05</v>
      </c>
      <c r="U30" s="2"/>
      <c r="V30" s="22"/>
      <c r="W30" s="2"/>
      <c r="X30" s="2">
        <f t="shared" si="2"/>
        <v>-42.08</v>
      </c>
      <c r="Y30" s="2"/>
      <c r="Z30" s="22">
        <f t="shared" si="3"/>
        <v>-0.87575442247658686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>
        <f>--5.31</f>
        <v>5.31</v>
      </c>
      <c r="I31" s="2"/>
      <c r="J31" s="22"/>
      <c r="K31" s="2"/>
      <c r="L31" s="2">
        <f t="shared" si="0"/>
        <v>-1.9999999999999574E-2</v>
      </c>
      <c r="M31" s="2"/>
      <c r="N31" s="22">
        <f t="shared" si="1"/>
        <v>-3.7664783427494492E-3</v>
      </c>
      <c r="O31" s="11"/>
      <c r="P31" s="2">
        <f>--5.29</f>
        <v>5.29</v>
      </c>
      <c r="Q31" s="2"/>
      <c r="R31" s="22"/>
      <c r="S31" s="2"/>
      <c r="T31" s="2">
        <f>--5.31</f>
        <v>5.31</v>
      </c>
      <c r="U31" s="2"/>
      <c r="V31" s="22"/>
      <c r="W31" s="2"/>
      <c r="X31" s="2">
        <f t="shared" si="2"/>
        <v>-1.9999999999999574E-2</v>
      </c>
      <c r="Y31" s="2"/>
      <c r="Z31" s="22">
        <f t="shared" si="3"/>
        <v>-3.7664783427494492E-3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>
        <f>--145971.66</f>
        <v>145971.66</v>
      </c>
      <c r="I32" s="2"/>
      <c r="J32" s="22"/>
      <c r="K32" s="2"/>
      <c r="L32" s="2">
        <f t="shared" si="0"/>
        <v>24340.359999999986</v>
      </c>
      <c r="M32" s="2"/>
      <c r="N32" s="22">
        <f t="shared" si="1"/>
        <v>0.16674716174358767</v>
      </c>
      <c r="O32" s="11"/>
      <c r="P32" s="2">
        <f>--170312.02</f>
        <v>170312.02</v>
      </c>
      <c r="Q32" s="2"/>
      <c r="R32" s="22"/>
      <c r="S32" s="2"/>
      <c r="T32" s="2">
        <f>--145971.66</f>
        <v>145971.66</v>
      </c>
      <c r="U32" s="2"/>
      <c r="V32" s="22"/>
      <c r="W32" s="2"/>
      <c r="X32" s="2">
        <f t="shared" si="2"/>
        <v>24340.359999999986</v>
      </c>
      <c r="Y32" s="2"/>
      <c r="Z32" s="22">
        <f t="shared" si="3"/>
        <v>0.16674716174358767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>
        <f>--35178.08</f>
        <v>35178.080000000002</v>
      </c>
      <c r="I33" s="2"/>
      <c r="J33" s="22"/>
      <c r="K33" s="2"/>
      <c r="L33" s="2">
        <f t="shared" si="0"/>
        <v>-4136.4900000000016</v>
      </c>
      <c r="M33" s="2"/>
      <c r="N33" s="22">
        <f t="shared" si="1"/>
        <v>-0.11758714517676921</v>
      </c>
      <c r="O33" s="11"/>
      <c r="P33" s="2">
        <f>--31041.59</f>
        <v>31041.59</v>
      </c>
      <c r="Q33" s="2"/>
      <c r="R33" s="22"/>
      <c r="S33" s="2"/>
      <c r="T33" s="2">
        <f>--35178.08</f>
        <v>35178.080000000002</v>
      </c>
      <c r="U33" s="2"/>
      <c r="V33" s="22"/>
      <c r="W33" s="2"/>
      <c r="X33" s="2">
        <f t="shared" si="2"/>
        <v>-4136.4900000000016</v>
      </c>
      <c r="Y33" s="2"/>
      <c r="Z33" s="22">
        <f t="shared" si="3"/>
        <v>-0.11758714517676921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>
        <f>--13180.4</f>
        <v>13180.4</v>
      </c>
      <c r="I34" s="2"/>
      <c r="J34" s="22"/>
      <c r="K34" s="2"/>
      <c r="L34" s="2">
        <f t="shared" si="0"/>
        <v>2412.6499999999996</v>
      </c>
      <c r="M34" s="2"/>
      <c r="N34" s="22">
        <f t="shared" si="1"/>
        <v>0.1830483141634548</v>
      </c>
      <c r="O34" s="11"/>
      <c r="P34" s="2">
        <f>--15593.05</f>
        <v>15593.05</v>
      </c>
      <c r="Q34" s="2"/>
      <c r="R34" s="22"/>
      <c r="S34" s="2"/>
      <c r="T34" s="2">
        <f>--13180.4</f>
        <v>13180.4</v>
      </c>
      <c r="U34" s="2"/>
      <c r="V34" s="22"/>
      <c r="W34" s="2"/>
      <c r="X34" s="2">
        <f t="shared" si="2"/>
        <v>2412.6499999999996</v>
      </c>
      <c r="Y34" s="2"/>
      <c r="Z34" s="22">
        <f t="shared" si="3"/>
        <v>0.1830483141634548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>
        <f>--210.22</f>
        <v>210.22</v>
      </c>
      <c r="I35" s="2"/>
      <c r="J35" s="22"/>
      <c r="K35" s="2"/>
      <c r="L35" s="2">
        <f t="shared" si="0"/>
        <v>-153.82</v>
      </c>
      <c r="M35" s="2"/>
      <c r="N35" s="22">
        <f t="shared" si="1"/>
        <v>-0.73170963752259532</v>
      </c>
      <c r="O35" s="11"/>
      <c r="P35" s="2">
        <f>--56.4</f>
        <v>56.4</v>
      </c>
      <c r="Q35" s="2"/>
      <c r="R35" s="22"/>
      <c r="S35" s="2"/>
      <c r="T35" s="2">
        <f>--210.22</f>
        <v>210.22</v>
      </c>
      <c r="U35" s="2"/>
      <c r="V35" s="22"/>
      <c r="W35" s="2"/>
      <c r="X35" s="2">
        <f t="shared" si="2"/>
        <v>-153.82</v>
      </c>
      <c r="Y35" s="2"/>
      <c r="Z35" s="22">
        <f t="shared" si="3"/>
        <v>-0.73170963752259532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>
        <f>--3757.84</f>
        <v>3757.84</v>
      </c>
      <c r="I36" s="2"/>
      <c r="J36" s="22"/>
      <c r="K36" s="2"/>
      <c r="L36" s="2">
        <f t="shared" si="0"/>
        <v>-1415.19</v>
      </c>
      <c r="M36" s="2"/>
      <c r="N36" s="22">
        <f t="shared" si="1"/>
        <v>-0.37659666191216229</v>
      </c>
      <c r="O36" s="11"/>
      <c r="P36" s="2">
        <f>--2342.65</f>
        <v>2342.65</v>
      </c>
      <c r="Q36" s="2"/>
      <c r="R36" s="22"/>
      <c r="S36" s="2"/>
      <c r="T36" s="2">
        <f>--3757.84</f>
        <v>3757.84</v>
      </c>
      <c r="U36" s="2"/>
      <c r="V36" s="22"/>
      <c r="W36" s="2"/>
      <c r="X36" s="2">
        <f t="shared" si="2"/>
        <v>-1415.19</v>
      </c>
      <c r="Y36" s="2"/>
      <c r="Z36" s="22">
        <f t="shared" si="3"/>
        <v>-0.37659666191216229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>
        <f>--25309.57</f>
        <v>25309.57</v>
      </c>
      <c r="I37" s="2"/>
      <c r="J37" s="22"/>
      <c r="K37" s="2"/>
      <c r="L37" s="2">
        <f t="shared" si="0"/>
        <v>-5888.8499999999985</v>
      </c>
      <c r="M37" s="2"/>
      <c r="N37" s="22">
        <f t="shared" si="1"/>
        <v>-0.23267285852742653</v>
      </c>
      <c r="O37" s="11"/>
      <c r="P37" s="2">
        <f>--19420.72</f>
        <v>19420.72</v>
      </c>
      <c r="Q37" s="2"/>
      <c r="R37" s="22"/>
      <c r="S37" s="2"/>
      <c r="T37" s="2">
        <f>--25309.57</f>
        <v>25309.57</v>
      </c>
      <c r="U37" s="2"/>
      <c r="V37" s="22"/>
      <c r="W37" s="2"/>
      <c r="X37" s="2">
        <f t="shared" si="2"/>
        <v>-5888.8499999999985</v>
      </c>
      <c r="Y37" s="2"/>
      <c r="Z37" s="22">
        <f t="shared" si="3"/>
        <v>-0.23267285852742653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>
        <f>--49.99</f>
        <v>49.99</v>
      </c>
      <c r="I38" s="2"/>
      <c r="J38" s="22"/>
      <c r="K38" s="2"/>
      <c r="L38" s="2">
        <f t="shared" si="0"/>
        <v>-9.990000000000002</v>
      </c>
      <c r="M38" s="2"/>
      <c r="N38" s="22">
        <f t="shared" si="1"/>
        <v>-0.19983996799359874</v>
      </c>
      <c r="O38" s="11"/>
      <c r="P38" s="2">
        <f>--40</f>
        <v>40</v>
      </c>
      <c r="Q38" s="2"/>
      <c r="R38" s="22"/>
      <c r="S38" s="2"/>
      <c r="T38" s="2">
        <f>--49.99</f>
        <v>49.99</v>
      </c>
      <c r="U38" s="2"/>
      <c r="V38" s="22"/>
      <c r="W38" s="2"/>
      <c r="X38" s="2">
        <f t="shared" si="2"/>
        <v>-9.990000000000002</v>
      </c>
      <c r="Y38" s="2"/>
      <c r="Z38" s="22">
        <f t="shared" si="3"/>
        <v>-0.19983996799359874</v>
      </c>
    </row>
    <row r="39" spans="1:26" s="24" customFormat="1" hidden="1" outlineLevel="1" x14ac:dyDescent="0.25">
      <c r="A39" s="50"/>
      <c r="B39" s="11" t="str">
        <f>CONCATENATE("          ", "4051", " - ", "TAXABLE SALES-FOOD")</f>
        <v xml:space="preserve">          4051 - TAXABLE SALES-FOOD</v>
      </c>
      <c r="C39" s="11"/>
      <c r="D39" s="2">
        <f>--22606.37</f>
        <v>22606.37</v>
      </c>
      <c r="E39" s="2"/>
      <c r="F39" s="22"/>
      <c r="G39" s="2"/>
      <c r="H39" s="2">
        <f>--24520.39</f>
        <v>24520.39</v>
      </c>
      <c r="I39" s="2"/>
      <c r="J39" s="22"/>
      <c r="K39" s="2"/>
      <c r="L39" s="2">
        <f t="shared" si="0"/>
        <v>-1914.0200000000004</v>
      </c>
      <c r="M39" s="2"/>
      <c r="N39" s="22">
        <f t="shared" si="1"/>
        <v>-7.8058301682803602E-2</v>
      </c>
      <c r="O39" s="11"/>
      <c r="P39" s="2">
        <f>--22606.37</f>
        <v>22606.37</v>
      </c>
      <c r="Q39" s="2"/>
      <c r="R39" s="22"/>
      <c r="S39" s="2"/>
      <c r="T39" s="2">
        <f>--24520.39</f>
        <v>24520.39</v>
      </c>
      <c r="U39" s="2"/>
      <c r="V39" s="22"/>
      <c r="W39" s="2"/>
      <c r="X39" s="2">
        <f t="shared" si="2"/>
        <v>-1914.0200000000004</v>
      </c>
      <c r="Y39" s="2"/>
      <c r="Z39" s="22">
        <f t="shared" si="3"/>
        <v>-7.8058301682803602E-2</v>
      </c>
    </row>
    <row r="40" spans="1:26" s="24" customFormat="1" hidden="1" outlineLevel="1" x14ac:dyDescent="0.25">
      <c r="A40" s="50"/>
      <c r="B40" s="11" t="str">
        <f>CONCATENATE("          ", "4052", " - ", "TAXABLE SALES-FOOD")</f>
        <v xml:space="preserve">          4052 - TAXABLE SALES-FOOD</v>
      </c>
      <c r="C40" s="11"/>
      <c r="D40" s="2">
        <f>--43778.84</f>
        <v>43778.84</v>
      </c>
      <c r="E40" s="2"/>
      <c r="F40" s="22"/>
      <c r="G40" s="2"/>
      <c r="H40" s="2">
        <f>--99639.78</f>
        <v>99639.78</v>
      </c>
      <c r="I40" s="2"/>
      <c r="J40" s="22"/>
      <c r="K40" s="2"/>
      <c r="L40" s="2">
        <f t="shared" si="0"/>
        <v>-55860.94</v>
      </c>
      <c r="M40" s="2"/>
      <c r="N40" s="22">
        <f t="shared" si="1"/>
        <v>-0.56062889741426569</v>
      </c>
      <c r="O40" s="11"/>
      <c r="P40" s="2">
        <f>--43778.84</f>
        <v>43778.84</v>
      </c>
      <c r="Q40" s="2"/>
      <c r="R40" s="22"/>
      <c r="S40" s="2"/>
      <c r="T40" s="2">
        <f>--99639.78</f>
        <v>99639.78</v>
      </c>
      <c r="U40" s="2"/>
      <c r="V40" s="22"/>
      <c r="W40" s="2"/>
      <c r="X40" s="2">
        <f t="shared" si="2"/>
        <v>-55860.94</v>
      </c>
      <c r="Y40" s="2"/>
      <c r="Z40" s="22">
        <f t="shared" si="3"/>
        <v>-0.56062889741426569</v>
      </c>
    </row>
    <row r="41" spans="1:26" s="24" customFormat="1" hidden="1" outlineLevel="1" x14ac:dyDescent="0.25">
      <c r="A41" s="50"/>
      <c r="B41" s="11" t="str">
        <f>CONCATENATE("          ", "4053", " - ", "TAXABLE SALES-FOOD")</f>
        <v xml:space="preserve">          4053 - TAXABLE SALES-FOOD</v>
      </c>
      <c r="C41" s="11"/>
      <c r="D41" s="2">
        <f>--26075.21</f>
        <v>26075.21</v>
      </c>
      <c r="E41" s="2"/>
      <c r="F41" s="22"/>
      <c r="G41" s="2"/>
      <c r="H41" s="2">
        <f>--14026.7</f>
        <v>14026.7</v>
      </c>
      <c r="I41" s="2"/>
      <c r="J41" s="22"/>
      <c r="K41" s="2"/>
      <c r="L41" s="2">
        <f t="shared" si="0"/>
        <v>12048.509999999998</v>
      </c>
      <c r="M41" s="2"/>
      <c r="N41" s="22">
        <f t="shared" si="1"/>
        <v>0.85896967925456436</v>
      </c>
      <c r="O41" s="11"/>
      <c r="P41" s="2">
        <f>--26075.21</f>
        <v>26075.21</v>
      </c>
      <c r="Q41" s="2"/>
      <c r="R41" s="22"/>
      <c r="S41" s="2"/>
      <c r="T41" s="2">
        <f>--14026.7</f>
        <v>14026.7</v>
      </c>
      <c r="U41" s="2"/>
      <c r="V41" s="22"/>
      <c r="W41" s="2"/>
      <c r="X41" s="2">
        <f t="shared" si="2"/>
        <v>12048.509999999998</v>
      </c>
      <c r="Y41" s="2"/>
      <c r="Z41" s="22">
        <f t="shared" si="3"/>
        <v>0.85896967925456436</v>
      </c>
    </row>
    <row r="42" spans="1:26" s="24" customFormat="1" hidden="1" outlineLevel="1" x14ac:dyDescent="0.25">
      <c r="A42" s="50"/>
      <c r="B42" s="11" t="str">
        <f>CONCATENATE("          ", "4055", " - ", "TAXABLE SALES-FOOD")</f>
        <v xml:space="preserve">          4055 - TAXABLE SALES-FOOD</v>
      </c>
      <c r="C42" s="11"/>
      <c r="D42" s="2">
        <f>--14243.63</f>
        <v>14243.63</v>
      </c>
      <c r="E42" s="2"/>
      <c r="F42" s="22"/>
      <c r="G42" s="2"/>
      <c r="H42" s="2">
        <f>--18095.82</f>
        <v>18095.82</v>
      </c>
      <c r="I42" s="2"/>
      <c r="J42" s="22"/>
      <c r="K42" s="2"/>
      <c r="L42" s="2">
        <f t="shared" si="0"/>
        <v>-3852.1900000000005</v>
      </c>
      <c r="M42" s="2"/>
      <c r="N42" s="22">
        <f t="shared" si="1"/>
        <v>-0.21287733852348226</v>
      </c>
      <c r="O42" s="11"/>
      <c r="P42" s="2">
        <f>--14243.63</f>
        <v>14243.63</v>
      </c>
      <c r="Q42" s="2"/>
      <c r="R42" s="22"/>
      <c r="S42" s="2"/>
      <c r="T42" s="2">
        <f>--18095.82</f>
        <v>18095.82</v>
      </c>
      <c r="U42" s="2"/>
      <c r="V42" s="22"/>
      <c r="W42" s="2"/>
      <c r="X42" s="2">
        <f t="shared" si="2"/>
        <v>-3852.1900000000005</v>
      </c>
      <c r="Y42" s="2"/>
      <c r="Z42" s="22">
        <f t="shared" si="3"/>
        <v>-0.21287733852348226</v>
      </c>
    </row>
    <row r="43" spans="1:26" s="24" customFormat="1" hidden="1" outlineLevel="1" x14ac:dyDescent="0.25">
      <c r="A43" s="50"/>
      <c r="B43" s="11" t="str">
        <f>CONCATENATE("          ", "4058", " - ", "TAXABLE SALES-FOOD")</f>
        <v xml:space="preserve">          4058 - TAXABLE SALES-FOOD</v>
      </c>
      <c r="C43" s="11"/>
      <c r="D43" s="2">
        <f>--8401.66</f>
        <v>8401.66</v>
      </c>
      <c r="E43" s="2"/>
      <c r="F43" s="22"/>
      <c r="G43" s="2"/>
      <c r="H43" s="2">
        <f>--15184.02</f>
        <v>15184.02</v>
      </c>
      <c r="I43" s="2"/>
      <c r="J43" s="22"/>
      <c r="K43" s="2"/>
      <c r="L43" s="2">
        <f t="shared" si="0"/>
        <v>-6782.3600000000006</v>
      </c>
      <c r="M43" s="2"/>
      <c r="N43" s="22">
        <f t="shared" si="1"/>
        <v>-0.44667749383891753</v>
      </c>
      <c r="O43" s="11"/>
      <c r="P43" s="2">
        <f>--8401.66</f>
        <v>8401.66</v>
      </c>
      <c r="Q43" s="2"/>
      <c r="R43" s="22"/>
      <c r="S43" s="2"/>
      <c r="T43" s="2">
        <f>--15184.02</f>
        <v>15184.02</v>
      </c>
      <c r="U43" s="2"/>
      <c r="V43" s="22"/>
      <c r="W43" s="2"/>
      <c r="X43" s="2">
        <f t="shared" si="2"/>
        <v>-6782.3600000000006</v>
      </c>
      <c r="Y43" s="2"/>
      <c r="Z43" s="22">
        <f t="shared" si="3"/>
        <v>-0.44667749383891753</v>
      </c>
    </row>
    <row r="44" spans="1:26" s="24" customFormat="1" hidden="1" outlineLevel="1" x14ac:dyDescent="0.25">
      <c r="A44" s="50"/>
      <c r="B44" s="11" t="str">
        <f>CONCATENATE("          ", "4081", " - ", "TAXABLE SALES-ELECTRONICS")</f>
        <v xml:space="preserve">          4081 - TAXABLE SALES-ELECTRONICS</v>
      </c>
      <c r="C44" s="11"/>
      <c r="D44" s="2">
        <f>--20952.57</f>
        <v>20952.57</v>
      </c>
      <c r="E44" s="2"/>
      <c r="F44" s="22"/>
      <c r="G44" s="2"/>
      <c r="H44" s="2">
        <f>--17056.88</f>
        <v>17056.88</v>
      </c>
      <c r="I44" s="2"/>
      <c r="J44" s="22"/>
      <c r="K44" s="2"/>
      <c r="L44" s="2">
        <f t="shared" si="0"/>
        <v>3895.6899999999987</v>
      </c>
      <c r="M44" s="2"/>
      <c r="N44" s="22">
        <f t="shared" si="1"/>
        <v>0.22839405565378887</v>
      </c>
      <c r="O44" s="11"/>
      <c r="P44" s="2">
        <f>--20952.57</f>
        <v>20952.57</v>
      </c>
      <c r="Q44" s="2"/>
      <c r="R44" s="22"/>
      <c r="S44" s="2"/>
      <c r="T44" s="2">
        <f>--17056.88</f>
        <v>17056.88</v>
      </c>
      <c r="U44" s="2"/>
      <c r="V44" s="22"/>
      <c r="W44" s="2"/>
      <c r="X44" s="2">
        <f t="shared" si="2"/>
        <v>3895.6899999999987</v>
      </c>
      <c r="Y44" s="2"/>
      <c r="Z44" s="22">
        <f t="shared" si="3"/>
        <v>0.22839405565378887</v>
      </c>
    </row>
    <row r="45" spans="1:26" s="24" customFormat="1" hidden="1" outlineLevel="1" x14ac:dyDescent="0.25">
      <c r="A45" s="50"/>
      <c r="B45" s="11" t="str">
        <f>CONCATENATE("          ", "4082", " - ", "TAXABLE SALES-COMPUTER HARDWAR")</f>
        <v xml:space="preserve">          4082 - TAXABLE SALES-COMPUTER HARDWAR</v>
      </c>
      <c r="C45" s="11"/>
      <c r="D45" s="2">
        <f>--398788.74</f>
        <v>398788.74</v>
      </c>
      <c r="E45" s="2"/>
      <c r="F45" s="22"/>
      <c r="G45" s="2"/>
      <c r="H45" s="2">
        <f>--371248.83</f>
        <v>371248.83</v>
      </c>
      <c r="I45" s="2"/>
      <c r="J45" s="22"/>
      <c r="K45" s="2"/>
      <c r="L45" s="2">
        <f t="shared" si="0"/>
        <v>27539.909999999974</v>
      </c>
      <c r="M45" s="2"/>
      <c r="N45" s="22">
        <f t="shared" si="1"/>
        <v>7.4181809542672422E-2</v>
      </c>
      <c r="O45" s="11"/>
      <c r="P45" s="2">
        <f>--398788.74</f>
        <v>398788.74</v>
      </c>
      <c r="Q45" s="2"/>
      <c r="R45" s="22"/>
      <c r="S45" s="2"/>
      <c r="T45" s="2">
        <f>--371248.83</f>
        <v>371248.83</v>
      </c>
      <c r="U45" s="2"/>
      <c r="V45" s="22"/>
      <c r="W45" s="2"/>
      <c r="X45" s="2">
        <f t="shared" si="2"/>
        <v>27539.909999999974</v>
      </c>
      <c r="Y45" s="2"/>
      <c r="Z45" s="22">
        <f t="shared" si="3"/>
        <v>7.4181809542672422E-2</v>
      </c>
    </row>
    <row r="46" spans="1:26" s="24" customFormat="1" hidden="1" outlineLevel="1" x14ac:dyDescent="0.25">
      <c r="A46" s="50"/>
      <c r="B46" s="11" t="str">
        <f>CONCATENATE("          ", "4083", " - ", "TAXABLE SALES-COMPUTER EQUIPME")</f>
        <v xml:space="preserve">          4083 - TAXABLE SALES-COMPUTER EQUIPME</v>
      </c>
      <c r="C46" s="11"/>
      <c r="D46" s="2">
        <f>--7906.1</f>
        <v>7906.1</v>
      </c>
      <c r="E46" s="2"/>
      <c r="F46" s="22"/>
      <c r="G46" s="2"/>
      <c r="H46" s="2">
        <f>--7437.48</f>
        <v>7437.48</v>
      </c>
      <c r="I46" s="2"/>
      <c r="J46" s="22"/>
      <c r="K46" s="2"/>
      <c r="L46" s="2">
        <f t="shared" si="0"/>
        <v>468.6200000000008</v>
      </c>
      <c r="M46" s="2"/>
      <c r="N46" s="22">
        <f t="shared" si="1"/>
        <v>6.30079005254469E-2</v>
      </c>
      <c r="O46" s="11"/>
      <c r="P46" s="2">
        <f>--7906.1</f>
        <v>7906.1</v>
      </c>
      <c r="Q46" s="2"/>
      <c r="R46" s="22"/>
      <c r="S46" s="2"/>
      <c r="T46" s="2">
        <f>--7437.48</f>
        <v>7437.48</v>
      </c>
      <c r="U46" s="2"/>
      <c r="V46" s="22"/>
      <c r="W46" s="2"/>
      <c r="X46" s="2">
        <f t="shared" si="2"/>
        <v>468.6200000000008</v>
      </c>
      <c r="Y46" s="2"/>
      <c r="Z46" s="22">
        <f t="shared" si="3"/>
        <v>6.30079005254469E-2</v>
      </c>
    </row>
    <row r="47" spans="1:26" s="24" customFormat="1" hidden="1" outlineLevel="1" x14ac:dyDescent="0.25">
      <c r="A47" s="50"/>
      <c r="B47" s="11" t="str">
        <f>CONCATENATE("          ", "4084", " - ", "TAXABLE SALES-SOFTWARE LICENSE")</f>
        <v xml:space="preserve">          4084 - TAXABLE SALES-SOFTWARE LICENSE</v>
      </c>
      <c r="C47" s="11"/>
      <c r="D47" s="2">
        <f>--129</f>
        <v>129</v>
      </c>
      <c r="E47" s="2"/>
      <c r="F47" s="22"/>
      <c r="G47" s="2"/>
      <c r="H47" s="2">
        <f>--278.99</f>
        <v>278.99</v>
      </c>
      <c r="I47" s="2"/>
      <c r="J47" s="22"/>
      <c r="K47" s="2"/>
      <c r="L47" s="2">
        <f t="shared" si="0"/>
        <v>-149.99</v>
      </c>
      <c r="M47" s="2"/>
      <c r="N47" s="22">
        <f t="shared" si="1"/>
        <v>-0.53761783576472277</v>
      </c>
      <c r="O47" s="11"/>
      <c r="P47" s="2">
        <f>--129</f>
        <v>129</v>
      </c>
      <c r="Q47" s="2"/>
      <c r="R47" s="22"/>
      <c r="S47" s="2"/>
      <c r="T47" s="2">
        <f>--278.99</f>
        <v>278.99</v>
      </c>
      <c r="U47" s="2"/>
      <c r="V47" s="22"/>
      <c r="W47" s="2"/>
      <c r="X47" s="2">
        <f t="shared" si="2"/>
        <v>-149.99</v>
      </c>
      <c r="Y47" s="2"/>
      <c r="Z47" s="22">
        <f t="shared" si="3"/>
        <v>-0.53761783576472277</v>
      </c>
    </row>
    <row r="48" spans="1:26" s="24" customFormat="1" hidden="1" outlineLevel="1" x14ac:dyDescent="0.25">
      <c r="A48" s="50"/>
      <c r="B48" s="11" t="str">
        <f>CONCATENATE("          ", "4085", " - ", "TAXABLE SALES-SOFTWARE")</f>
        <v xml:space="preserve">          4085 - TAXABLE SALES-SOFTWARE</v>
      </c>
      <c r="C48" s="11"/>
      <c r="D48" s="2">
        <f>--493.95</f>
        <v>493.95</v>
      </c>
      <c r="E48" s="2"/>
      <c r="F48" s="22"/>
      <c r="G48" s="2"/>
      <c r="H48" s="2">
        <f>--816</f>
        <v>816</v>
      </c>
      <c r="I48" s="2"/>
      <c r="J48" s="22"/>
      <c r="K48" s="2"/>
      <c r="L48" s="2">
        <f t="shared" si="0"/>
        <v>-322.05</v>
      </c>
      <c r="M48" s="2"/>
      <c r="N48" s="22">
        <f t="shared" si="1"/>
        <v>-0.39466911764705886</v>
      </c>
      <c r="O48" s="11"/>
      <c r="P48" s="2">
        <f>--493.95</f>
        <v>493.95</v>
      </c>
      <c r="Q48" s="2"/>
      <c r="R48" s="22"/>
      <c r="S48" s="2"/>
      <c r="T48" s="2">
        <f>--816</f>
        <v>816</v>
      </c>
      <c r="U48" s="2"/>
      <c r="V48" s="22"/>
      <c r="W48" s="2"/>
      <c r="X48" s="2">
        <f t="shared" si="2"/>
        <v>-322.05</v>
      </c>
      <c r="Y48" s="2"/>
      <c r="Z48" s="22">
        <f t="shared" si="3"/>
        <v>-0.39466911764705886</v>
      </c>
    </row>
    <row r="49" spans="1:26" s="24" customFormat="1" hidden="1" outlineLevel="1" x14ac:dyDescent="0.25">
      <c r="A49" s="50"/>
      <c r="B49" s="11" t="str">
        <f>CONCATENATE("          ", "4086", " - ", "TAXABLE SALES-COMPUTER SUPPLIE")</f>
        <v xml:space="preserve">          4086 - TAXABLE SALES-COMPUTER SUPPLIE</v>
      </c>
      <c r="C49" s="11"/>
      <c r="D49" s="2">
        <f>--1995.32</f>
        <v>1995.32</v>
      </c>
      <c r="E49" s="2"/>
      <c r="F49" s="22"/>
      <c r="G49" s="2"/>
      <c r="H49" s="2">
        <f>--4495.41</f>
        <v>4495.41</v>
      </c>
      <c r="I49" s="2"/>
      <c r="J49" s="22"/>
      <c r="K49" s="2"/>
      <c r="L49" s="2">
        <f t="shared" si="0"/>
        <v>-2500.09</v>
      </c>
      <c r="M49" s="2"/>
      <c r="N49" s="22">
        <f t="shared" si="1"/>
        <v>-0.55614282123321346</v>
      </c>
      <c r="O49" s="11"/>
      <c r="P49" s="2">
        <f>--1995.32</f>
        <v>1995.32</v>
      </c>
      <c r="Q49" s="2"/>
      <c r="R49" s="22"/>
      <c r="S49" s="2"/>
      <c r="T49" s="2">
        <f>--4495.41</f>
        <v>4495.41</v>
      </c>
      <c r="U49" s="2"/>
      <c r="V49" s="22"/>
      <c r="W49" s="2"/>
      <c r="X49" s="2">
        <f t="shared" si="2"/>
        <v>-2500.09</v>
      </c>
      <c r="Y49" s="2"/>
      <c r="Z49" s="22">
        <f t="shared" si="3"/>
        <v>-0.55614282123321346</v>
      </c>
    </row>
    <row r="50" spans="1:26" s="24" customFormat="1" hidden="1" outlineLevel="1" x14ac:dyDescent="0.25">
      <c r="A50" s="50"/>
      <c r="B50" s="11" t="str">
        <f>CONCATENATE("          ", "4088", " - ", "TAXABLE SALES-MUSIC")</f>
        <v xml:space="preserve">          4088 - TAXABLE SALES-MUSIC</v>
      </c>
      <c r="C50" s="11"/>
      <c r="D50" s="2">
        <f>--258.99</f>
        <v>258.99</v>
      </c>
      <c r="E50" s="2"/>
      <c r="F50" s="22"/>
      <c r="G50" s="2"/>
      <c r="H50" s="2">
        <f>--330.99</f>
        <v>330.99</v>
      </c>
      <c r="I50" s="2"/>
      <c r="J50" s="22"/>
      <c r="K50" s="2"/>
      <c r="L50" s="2">
        <f t="shared" si="0"/>
        <v>-72</v>
      </c>
      <c r="M50" s="2"/>
      <c r="N50" s="22">
        <f t="shared" si="1"/>
        <v>-0.21752923049034714</v>
      </c>
      <c r="O50" s="11"/>
      <c r="P50" s="2">
        <f>--258.99</f>
        <v>258.99</v>
      </c>
      <c r="Q50" s="2"/>
      <c r="R50" s="22"/>
      <c r="S50" s="2"/>
      <c r="T50" s="2">
        <f>--330.99</f>
        <v>330.99</v>
      </c>
      <c r="U50" s="2"/>
      <c r="V50" s="22"/>
      <c r="W50" s="2"/>
      <c r="X50" s="2">
        <f t="shared" si="2"/>
        <v>-72</v>
      </c>
      <c r="Y50" s="2"/>
      <c r="Z50" s="22">
        <f t="shared" si="3"/>
        <v>-0.21752923049034714</v>
      </c>
    </row>
    <row r="51" spans="1:26" s="24" customFormat="1" hidden="1" outlineLevel="1" x14ac:dyDescent="0.25">
      <c r="A51" s="50"/>
      <c r="B51" s="11" t="str">
        <f>CONCATENATE("          ", "4092", " - ", "TAXABLE SALES-GRAD MERCH")</f>
        <v xml:space="preserve">          4092 - TAXABLE SALES-GRAD MERCH</v>
      </c>
      <c r="C51" s="11"/>
      <c r="D51" s="2">
        <f>--2128.63</f>
        <v>2128.63</v>
      </c>
      <c r="E51" s="2"/>
      <c r="F51" s="22"/>
      <c r="G51" s="2"/>
      <c r="H51" s="2">
        <f>--3338.5</f>
        <v>3338.5</v>
      </c>
      <c r="I51" s="2"/>
      <c r="J51" s="22"/>
      <c r="K51" s="2"/>
      <c r="L51" s="2">
        <f t="shared" si="0"/>
        <v>-1209.8699999999999</v>
      </c>
      <c r="M51" s="2"/>
      <c r="N51" s="22">
        <f t="shared" si="1"/>
        <v>-0.36239928111427283</v>
      </c>
      <c r="O51" s="11"/>
      <c r="P51" s="2">
        <f>--2128.63</f>
        <v>2128.63</v>
      </c>
      <c r="Q51" s="2"/>
      <c r="R51" s="22"/>
      <c r="S51" s="2"/>
      <c r="T51" s="2">
        <f>--3338.5</f>
        <v>3338.5</v>
      </c>
      <c r="U51" s="2"/>
      <c r="V51" s="22"/>
      <c r="W51" s="2"/>
      <c r="X51" s="2">
        <f t="shared" si="2"/>
        <v>-1209.8699999999999</v>
      </c>
      <c r="Y51" s="2"/>
      <c r="Z51" s="22">
        <f t="shared" si="3"/>
        <v>-0.36239928111427283</v>
      </c>
    </row>
    <row r="52" spans="1:26" s="24" customFormat="1" hidden="1" outlineLevel="1" x14ac:dyDescent="0.25">
      <c r="A52" s="50"/>
      <c r="B52" s="11" t="str">
        <f>CONCATENATE("          ", "4095", " - ", "TAXABLE SALES-CUSTOMER SERVICE")</f>
        <v xml:space="preserve">          4095 - TAXABLE SALES-CUSTOMER SERVICE</v>
      </c>
      <c r="C52" s="11"/>
      <c r="D52" s="2">
        <f>--46.53</f>
        <v>46.53</v>
      </c>
      <c r="E52" s="2"/>
      <c r="F52" s="22"/>
      <c r="G52" s="2"/>
      <c r="H52" s="2">
        <f>--187.11</f>
        <v>187.11</v>
      </c>
      <c r="I52" s="2"/>
      <c r="J52" s="22"/>
      <c r="K52" s="2"/>
      <c r="L52" s="2">
        <f t="shared" si="0"/>
        <v>-140.58000000000001</v>
      </c>
      <c r="M52" s="2"/>
      <c r="N52" s="22">
        <f t="shared" si="1"/>
        <v>-0.75132275132275128</v>
      </c>
      <c r="O52" s="11"/>
      <c r="P52" s="2">
        <f>--46.53</f>
        <v>46.53</v>
      </c>
      <c r="Q52" s="2"/>
      <c r="R52" s="22"/>
      <c r="S52" s="2"/>
      <c r="T52" s="2">
        <f>--187.11</f>
        <v>187.11</v>
      </c>
      <c r="U52" s="2"/>
      <c r="V52" s="22"/>
      <c r="W52" s="2"/>
      <c r="X52" s="2">
        <f t="shared" si="2"/>
        <v>-140.58000000000001</v>
      </c>
      <c r="Y52" s="2"/>
      <c r="Z52" s="22">
        <f t="shared" si="3"/>
        <v>-0.75132275132275128</v>
      </c>
    </row>
    <row r="53" spans="1:26" s="24" customFormat="1" hidden="1" outlineLevel="1" x14ac:dyDescent="0.25">
      <c r="A53" s="50"/>
      <c r="B53" s="11" t="str">
        <f>CONCATENATE("          ", "4100", " - ", "NON-TAXABLE SALES")</f>
        <v xml:space="preserve">          4100 - NON-TAXABLE SALES</v>
      </c>
      <c r="C53" s="11"/>
      <c r="D53" s="2">
        <f>--41173.2</f>
        <v>41173.199999999997</v>
      </c>
      <c r="E53" s="2"/>
      <c r="F53" s="22"/>
      <c r="G53" s="2"/>
      <c r="H53" s="2">
        <f>--76953.85</f>
        <v>76953.850000000006</v>
      </c>
      <c r="I53" s="2"/>
      <c r="J53" s="22"/>
      <c r="K53" s="2"/>
      <c r="L53" s="2">
        <f t="shared" si="0"/>
        <v>-35780.650000000009</v>
      </c>
      <c r="M53" s="2"/>
      <c r="N53" s="22">
        <f t="shared" si="1"/>
        <v>-0.46496244177516793</v>
      </c>
      <c r="O53" s="11"/>
      <c r="P53" s="2">
        <f>--41173.2</f>
        <v>41173.199999999997</v>
      </c>
      <c r="Q53" s="2"/>
      <c r="R53" s="22"/>
      <c r="S53" s="2"/>
      <c r="T53" s="2">
        <f>--76953.85</f>
        <v>76953.850000000006</v>
      </c>
      <c r="U53" s="2"/>
      <c r="V53" s="22"/>
      <c r="W53" s="2"/>
      <c r="X53" s="2">
        <f t="shared" si="2"/>
        <v>-35780.650000000009</v>
      </c>
      <c r="Y53" s="2"/>
      <c r="Z53" s="22">
        <f t="shared" si="3"/>
        <v>-0.46496244177516793</v>
      </c>
    </row>
    <row r="54" spans="1:26" s="24" customFormat="1" hidden="1" outlineLevel="1" x14ac:dyDescent="0.25">
      <c r="A54" s="50"/>
      <c r="B54" s="11" t="str">
        <f>CONCATENATE("          ", "4101", " - ", "NON-TAXABLE SALES-NEW TEXT")</f>
        <v xml:space="preserve">          4101 - NON-TAXABLE SALES-NEW TEXT</v>
      </c>
      <c r="C54" s="11"/>
      <c r="D54" s="2">
        <f>--7736.58</f>
        <v>7736.58</v>
      </c>
      <c r="E54" s="2"/>
      <c r="F54" s="22"/>
      <c r="G54" s="2"/>
      <c r="H54" s="2">
        <f>--16833.23</f>
        <v>16833.23</v>
      </c>
      <c r="I54" s="2"/>
      <c r="J54" s="22"/>
      <c r="K54" s="2"/>
      <c r="L54" s="2">
        <f t="shared" si="0"/>
        <v>-9096.65</v>
      </c>
      <c r="M54" s="2"/>
      <c r="N54" s="22">
        <f t="shared" si="1"/>
        <v>-0.5403983668018556</v>
      </c>
      <c r="O54" s="11"/>
      <c r="P54" s="2">
        <f>--7736.58</f>
        <v>7736.58</v>
      </c>
      <c r="Q54" s="2"/>
      <c r="R54" s="22"/>
      <c r="S54" s="2"/>
      <c r="T54" s="2">
        <f>--16833.23</f>
        <v>16833.23</v>
      </c>
      <c r="U54" s="2"/>
      <c r="V54" s="22"/>
      <c r="W54" s="2"/>
      <c r="X54" s="2">
        <f t="shared" si="2"/>
        <v>-9096.65</v>
      </c>
      <c r="Y54" s="2"/>
      <c r="Z54" s="22">
        <f t="shared" si="3"/>
        <v>-0.5403983668018556</v>
      </c>
    </row>
    <row r="55" spans="1:26" s="24" customFormat="1" hidden="1" outlineLevel="1" x14ac:dyDescent="0.25">
      <c r="A55" s="50"/>
      <c r="B55" s="11" t="str">
        <f>CONCATENATE("          ", "4102", " - ", "NON-TAXABLE SALES-USED TEXT")</f>
        <v xml:space="preserve">          4102 - NON-TAXABLE SALES-USED TEXT</v>
      </c>
      <c r="C55" s="11"/>
      <c r="D55" s="2">
        <f>--5359.24</f>
        <v>5359.24</v>
      </c>
      <c r="E55" s="2"/>
      <c r="F55" s="22"/>
      <c r="G55" s="2"/>
      <c r="H55" s="2">
        <f>--2616.94</f>
        <v>2616.94</v>
      </c>
      <c r="I55" s="2"/>
      <c r="J55" s="22"/>
      <c r="K55" s="2"/>
      <c r="L55" s="2">
        <f t="shared" si="0"/>
        <v>2742.2999999999997</v>
      </c>
      <c r="M55" s="2"/>
      <c r="N55" s="22">
        <f t="shared" si="1"/>
        <v>1.0479032763456555</v>
      </c>
      <c r="O55" s="11"/>
      <c r="P55" s="2">
        <f>--5359.24</f>
        <v>5359.24</v>
      </c>
      <c r="Q55" s="2"/>
      <c r="R55" s="22"/>
      <c r="S55" s="2"/>
      <c r="T55" s="2">
        <f>--2616.94</f>
        <v>2616.94</v>
      </c>
      <c r="U55" s="2"/>
      <c r="V55" s="22"/>
      <c r="W55" s="2"/>
      <c r="X55" s="2">
        <f t="shared" si="2"/>
        <v>2742.2999999999997</v>
      </c>
      <c r="Y55" s="2"/>
      <c r="Z55" s="22">
        <f t="shared" si="3"/>
        <v>1.0479032763456555</v>
      </c>
    </row>
    <row r="56" spans="1:26" s="24" customFormat="1" hidden="1" outlineLevel="1" x14ac:dyDescent="0.25">
      <c r="A56" s="50"/>
      <c r="B56" s="11" t="str">
        <f>CONCATENATE("          ", "4104", " - ", "NON-TAXABLE SALES-DIGITAL TEXT")</f>
        <v xml:space="preserve">          4104 - NON-TAXABLE SALES-DIGITAL TEXT</v>
      </c>
      <c r="C56" s="11"/>
      <c r="D56" s="2">
        <f>--13424.17</f>
        <v>13424.17</v>
      </c>
      <c r="E56" s="2"/>
      <c r="F56" s="22"/>
      <c r="G56" s="2"/>
      <c r="H56" s="2">
        <f>--7347.66</f>
        <v>7347.66</v>
      </c>
      <c r="I56" s="2"/>
      <c r="J56" s="22"/>
      <c r="K56" s="2"/>
      <c r="L56" s="2">
        <f t="shared" si="0"/>
        <v>6076.51</v>
      </c>
      <c r="M56" s="2"/>
      <c r="N56" s="22">
        <f t="shared" si="1"/>
        <v>0.82699934400884101</v>
      </c>
      <c r="O56" s="11"/>
      <c r="P56" s="2">
        <f>--13424.17</f>
        <v>13424.17</v>
      </c>
      <c r="Q56" s="2"/>
      <c r="R56" s="22"/>
      <c r="S56" s="2"/>
      <c r="T56" s="2">
        <f>--7347.66</f>
        <v>7347.66</v>
      </c>
      <c r="U56" s="2"/>
      <c r="V56" s="22"/>
      <c r="W56" s="2"/>
      <c r="X56" s="2">
        <f t="shared" si="2"/>
        <v>6076.51</v>
      </c>
      <c r="Y56" s="2"/>
      <c r="Z56" s="22">
        <f t="shared" si="3"/>
        <v>0.82699934400884101</v>
      </c>
    </row>
    <row r="57" spans="1:26" s="24" customFormat="1" hidden="1" outlineLevel="1" x14ac:dyDescent="0.25">
      <c r="A57" s="50"/>
      <c r="B57" s="11" t="str">
        <f>CONCATENATE("          ", "4111", " - ", "NON-TAXABLE SALES-NO VALUE TEX")</f>
        <v xml:space="preserve">          4111 - NON-TAXABLE SALES-NO VALUE TEX</v>
      </c>
      <c r="C57" s="11"/>
      <c r="D57" s="2">
        <f>--2680.95</f>
        <v>2680.95</v>
      </c>
      <c r="E57" s="2"/>
      <c r="F57" s="22"/>
      <c r="G57" s="2"/>
      <c r="H57" s="2">
        <f>--2828.58</f>
        <v>2828.58</v>
      </c>
      <c r="I57" s="2"/>
      <c r="J57" s="22"/>
      <c r="K57" s="2"/>
      <c r="L57" s="2">
        <f t="shared" si="0"/>
        <v>-147.63000000000011</v>
      </c>
      <c r="M57" s="2"/>
      <c r="N57" s="22">
        <f t="shared" si="1"/>
        <v>-5.2192266084042212E-2</v>
      </c>
      <c r="O57" s="11"/>
      <c r="P57" s="2">
        <f>--2680.95</f>
        <v>2680.95</v>
      </c>
      <c r="Q57" s="2"/>
      <c r="R57" s="22"/>
      <c r="S57" s="2"/>
      <c r="T57" s="2">
        <f>--2828.58</f>
        <v>2828.58</v>
      </c>
      <c r="U57" s="2"/>
      <c r="V57" s="22"/>
      <c r="W57" s="2"/>
      <c r="X57" s="2">
        <f t="shared" si="2"/>
        <v>-147.63000000000011</v>
      </c>
      <c r="Y57" s="2"/>
      <c r="Z57" s="22">
        <f t="shared" si="3"/>
        <v>-5.2192266084042212E-2</v>
      </c>
    </row>
    <row r="58" spans="1:26" s="24" customFormat="1" hidden="1" outlineLevel="1" x14ac:dyDescent="0.25">
      <c r="A58" s="50"/>
      <c r="B58" s="11" t="str">
        <f>CONCATENATE("          ", "4113", " - ", "NON-TAXABLE SALES-TRADE BOOKS")</f>
        <v xml:space="preserve">          4113 - NON-TAXABLE SALES-TRADE BOOKS</v>
      </c>
      <c r="C58" s="11"/>
      <c r="D58" s="2">
        <f>--1134</f>
        <v>1134</v>
      </c>
      <c r="E58" s="2"/>
      <c r="F58" s="22"/>
      <c r="G58" s="2"/>
      <c r="H58" s="2">
        <f>--7.06</f>
        <v>7.06</v>
      </c>
      <c r="I58" s="2"/>
      <c r="J58" s="22"/>
      <c r="K58" s="2"/>
      <c r="L58" s="2">
        <f t="shared" si="0"/>
        <v>1126.94</v>
      </c>
      <c r="M58" s="2"/>
      <c r="N58" s="22">
        <f t="shared" si="1"/>
        <v>159.62322946175638</v>
      </c>
      <c r="O58" s="11"/>
      <c r="P58" s="2">
        <f>--1134</f>
        <v>1134</v>
      </c>
      <c r="Q58" s="2"/>
      <c r="R58" s="22"/>
      <c r="S58" s="2"/>
      <c r="T58" s="2">
        <f>--7.06</f>
        <v>7.06</v>
      </c>
      <c r="U58" s="2"/>
      <c r="V58" s="22"/>
      <c r="W58" s="2"/>
      <c r="X58" s="2">
        <f t="shared" si="2"/>
        <v>1126.94</v>
      </c>
      <c r="Y58" s="2"/>
      <c r="Z58" s="22">
        <f t="shared" si="3"/>
        <v>159.62322946175638</v>
      </c>
    </row>
    <row r="59" spans="1:26" s="24" customFormat="1" hidden="1" outlineLevel="1" x14ac:dyDescent="0.25">
      <c r="A59" s="50"/>
      <c r="B59" s="11" t="str">
        <f>CONCATENATE("          ", "4118", " - ", "NON-TAXABLE SALES-STUDY GUIDES")</f>
        <v xml:space="preserve">          4118 - NON-TAXABLE SALES-STUDY GUIDES</v>
      </c>
      <c r="C59" s="11"/>
      <c r="D59" s="2">
        <f>--6.95</f>
        <v>6.95</v>
      </c>
      <c r="E59" s="2"/>
      <c r="F59" s="22"/>
      <c r="G59" s="2"/>
      <c r="H59" s="2">
        <f>--35.93</f>
        <v>35.93</v>
      </c>
      <c r="I59" s="2"/>
      <c r="J59" s="22"/>
      <c r="K59" s="2"/>
      <c r="L59" s="2">
        <f t="shared" si="0"/>
        <v>-28.98</v>
      </c>
      <c r="M59" s="2"/>
      <c r="N59" s="22">
        <f t="shared" si="1"/>
        <v>-0.80656832730308936</v>
      </c>
      <c r="O59" s="11"/>
      <c r="P59" s="2">
        <f>--6.95</f>
        <v>6.95</v>
      </c>
      <c r="Q59" s="2"/>
      <c r="R59" s="22"/>
      <c r="S59" s="2"/>
      <c r="T59" s="2">
        <f>--35.93</f>
        <v>35.93</v>
      </c>
      <c r="U59" s="2"/>
      <c r="V59" s="22"/>
      <c r="W59" s="2"/>
      <c r="X59" s="2">
        <f t="shared" si="2"/>
        <v>-28.98</v>
      </c>
      <c r="Y59" s="2"/>
      <c r="Z59" s="22">
        <f t="shared" si="3"/>
        <v>-0.80656832730308936</v>
      </c>
    </row>
    <row r="60" spans="1:26" s="24" customFormat="1" hidden="1" outlineLevel="1" x14ac:dyDescent="0.25">
      <c r="A60" s="50"/>
      <c r="B60" s="11" t="str">
        <f>CONCATENATE("          ", "4125", " - ", "NON-TAXABLE SALES-TEST FORMS")</f>
        <v xml:space="preserve">          4125 - NON-TAXABLE SALES-TEST FORMS</v>
      </c>
      <c r="C60" s="11"/>
      <c r="D60" s="2">
        <f>--4.98</f>
        <v>4.9800000000000004</v>
      </c>
      <c r="E60" s="2"/>
      <c r="F60" s="22"/>
      <c r="G60" s="2"/>
      <c r="H60" s="2">
        <f>--6.12</f>
        <v>6.12</v>
      </c>
      <c r="I60" s="2"/>
      <c r="J60" s="22"/>
      <c r="K60" s="2"/>
      <c r="L60" s="2">
        <f t="shared" si="0"/>
        <v>-1.1399999999999997</v>
      </c>
      <c r="M60" s="2"/>
      <c r="N60" s="22">
        <f t="shared" si="1"/>
        <v>-0.18627450980392152</v>
      </c>
      <c r="O60" s="11"/>
      <c r="P60" s="2">
        <f>--4.98</f>
        <v>4.9800000000000004</v>
      </c>
      <c r="Q60" s="2"/>
      <c r="R60" s="22"/>
      <c r="S60" s="2"/>
      <c r="T60" s="2">
        <f>--6.12</f>
        <v>6.12</v>
      </c>
      <c r="U60" s="2"/>
      <c r="V60" s="22"/>
      <c r="W60" s="2"/>
      <c r="X60" s="2">
        <f t="shared" si="2"/>
        <v>-1.1399999999999997</v>
      </c>
      <c r="Y60" s="2"/>
      <c r="Z60" s="22">
        <f t="shared" si="3"/>
        <v>-0.18627450980392152</v>
      </c>
    </row>
    <row r="61" spans="1:26" s="24" customFormat="1" hidden="1" outlineLevel="1" x14ac:dyDescent="0.25">
      <c r="A61" s="50"/>
      <c r="B61" s="11" t="str">
        <f>CONCATENATE("          ", "4126", " - ", "NON-TAXABLE SALES-WRITING INST")</f>
        <v xml:space="preserve">          4126 - NON-TAXABLE SALES-WRITING INST</v>
      </c>
      <c r="C61" s="11"/>
      <c r="D61" s="2">
        <f>--167.03</f>
        <v>167.03</v>
      </c>
      <c r="E61" s="2"/>
      <c r="F61" s="22"/>
      <c r="G61" s="2"/>
      <c r="H61" s="2">
        <f>--264.9</f>
        <v>264.89999999999998</v>
      </c>
      <c r="I61" s="2"/>
      <c r="J61" s="22"/>
      <c r="K61" s="2"/>
      <c r="L61" s="2">
        <f t="shared" si="0"/>
        <v>-97.869999999999976</v>
      </c>
      <c r="M61" s="2"/>
      <c r="N61" s="22">
        <f t="shared" si="1"/>
        <v>-0.36946017365043404</v>
      </c>
      <c r="O61" s="11"/>
      <c r="P61" s="2">
        <f>--167.03</f>
        <v>167.03</v>
      </c>
      <c r="Q61" s="2"/>
      <c r="R61" s="22"/>
      <c r="S61" s="2"/>
      <c r="T61" s="2">
        <f>--264.9</f>
        <v>264.89999999999998</v>
      </c>
      <c r="U61" s="2"/>
      <c r="V61" s="22"/>
      <c r="W61" s="2"/>
      <c r="X61" s="2">
        <f t="shared" si="2"/>
        <v>-97.869999999999976</v>
      </c>
      <c r="Y61" s="2"/>
      <c r="Z61" s="22">
        <f t="shared" si="3"/>
        <v>-0.36946017365043404</v>
      </c>
    </row>
    <row r="62" spans="1:26" s="24" customFormat="1" hidden="1" outlineLevel="1" x14ac:dyDescent="0.25">
      <c r="A62" s="50"/>
      <c r="B62" s="11" t="str">
        <f>CONCATENATE("          ", "4127", " - ", "NON-TAXABLE SALES-SCHOOL SUPPL")</f>
        <v xml:space="preserve">          4127 - NON-TAXABLE SALES-SCHOOL SUPPL</v>
      </c>
      <c r="C62" s="11"/>
      <c r="D62" s="2">
        <f>--177.89</f>
        <v>177.89</v>
      </c>
      <c r="E62" s="2"/>
      <c r="F62" s="22"/>
      <c r="G62" s="2"/>
      <c r="H62" s="2">
        <f>--135.16</f>
        <v>135.16</v>
      </c>
      <c r="I62" s="2"/>
      <c r="J62" s="22"/>
      <c r="K62" s="2"/>
      <c r="L62" s="2">
        <f t="shared" si="0"/>
        <v>42.72999999999999</v>
      </c>
      <c r="M62" s="2"/>
      <c r="N62" s="22">
        <f t="shared" si="1"/>
        <v>0.31614382953536541</v>
      </c>
      <c r="O62" s="11"/>
      <c r="P62" s="2">
        <f>--177.89</f>
        <v>177.89</v>
      </c>
      <c r="Q62" s="2"/>
      <c r="R62" s="22"/>
      <c r="S62" s="2"/>
      <c r="T62" s="2">
        <f>--135.16</f>
        <v>135.16</v>
      </c>
      <c r="U62" s="2"/>
      <c r="V62" s="22"/>
      <c r="W62" s="2"/>
      <c r="X62" s="2">
        <f t="shared" si="2"/>
        <v>42.72999999999999</v>
      </c>
      <c r="Y62" s="2"/>
      <c r="Z62" s="22">
        <f t="shared" si="3"/>
        <v>0.31614382953536541</v>
      </c>
    </row>
    <row r="63" spans="1:26" s="24" customFormat="1" hidden="1" outlineLevel="1" x14ac:dyDescent="0.25">
      <c r="A63" s="50"/>
      <c r="B63" s="11" t="str">
        <f>CONCATENATE("          ", "4128", " - ", "NON-TAXABLE SALES-ART/TECH")</f>
        <v xml:space="preserve">          4128 - NON-TAXABLE SALES-ART/TECH</v>
      </c>
      <c r="C63" s="11"/>
      <c r="D63" s="2">
        <f>--1.49</f>
        <v>1.49</v>
      </c>
      <c r="E63" s="2"/>
      <c r="F63" s="22"/>
      <c r="G63" s="2"/>
      <c r="H63" s="2">
        <f>--30.69</f>
        <v>30.69</v>
      </c>
      <c r="I63" s="2"/>
      <c r="J63" s="22"/>
      <c r="K63" s="2"/>
      <c r="L63" s="2">
        <f t="shared" si="0"/>
        <v>-29.200000000000003</v>
      </c>
      <c r="M63" s="2"/>
      <c r="N63" s="22">
        <f t="shared" si="1"/>
        <v>-0.95144998370804823</v>
      </c>
      <c r="O63" s="11"/>
      <c r="P63" s="2">
        <f>--1.49</f>
        <v>1.49</v>
      </c>
      <c r="Q63" s="2"/>
      <c r="R63" s="22"/>
      <c r="S63" s="2"/>
      <c r="T63" s="2">
        <f>--30.69</f>
        <v>30.69</v>
      </c>
      <c r="U63" s="2"/>
      <c r="V63" s="22"/>
      <c r="W63" s="2"/>
      <c r="X63" s="2">
        <f t="shared" si="2"/>
        <v>-29.200000000000003</v>
      </c>
      <c r="Y63" s="2"/>
      <c r="Z63" s="22">
        <f t="shared" si="3"/>
        <v>-0.95144998370804823</v>
      </c>
    </row>
    <row r="64" spans="1:26" s="24" customFormat="1" hidden="1" outlineLevel="1" x14ac:dyDescent="0.25">
      <c r="A64" s="50"/>
      <c r="B64" s="11" t="str">
        <f>CONCATENATE("          ", "4131", " - ", "NON-TAXABLE SALES-FOOD")</f>
        <v xml:space="preserve">          4131 - NON-TAXABLE SALES-FOOD</v>
      </c>
      <c r="C64" s="11"/>
      <c r="D64" s="2">
        <f>--269.62</f>
        <v>269.62</v>
      </c>
      <c r="E64" s="2"/>
      <c r="F64" s="22"/>
      <c r="G64" s="2"/>
      <c r="H64" s="2">
        <f>--329.56</f>
        <v>329.56</v>
      </c>
      <c r="I64" s="2"/>
      <c r="J64" s="22"/>
      <c r="K64" s="2"/>
      <c r="L64" s="2">
        <f t="shared" si="0"/>
        <v>-59.94</v>
      </c>
      <c r="M64" s="2"/>
      <c r="N64" s="22">
        <f t="shared" si="1"/>
        <v>-0.18187886879475665</v>
      </c>
      <c r="O64" s="11"/>
      <c r="P64" s="2">
        <f>--269.62</f>
        <v>269.62</v>
      </c>
      <c r="Q64" s="2"/>
      <c r="R64" s="22"/>
      <c r="S64" s="2"/>
      <c r="T64" s="2">
        <f>--329.56</f>
        <v>329.56</v>
      </c>
      <c r="U64" s="2"/>
      <c r="V64" s="22"/>
      <c r="W64" s="2"/>
      <c r="X64" s="2">
        <f t="shared" si="2"/>
        <v>-59.94</v>
      </c>
      <c r="Y64" s="2"/>
      <c r="Z64" s="22">
        <f t="shared" si="3"/>
        <v>-0.18187886879475665</v>
      </c>
    </row>
    <row r="65" spans="1:26" s="24" customFormat="1" hidden="1" outlineLevel="1" x14ac:dyDescent="0.25">
      <c r="A65" s="50"/>
      <c r="B65" s="11" t="str">
        <f>CONCATENATE("          ", "4132", " - ", "NON-TAXABLE SALES-JUICE")</f>
        <v xml:space="preserve">          4132 - NON-TAXABLE SALES-JUICE</v>
      </c>
      <c r="C65" s="11"/>
      <c r="D65" s="2">
        <f>--32132.94</f>
        <v>32132.94</v>
      </c>
      <c r="E65" s="2"/>
      <c r="F65" s="22"/>
      <c r="G65" s="2"/>
      <c r="H65" s="2">
        <f>--29105.59</f>
        <v>29105.59</v>
      </c>
      <c r="I65" s="2"/>
      <c r="J65" s="22"/>
      <c r="K65" s="2"/>
      <c r="L65" s="2">
        <f t="shared" si="0"/>
        <v>3027.3499999999985</v>
      </c>
      <c r="M65" s="2"/>
      <c r="N65" s="22">
        <f t="shared" si="1"/>
        <v>0.1040126656082216</v>
      </c>
      <c r="O65" s="11"/>
      <c r="P65" s="2">
        <f>--32132.94</f>
        <v>32132.94</v>
      </c>
      <c r="Q65" s="2"/>
      <c r="R65" s="22"/>
      <c r="S65" s="2"/>
      <c r="T65" s="2">
        <f>--29105.59</f>
        <v>29105.59</v>
      </c>
      <c r="U65" s="2"/>
      <c r="V65" s="22"/>
      <c r="W65" s="2"/>
      <c r="X65" s="2">
        <f t="shared" si="2"/>
        <v>3027.3499999999985</v>
      </c>
      <c r="Y65" s="2"/>
      <c r="Z65" s="22">
        <f t="shared" si="3"/>
        <v>0.1040126656082216</v>
      </c>
    </row>
    <row r="66" spans="1:26" s="24" customFormat="1" hidden="1" outlineLevel="1" x14ac:dyDescent="0.25">
      <c r="A66" s="50"/>
      <c r="B66" s="11" t="str">
        <f>CONCATENATE("          ", "4133", " - ", "NON-TAXABLE SALES-CANDY")</f>
        <v xml:space="preserve">          4133 - NON-TAXABLE SALES-CANDY</v>
      </c>
      <c r="C66" s="11"/>
      <c r="D66" s="2">
        <f>--472.22</f>
        <v>472.22</v>
      </c>
      <c r="E66" s="2"/>
      <c r="F66" s="22"/>
      <c r="G66" s="2"/>
      <c r="H66" s="2">
        <f>--368.55</f>
        <v>368.55</v>
      </c>
      <c r="I66" s="2"/>
      <c r="J66" s="22"/>
      <c r="K66" s="2"/>
      <c r="L66" s="2">
        <f t="shared" si="0"/>
        <v>103.67000000000002</v>
      </c>
      <c r="M66" s="2"/>
      <c r="N66" s="22">
        <f t="shared" si="1"/>
        <v>0.28129154795821465</v>
      </c>
      <c r="O66" s="11"/>
      <c r="P66" s="2">
        <f>--472.22</f>
        <v>472.22</v>
      </c>
      <c r="Q66" s="2"/>
      <c r="R66" s="22"/>
      <c r="S66" s="2"/>
      <c r="T66" s="2">
        <f>--368.55</f>
        <v>368.55</v>
      </c>
      <c r="U66" s="2"/>
      <c r="V66" s="22"/>
      <c r="W66" s="2"/>
      <c r="X66" s="2">
        <f t="shared" si="2"/>
        <v>103.67000000000002</v>
      </c>
      <c r="Y66" s="2"/>
      <c r="Z66" s="22">
        <f t="shared" si="3"/>
        <v>0.28129154795821465</v>
      </c>
    </row>
    <row r="67" spans="1:26" s="24" customFormat="1" hidden="1" outlineLevel="1" x14ac:dyDescent="0.25">
      <c r="A67" s="50"/>
      <c r="B67" s="11" t="str">
        <f>CONCATENATE("          ", "4134", " - ", "NON-TAXABLE SALES-SODA")</f>
        <v xml:space="preserve">          4134 - NON-TAXABLE SALES-SODA</v>
      </c>
      <c r="C67" s="11"/>
      <c r="D67" s="2">
        <f>-3.39</f>
        <v>-3.39</v>
      </c>
      <c r="E67" s="2"/>
      <c r="F67" s="22"/>
      <c r="G67" s="2"/>
      <c r="H67" s="2">
        <f>--22.75</f>
        <v>22.75</v>
      </c>
      <c r="I67" s="2"/>
      <c r="J67" s="22"/>
      <c r="K67" s="2"/>
      <c r="L67" s="2">
        <f t="shared" si="0"/>
        <v>-26.14</v>
      </c>
      <c r="M67" s="2"/>
      <c r="N67" s="22">
        <f t="shared" si="1"/>
        <v>-1.149010989010989</v>
      </c>
      <c r="O67" s="11"/>
      <c r="P67" s="2">
        <f>-3.39</f>
        <v>-3.39</v>
      </c>
      <c r="Q67" s="2"/>
      <c r="R67" s="22"/>
      <c r="S67" s="2"/>
      <c r="T67" s="2">
        <f>--22.75</f>
        <v>22.75</v>
      </c>
      <c r="U67" s="2"/>
      <c r="V67" s="22"/>
      <c r="W67" s="2"/>
      <c r="X67" s="2">
        <f t="shared" si="2"/>
        <v>-26.14</v>
      </c>
      <c r="Y67" s="2"/>
      <c r="Z67" s="22">
        <f t="shared" si="3"/>
        <v>-1.149010989010989</v>
      </c>
    </row>
    <row r="68" spans="1:26" s="24" customFormat="1" hidden="1" outlineLevel="1" x14ac:dyDescent="0.25">
      <c r="A68" s="50"/>
      <c r="B68" s="11" t="str">
        <f>CONCATENATE("          ", "4135", " - ", "NON-TAXABLE SALES")</f>
        <v xml:space="preserve">          4135 - NON-TAXABLE SALES</v>
      </c>
      <c r="C68" s="11"/>
      <c r="D68" s="2">
        <f>--21.54</f>
        <v>21.54</v>
      </c>
      <c r="E68" s="2"/>
      <c r="F68" s="22"/>
      <c r="G68" s="2"/>
      <c r="H68" s="2">
        <f>--7.18</f>
        <v>7.18</v>
      </c>
      <c r="I68" s="2"/>
      <c r="J68" s="22"/>
      <c r="K68" s="2"/>
      <c r="L68" s="2">
        <f t="shared" si="0"/>
        <v>14.36</v>
      </c>
      <c r="M68" s="2"/>
      <c r="N68" s="22">
        <f t="shared" si="1"/>
        <v>2</v>
      </c>
      <c r="O68" s="11"/>
      <c r="P68" s="2">
        <f>--21.54</f>
        <v>21.54</v>
      </c>
      <c r="Q68" s="2"/>
      <c r="R68" s="22"/>
      <c r="S68" s="2"/>
      <c r="T68" s="2">
        <f>--7.18</f>
        <v>7.18</v>
      </c>
      <c r="U68" s="2"/>
      <c r="V68" s="22"/>
      <c r="W68" s="2"/>
      <c r="X68" s="2">
        <f t="shared" si="2"/>
        <v>14.36</v>
      </c>
      <c r="Y68" s="2"/>
      <c r="Z68" s="22">
        <f t="shared" si="3"/>
        <v>2</v>
      </c>
    </row>
    <row r="69" spans="1:26" s="24" customFormat="1" hidden="1" outlineLevel="1" x14ac:dyDescent="0.25">
      <c r="A69" s="50"/>
      <c r="B69" s="11" t="str">
        <f>CONCATENATE("          ", "4137", " - ", "NON-TAXABLE SALES-WATER")</f>
        <v xml:space="preserve">          4137 - NON-TAXABLE SALES-WATER</v>
      </c>
      <c r="C69" s="11"/>
      <c r="D69" s="2">
        <f>--263.52</f>
        <v>263.52</v>
      </c>
      <c r="E69" s="2"/>
      <c r="F69" s="22"/>
      <c r="G69" s="2"/>
      <c r="H69" s="2">
        <f>--245.06</f>
        <v>245.06</v>
      </c>
      <c r="I69" s="2"/>
      <c r="J69" s="22"/>
      <c r="K69" s="2"/>
      <c r="L69" s="2">
        <f t="shared" si="0"/>
        <v>18.45999999999998</v>
      </c>
      <c r="M69" s="2"/>
      <c r="N69" s="22">
        <f t="shared" si="1"/>
        <v>7.5328490981800292E-2</v>
      </c>
      <c r="O69" s="11"/>
      <c r="P69" s="2">
        <f>--263.52</f>
        <v>263.52</v>
      </c>
      <c r="Q69" s="2"/>
      <c r="R69" s="22"/>
      <c r="S69" s="2"/>
      <c r="T69" s="2">
        <f>--245.06</f>
        <v>245.06</v>
      </c>
      <c r="U69" s="2"/>
      <c r="V69" s="22"/>
      <c r="W69" s="2"/>
      <c r="X69" s="2">
        <f t="shared" si="2"/>
        <v>18.45999999999998</v>
      </c>
      <c r="Y69" s="2"/>
      <c r="Z69" s="22">
        <f t="shared" si="3"/>
        <v>7.5328490981800292E-2</v>
      </c>
    </row>
    <row r="70" spans="1:26" s="24" customFormat="1" hidden="1" outlineLevel="1" x14ac:dyDescent="0.25">
      <c r="A70" s="50"/>
      <c r="B70" s="11" t="str">
        <f>CONCATENATE("          ", "4140", " - ", "NON-TAXABLE SALES-LOGO CLOTHIN")</f>
        <v xml:space="preserve">          4140 - NON-TAXABLE SALES-LOGO CLOTHIN</v>
      </c>
      <c r="C70" s="11"/>
      <c r="D70" s="2">
        <f>--3163.67</f>
        <v>3163.67</v>
      </c>
      <c r="E70" s="2"/>
      <c r="F70" s="22"/>
      <c r="G70" s="2"/>
      <c r="H70" s="2">
        <f>--1813.55</f>
        <v>1813.55</v>
      </c>
      <c r="I70" s="2"/>
      <c r="J70" s="22"/>
      <c r="K70" s="2"/>
      <c r="L70" s="2">
        <f t="shared" si="0"/>
        <v>1350.1200000000001</v>
      </c>
      <c r="M70" s="2"/>
      <c r="N70" s="22">
        <f t="shared" si="1"/>
        <v>0.74446251826528087</v>
      </c>
      <c r="O70" s="11"/>
      <c r="P70" s="2">
        <f>--3163.67</f>
        <v>3163.67</v>
      </c>
      <c r="Q70" s="2"/>
      <c r="R70" s="22"/>
      <c r="S70" s="2"/>
      <c r="T70" s="2">
        <f>--1813.55</f>
        <v>1813.55</v>
      </c>
      <c r="U70" s="2"/>
      <c r="V70" s="22"/>
      <c r="W70" s="2"/>
      <c r="X70" s="2">
        <f t="shared" si="2"/>
        <v>1350.1200000000001</v>
      </c>
      <c r="Y70" s="2"/>
      <c r="Z70" s="22">
        <f t="shared" si="3"/>
        <v>0.74446251826528087</v>
      </c>
    </row>
    <row r="71" spans="1:26" s="24" customFormat="1" hidden="1" outlineLevel="1" x14ac:dyDescent="0.25">
      <c r="A71" s="50"/>
      <c r="B71" s="11" t="str">
        <f>CONCATENATE("          ", "4141", " - ", "NON-TAXABLE SALES-LOGO GIFTS")</f>
        <v xml:space="preserve">          4141 - NON-TAXABLE SALES-LOGO GIFTS</v>
      </c>
      <c r="C71" s="11"/>
      <c r="D71" s="2">
        <f>--262.15</f>
        <v>262.14999999999998</v>
      </c>
      <c r="E71" s="2"/>
      <c r="F71" s="22"/>
      <c r="G71" s="2"/>
      <c r="H71" s="2">
        <f>--193.6</f>
        <v>193.6</v>
      </c>
      <c r="I71" s="2"/>
      <c r="J71" s="22"/>
      <c r="K71" s="2"/>
      <c r="L71" s="2">
        <f t="shared" si="0"/>
        <v>68.549999999999983</v>
      </c>
      <c r="M71" s="2"/>
      <c r="N71" s="22">
        <f t="shared" si="1"/>
        <v>0.3540805785123966</v>
      </c>
      <c r="O71" s="11"/>
      <c r="P71" s="2">
        <f>--262.15</f>
        <v>262.14999999999998</v>
      </c>
      <c r="Q71" s="2"/>
      <c r="R71" s="22"/>
      <c r="S71" s="2"/>
      <c r="T71" s="2">
        <f>--193.6</f>
        <v>193.6</v>
      </c>
      <c r="U71" s="2"/>
      <c r="V71" s="22"/>
      <c r="W71" s="2"/>
      <c r="X71" s="2">
        <f t="shared" si="2"/>
        <v>68.549999999999983</v>
      </c>
      <c r="Y71" s="2"/>
      <c r="Z71" s="22">
        <f t="shared" si="3"/>
        <v>0.3540805785123966</v>
      </c>
    </row>
    <row r="72" spans="1:26" s="24" customFormat="1" hidden="1" outlineLevel="1" x14ac:dyDescent="0.25">
      <c r="A72" s="50"/>
      <c r="B72" s="11" t="str">
        <f>CONCATENATE("          ", "4142", " - ", "NON-TAXABLE SALES-EVERYDAY GIF")</f>
        <v xml:space="preserve">          4142 - NON-TAXABLE SALES-EVERYDAY GIF</v>
      </c>
      <c r="C72" s="11"/>
      <c r="D72" s="2">
        <f>--342.44</f>
        <v>342.44</v>
      </c>
      <c r="E72" s="2"/>
      <c r="F72" s="22"/>
      <c r="G72" s="2"/>
      <c r="H72" s="2">
        <f>--148.95</f>
        <v>148.94999999999999</v>
      </c>
      <c r="I72" s="2"/>
      <c r="J72" s="22"/>
      <c r="K72" s="2"/>
      <c r="L72" s="2">
        <f t="shared" si="0"/>
        <v>193.49</v>
      </c>
      <c r="M72" s="2"/>
      <c r="N72" s="22">
        <f t="shared" si="1"/>
        <v>1.2990265189660961</v>
      </c>
      <c r="O72" s="11"/>
      <c r="P72" s="2">
        <f>--342.44</f>
        <v>342.44</v>
      </c>
      <c r="Q72" s="2"/>
      <c r="R72" s="22"/>
      <c r="S72" s="2"/>
      <c r="T72" s="2">
        <f>--148.95</f>
        <v>148.94999999999999</v>
      </c>
      <c r="U72" s="2"/>
      <c r="V72" s="22"/>
      <c r="W72" s="2"/>
      <c r="X72" s="2">
        <f t="shared" si="2"/>
        <v>193.49</v>
      </c>
      <c r="Y72" s="2"/>
      <c r="Z72" s="22">
        <f t="shared" si="3"/>
        <v>1.2990265189660961</v>
      </c>
    </row>
    <row r="73" spans="1:26" s="24" customFormat="1" hidden="1" outlineLevel="1" x14ac:dyDescent="0.25">
      <c r="A73" s="50"/>
      <c r="B73" s="11" t="str">
        <f>CONCATENATE("          ", "4144", " - ", "NON-TAXABLE SALES-ACCESSORIES")</f>
        <v xml:space="preserve">          4144 - NON-TAXABLE SALES-ACCESSORIES</v>
      </c>
      <c r="C73" s="11"/>
      <c r="D73" s="2">
        <f>--21.9</f>
        <v>21.9</v>
      </c>
      <c r="E73" s="2"/>
      <c r="F73" s="22"/>
      <c r="G73" s="2"/>
      <c r="H73" s="2">
        <f>--44.95</f>
        <v>44.95</v>
      </c>
      <c r="I73" s="2"/>
      <c r="J73" s="22"/>
      <c r="K73" s="2"/>
      <c r="L73" s="2">
        <f t="shared" si="0"/>
        <v>-23.050000000000004</v>
      </c>
      <c r="M73" s="2"/>
      <c r="N73" s="22">
        <f t="shared" si="1"/>
        <v>-0.51279199110122364</v>
      </c>
      <c r="O73" s="11"/>
      <c r="P73" s="2">
        <f>--21.9</f>
        <v>21.9</v>
      </c>
      <c r="Q73" s="2"/>
      <c r="R73" s="22"/>
      <c r="S73" s="2"/>
      <c r="T73" s="2">
        <f>--44.95</f>
        <v>44.95</v>
      </c>
      <c r="U73" s="2"/>
      <c r="V73" s="22"/>
      <c r="W73" s="2"/>
      <c r="X73" s="2">
        <f t="shared" si="2"/>
        <v>-23.050000000000004</v>
      </c>
      <c r="Y73" s="2"/>
      <c r="Z73" s="22">
        <f t="shared" si="3"/>
        <v>-0.51279199110122364</v>
      </c>
    </row>
    <row r="74" spans="1:26" s="24" customFormat="1" hidden="1" outlineLevel="1" x14ac:dyDescent="0.25">
      <c r="A74" s="50"/>
      <c r="B74" s="11" t="str">
        <f>CONCATENATE("          ", "4145", " - ", "NON-TAXABLE SALES-SPECIAL ORDE")</f>
        <v xml:space="preserve">          4145 - NON-TAXABLE SALES-SPECIAL ORDE</v>
      </c>
      <c r="C74" s="11"/>
      <c r="D74" s="2">
        <f>0</f>
        <v>0</v>
      </c>
      <c r="E74" s="2"/>
      <c r="F74" s="22"/>
      <c r="G74" s="2"/>
      <c r="H74" s="2">
        <f>--59.85</f>
        <v>59.85</v>
      </c>
      <c r="I74" s="2"/>
      <c r="J74" s="22"/>
      <c r="K74" s="2"/>
      <c r="L74" s="2">
        <f t="shared" si="0"/>
        <v>-59.85</v>
      </c>
      <c r="M74" s="2"/>
      <c r="N74" s="22">
        <f t="shared" si="1"/>
        <v>-1</v>
      </c>
      <c r="O74" s="11"/>
      <c r="P74" s="2">
        <f>0</f>
        <v>0</v>
      </c>
      <c r="Q74" s="2"/>
      <c r="R74" s="22"/>
      <c r="S74" s="2"/>
      <c r="T74" s="2">
        <f>--59.85</f>
        <v>59.85</v>
      </c>
      <c r="U74" s="2"/>
      <c r="V74" s="22"/>
      <c r="W74" s="2"/>
      <c r="X74" s="2">
        <f t="shared" si="2"/>
        <v>-59.85</v>
      </c>
      <c r="Y74" s="2"/>
      <c r="Z74" s="22">
        <f t="shared" si="3"/>
        <v>-1</v>
      </c>
    </row>
    <row r="75" spans="1:26" s="24" customFormat="1" hidden="1" outlineLevel="1" x14ac:dyDescent="0.25">
      <c r="A75" s="50"/>
      <c r="B75" s="11" t="str">
        <f>CONCATENATE("          ", "4146", " - ", "NON-TAXABLE SALES-COIN OP MACH")</f>
        <v xml:space="preserve">          4146 - NON-TAXABLE SALES-COIN OP MACH</v>
      </c>
      <c r="C75" s="11"/>
      <c r="D75" s="2">
        <f>--2067.1</f>
        <v>2067.1</v>
      </c>
      <c r="E75" s="2"/>
      <c r="F75" s="22"/>
      <c r="G75" s="2"/>
      <c r="H75" s="2">
        <f>--2380.65</f>
        <v>2380.65</v>
      </c>
      <c r="I75" s="2"/>
      <c r="J75" s="22"/>
      <c r="K75" s="2"/>
      <c r="L75" s="2">
        <f t="shared" si="0"/>
        <v>-313.55000000000018</v>
      </c>
      <c r="M75" s="2"/>
      <c r="N75" s="22">
        <f t="shared" si="1"/>
        <v>-0.13170772688131399</v>
      </c>
      <c r="O75" s="11"/>
      <c r="P75" s="2">
        <f>--2067.1</f>
        <v>2067.1</v>
      </c>
      <c r="Q75" s="2"/>
      <c r="R75" s="22"/>
      <c r="S75" s="2"/>
      <c r="T75" s="2">
        <f>--2380.65</f>
        <v>2380.65</v>
      </c>
      <c r="U75" s="2"/>
      <c r="V75" s="22"/>
      <c r="W75" s="2"/>
      <c r="X75" s="2">
        <f t="shared" si="2"/>
        <v>-313.55000000000018</v>
      </c>
      <c r="Y75" s="2"/>
      <c r="Z75" s="22">
        <f t="shared" si="3"/>
        <v>-0.13170772688131399</v>
      </c>
    </row>
    <row r="76" spans="1:26" s="24" customFormat="1" hidden="1" outlineLevel="1" x14ac:dyDescent="0.25">
      <c r="A76" s="50"/>
      <c r="B76" s="11" t="str">
        <f>CONCATENATE("          ", "4147", " - ", "NON-TAXABLE SALES-MISC")</f>
        <v xml:space="preserve">          4147 - NON-TAXABLE SALES-MISC</v>
      </c>
      <c r="C76" s="11"/>
      <c r="D76" s="2">
        <f>--16.5</f>
        <v>16.5</v>
      </c>
      <c r="E76" s="2"/>
      <c r="F76" s="22"/>
      <c r="G76" s="2"/>
      <c r="H76" s="2">
        <f>--18</f>
        <v>18</v>
      </c>
      <c r="I76" s="2"/>
      <c r="J76" s="22"/>
      <c r="K76" s="2"/>
      <c r="L76" s="2">
        <f t="shared" si="0"/>
        <v>-1.5</v>
      </c>
      <c r="M76" s="2"/>
      <c r="N76" s="22">
        <f t="shared" si="1"/>
        <v>-8.3333333333333329E-2</v>
      </c>
      <c r="O76" s="11"/>
      <c r="P76" s="2">
        <f>--16.5</f>
        <v>16.5</v>
      </c>
      <c r="Q76" s="2"/>
      <c r="R76" s="22"/>
      <c r="S76" s="2"/>
      <c r="T76" s="2">
        <f>--18</f>
        <v>18</v>
      </c>
      <c r="U76" s="2"/>
      <c r="V76" s="22"/>
      <c r="W76" s="2"/>
      <c r="X76" s="2">
        <f t="shared" si="2"/>
        <v>-1.5</v>
      </c>
      <c r="Y76" s="2"/>
      <c r="Z76" s="22">
        <f t="shared" si="3"/>
        <v>-8.3333333333333329E-2</v>
      </c>
    </row>
    <row r="77" spans="1:26" s="24" customFormat="1" hidden="1" outlineLevel="1" x14ac:dyDescent="0.25">
      <c r="A77" s="50"/>
      <c r="B77" s="11" t="str">
        <f>CONCATENATE("          ", "4151", " - ", "NON-TAXABLE SALES-FOOD")</f>
        <v xml:space="preserve">          4151 - NON-TAXABLE SALES-FOOD</v>
      </c>
      <c r="C77" s="11"/>
      <c r="D77" s="2">
        <f>--535043.02</f>
        <v>535043.02</v>
      </c>
      <c r="E77" s="2"/>
      <c r="F77" s="22"/>
      <c r="G77" s="2"/>
      <c r="H77" s="2">
        <f>--506432.26</f>
        <v>506432.26</v>
      </c>
      <c r="I77" s="2"/>
      <c r="J77" s="22"/>
      <c r="K77" s="2"/>
      <c r="L77" s="2">
        <f t="shared" si="0"/>
        <v>28610.760000000009</v>
      </c>
      <c r="M77" s="2"/>
      <c r="N77" s="22">
        <f t="shared" si="1"/>
        <v>5.6494742258322975E-2</v>
      </c>
      <c r="O77" s="11"/>
      <c r="P77" s="2">
        <f>--535043.02</f>
        <v>535043.02</v>
      </c>
      <c r="Q77" s="2"/>
      <c r="R77" s="22"/>
      <c r="S77" s="2"/>
      <c r="T77" s="2">
        <f>--506432.26</f>
        <v>506432.26</v>
      </c>
      <c r="U77" s="2"/>
      <c r="V77" s="22"/>
      <c r="W77" s="2"/>
      <c r="X77" s="2">
        <f t="shared" si="2"/>
        <v>28610.760000000009</v>
      </c>
      <c r="Y77" s="2"/>
      <c r="Z77" s="22">
        <f t="shared" si="3"/>
        <v>5.6494742258322975E-2</v>
      </c>
    </row>
    <row r="78" spans="1:26" s="24" customFormat="1" hidden="1" outlineLevel="1" x14ac:dyDescent="0.25">
      <c r="A78" s="50"/>
      <c r="B78" s="11" t="str">
        <f>CONCATENATE("          ", "4152", " - ", "NON-TAXABLE SALES-FOOD")</f>
        <v xml:space="preserve">          4152 - NON-TAXABLE SALES-FOOD</v>
      </c>
      <c r="C78" s="11"/>
      <c r="D78" s="2">
        <f>--3667.09</f>
        <v>3667.09</v>
      </c>
      <c r="E78" s="2"/>
      <c r="F78" s="22"/>
      <c r="G78" s="2"/>
      <c r="H78" s="2">
        <f>--3833.74</f>
        <v>3833.74</v>
      </c>
      <c r="I78" s="2"/>
      <c r="J78" s="22"/>
      <c r="K78" s="2"/>
      <c r="L78" s="2">
        <f t="shared" si="0"/>
        <v>-166.64999999999964</v>
      </c>
      <c r="M78" s="2"/>
      <c r="N78" s="22">
        <f t="shared" si="1"/>
        <v>-4.3469301517578045E-2</v>
      </c>
      <c r="O78" s="11"/>
      <c r="P78" s="2">
        <f>--3667.09</f>
        <v>3667.09</v>
      </c>
      <c r="Q78" s="2"/>
      <c r="R78" s="22"/>
      <c r="S78" s="2"/>
      <c r="T78" s="2">
        <f>--3833.74</f>
        <v>3833.74</v>
      </c>
      <c r="U78" s="2"/>
      <c r="V78" s="22"/>
      <c r="W78" s="2"/>
      <c r="X78" s="2">
        <f t="shared" si="2"/>
        <v>-166.64999999999964</v>
      </c>
      <c r="Y78" s="2"/>
      <c r="Z78" s="22">
        <f t="shared" si="3"/>
        <v>-4.3469301517578045E-2</v>
      </c>
    </row>
    <row r="79" spans="1:26" s="24" customFormat="1" hidden="1" outlineLevel="1" x14ac:dyDescent="0.25">
      <c r="A79" s="50"/>
      <c r="B79" s="11" t="str">
        <f>CONCATENATE("          ", "4153", " - ", "NON-TAXABLE SALES-FOOD")</f>
        <v xml:space="preserve">          4153 - NON-TAXABLE SALES-FOOD</v>
      </c>
      <c r="C79" s="11"/>
      <c r="D79" s="2">
        <f>--19248.71</f>
        <v>19248.71</v>
      </c>
      <c r="E79" s="2"/>
      <c r="F79" s="22"/>
      <c r="G79" s="2"/>
      <c r="H79" s="2">
        <f>--27586.99</f>
        <v>27586.99</v>
      </c>
      <c r="I79" s="2"/>
      <c r="J79" s="22"/>
      <c r="K79" s="2"/>
      <c r="L79" s="2">
        <f t="shared" si="0"/>
        <v>-8338.2800000000025</v>
      </c>
      <c r="M79" s="2"/>
      <c r="N79" s="22">
        <f t="shared" si="1"/>
        <v>-0.30225406976259467</v>
      </c>
      <c r="O79" s="11"/>
      <c r="P79" s="2">
        <f>--19248.71</f>
        <v>19248.71</v>
      </c>
      <c r="Q79" s="2"/>
      <c r="R79" s="22"/>
      <c r="S79" s="2"/>
      <c r="T79" s="2">
        <f>--27586.99</f>
        <v>27586.99</v>
      </c>
      <c r="U79" s="2"/>
      <c r="V79" s="22"/>
      <c r="W79" s="2"/>
      <c r="X79" s="2">
        <f t="shared" si="2"/>
        <v>-8338.2800000000025</v>
      </c>
      <c r="Y79" s="2"/>
      <c r="Z79" s="22">
        <f t="shared" si="3"/>
        <v>-0.30225406976259467</v>
      </c>
    </row>
    <row r="80" spans="1:26" s="24" customFormat="1" hidden="1" outlineLevel="1" x14ac:dyDescent="0.25">
      <c r="A80" s="50"/>
      <c r="B80" s="11" t="str">
        <f>CONCATENATE("          ", "4155", " - ", "NON-TAXABLE SALES-FOOD")</f>
        <v xml:space="preserve">          4155 - NON-TAXABLE SALES-FOOD</v>
      </c>
      <c r="C80" s="11"/>
      <c r="D80" s="2">
        <f>--25636.66</f>
        <v>25636.66</v>
      </c>
      <c r="E80" s="2"/>
      <c r="F80" s="22"/>
      <c r="G80" s="2"/>
      <c r="H80" s="2">
        <f>--22267.51</f>
        <v>22267.51</v>
      </c>
      <c r="I80" s="2"/>
      <c r="J80" s="22"/>
      <c r="K80" s="2"/>
      <c r="L80" s="2">
        <f t="shared" si="0"/>
        <v>3369.1500000000015</v>
      </c>
      <c r="M80" s="2"/>
      <c r="N80" s="22">
        <f t="shared" si="1"/>
        <v>0.15130340123345634</v>
      </c>
      <c r="O80" s="11"/>
      <c r="P80" s="2">
        <f>--25636.66</f>
        <v>25636.66</v>
      </c>
      <c r="Q80" s="2"/>
      <c r="R80" s="22"/>
      <c r="S80" s="2"/>
      <c r="T80" s="2">
        <f>--22267.51</f>
        <v>22267.51</v>
      </c>
      <c r="U80" s="2"/>
      <c r="V80" s="22"/>
      <c r="W80" s="2"/>
      <c r="X80" s="2">
        <f t="shared" si="2"/>
        <v>3369.1500000000015</v>
      </c>
      <c r="Y80" s="2"/>
      <c r="Z80" s="22">
        <f t="shared" si="3"/>
        <v>0.15130340123345634</v>
      </c>
    </row>
    <row r="81" spans="1:26" s="24" customFormat="1" hidden="1" outlineLevel="1" x14ac:dyDescent="0.25">
      <c r="A81" s="50"/>
      <c r="B81" s="11" t="str">
        <f>CONCATENATE("          ", "4158", " - ", "NON-TAXABLE SALES-FOOD")</f>
        <v xml:space="preserve">          4158 - NON-TAXABLE SALES-FOOD</v>
      </c>
      <c r="C81" s="11"/>
      <c r="D81" s="2">
        <f>--9559.69</f>
        <v>9559.69</v>
      </c>
      <c r="E81" s="2"/>
      <c r="F81" s="22"/>
      <c r="G81" s="2"/>
      <c r="H81" s="2">
        <f>--22412.79</f>
        <v>22412.79</v>
      </c>
      <c r="I81" s="2"/>
      <c r="J81" s="22"/>
      <c r="K81" s="2"/>
      <c r="L81" s="2">
        <f t="shared" si="0"/>
        <v>-12853.1</v>
      </c>
      <c r="M81" s="2"/>
      <c r="N81" s="22">
        <f t="shared" si="1"/>
        <v>-0.57347166506267178</v>
      </c>
      <c r="O81" s="11"/>
      <c r="P81" s="2">
        <f>--9559.69</f>
        <v>9559.69</v>
      </c>
      <c r="Q81" s="2"/>
      <c r="R81" s="22"/>
      <c r="S81" s="2"/>
      <c r="T81" s="2">
        <f>--22412.79</f>
        <v>22412.79</v>
      </c>
      <c r="U81" s="2"/>
      <c r="V81" s="22"/>
      <c r="W81" s="2"/>
      <c r="X81" s="2">
        <f t="shared" si="2"/>
        <v>-12853.1</v>
      </c>
      <c r="Y81" s="2"/>
      <c r="Z81" s="22">
        <f t="shared" si="3"/>
        <v>-0.57347166506267178</v>
      </c>
    </row>
    <row r="82" spans="1:26" s="24" customFormat="1" hidden="1" outlineLevel="1" x14ac:dyDescent="0.25">
      <c r="A82" s="50"/>
      <c r="B82" s="11" t="str">
        <f>CONCATENATE("          ", "4181", " - ", "NON-TAXABLE SALES-ELECTRONICS")</f>
        <v xml:space="preserve">          4181 - NON-TAXABLE SALES-ELECTRONICS</v>
      </c>
      <c r="C82" s="11"/>
      <c r="D82" s="2">
        <f>--1302.61</f>
        <v>1302.6099999999999</v>
      </c>
      <c r="E82" s="2"/>
      <c r="F82" s="22"/>
      <c r="G82" s="2"/>
      <c r="H82" s="2">
        <f>--194.02</f>
        <v>194.02</v>
      </c>
      <c r="I82" s="2"/>
      <c r="J82" s="22"/>
      <c r="K82" s="2"/>
      <c r="L82" s="2">
        <f t="shared" si="0"/>
        <v>1108.5899999999999</v>
      </c>
      <c r="M82" s="2"/>
      <c r="N82" s="22">
        <f t="shared" si="1"/>
        <v>5.7137923925368508</v>
      </c>
      <c r="O82" s="11"/>
      <c r="P82" s="2">
        <f>--1302.61</f>
        <v>1302.6099999999999</v>
      </c>
      <c r="Q82" s="2"/>
      <c r="R82" s="22"/>
      <c r="S82" s="2"/>
      <c r="T82" s="2">
        <f>--194.02</f>
        <v>194.02</v>
      </c>
      <c r="U82" s="2"/>
      <c r="V82" s="22"/>
      <c r="W82" s="2"/>
      <c r="X82" s="2">
        <f t="shared" si="2"/>
        <v>1108.5899999999999</v>
      </c>
      <c r="Y82" s="2"/>
      <c r="Z82" s="22">
        <f t="shared" si="3"/>
        <v>5.7137923925368508</v>
      </c>
    </row>
    <row r="83" spans="1:26" s="24" customFormat="1" hidden="1" outlineLevel="1" x14ac:dyDescent="0.25">
      <c r="A83" s="50"/>
      <c r="B83" s="11" t="str">
        <f>CONCATENATE("          ", "4182", " - ", "NON-TAXABLE SALES-COMPUTER HAR")</f>
        <v xml:space="preserve">          4182 - NON-TAXABLE SALES-COMPUTER HAR</v>
      </c>
      <c r="C83" s="11"/>
      <c r="D83" s="2">
        <f>--10618</f>
        <v>10618</v>
      </c>
      <c r="E83" s="2"/>
      <c r="F83" s="22"/>
      <c r="G83" s="2"/>
      <c r="H83" s="2">
        <f>--31126.98</f>
        <v>31126.98</v>
      </c>
      <c r="I83" s="2"/>
      <c r="J83" s="22"/>
      <c r="K83" s="2"/>
      <c r="L83" s="2">
        <f t="shared" si="0"/>
        <v>-20508.98</v>
      </c>
      <c r="M83" s="2"/>
      <c r="N83" s="22">
        <f t="shared" si="1"/>
        <v>-0.65888113784247615</v>
      </c>
      <c r="O83" s="11"/>
      <c r="P83" s="2">
        <f>--10618</f>
        <v>10618</v>
      </c>
      <c r="Q83" s="2"/>
      <c r="R83" s="22"/>
      <c r="S83" s="2"/>
      <c r="T83" s="2">
        <f>--31126.98</f>
        <v>31126.98</v>
      </c>
      <c r="U83" s="2"/>
      <c r="V83" s="22"/>
      <c r="W83" s="2"/>
      <c r="X83" s="2">
        <f t="shared" si="2"/>
        <v>-20508.98</v>
      </c>
      <c r="Y83" s="2"/>
      <c r="Z83" s="22">
        <f t="shared" si="3"/>
        <v>-0.65888113784247615</v>
      </c>
    </row>
    <row r="84" spans="1:26" s="24" customFormat="1" hidden="1" outlineLevel="1" x14ac:dyDescent="0.25">
      <c r="A84" s="50"/>
      <c r="B84" s="11" t="str">
        <f>CONCATENATE("          ", "4183", " - ", "NON-TAXABLE SALES-COMPUTER EQU")</f>
        <v xml:space="preserve">          4183 - NON-TAXABLE SALES-COMPUTER EQU</v>
      </c>
      <c r="C84" s="11"/>
      <c r="D84" s="2">
        <f>--181.9</f>
        <v>181.9</v>
      </c>
      <c r="E84" s="2"/>
      <c r="F84" s="22"/>
      <c r="G84" s="2"/>
      <c r="H84" s="2">
        <f>--188.95</f>
        <v>188.95</v>
      </c>
      <c r="I84" s="2"/>
      <c r="J84" s="22"/>
      <c r="K84" s="2"/>
      <c r="L84" s="2">
        <f t="shared" si="0"/>
        <v>-7.0499999999999829</v>
      </c>
      <c r="M84" s="2"/>
      <c r="N84" s="22">
        <f t="shared" si="1"/>
        <v>-3.7311458057687132E-2</v>
      </c>
      <c r="O84" s="11"/>
      <c r="P84" s="2">
        <f>--181.9</f>
        <v>181.9</v>
      </c>
      <c r="Q84" s="2"/>
      <c r="R84" s="22"/>
      <c r="S84" s="2"/>
      <c r="T84" s="2">
        <f>--188.95</f>
        <v>188.95</v>
      </c>
      <c r="U84" s="2"/>
      <c r="V84" s="22"/>
      <c r="W84" s="2"/>
      <c r="X84" s="2">
        <f t="shared" si="2"/>
        <v>-7.0499999999999829</v>
      </c>
      <c r="Y84" s="2"/>
      <c r="Z84" s="22">
        <f t="shared" si="3"/>
        <v>-3.7311458057687132E-2</v>
      </c>
    </row>
    <row r="85" spans="1:26" s="24" customFormat="1" hidden="1" outlineLevel="1" x14ac:dyDescent="0.25">
      <c r="A85" s="50"/>
      <c r="B85" s="11" t="str">
        <f>CONCATENATE("          ", "4185", " - ", "NON-TAXABLE SALES-SOFTWARE")</f>
        <v xml:space="preserve">          4185 - NON-TAXABLE SALES-SOFTWARE</v>
      </c>
      <c r="C85" s="11"/>
      <c r="D85" s="2">
        <f>--752</f>
        <v>752</v>
      </c>
      <c r="E85" s="2"/>
      <c r="F85" s="22"/>
      <c r="G85" s="2"/>
      <c r="H85" s="2">
        <f>--768.98</f>
        <v>768.98</v>
      </c>
      <c r="I85" s="2"/>
      <c r="J85" s="22"/>
      <c r="K85" s="2"/>
      <c r="L85" s="2">
        <f t="shared" si="0"/>
        <v>-16.980000000000018</v>
      </c>
      <c r="M85" s="2"/>
      <c r="N85" s="22">
        <f t="shared" si="1"/>
        <v>-2.2081198470701471E-2</v>
      </c>
      <c r="O85" s="11"/>
      <c r="P85" s="2">
        <f>--752</f>
        <v>752</v>
      </c>
      <c r="Q85" s="2"/>
      <c r="R85" s="22"/>
      <c r="S85" s="2"/>
      <c r="T85" s="2">
        <f>--768.98</f>
        <v>768.98</v>
      </c>
      <c r="U85" s="2"/>
      <c r="V85" s="22"/>
      <c r="W85" s="2"/>
      <c r="X85" s="2">
        <f t="shared" si="2"/>
        <v>-16.980000000000018</v>
      </c>
      <c r="Y85" s="2"/>
      <c r="Z85" s="22">
        <f t="shared" si="3"/>
        <v>-2.2081198470701471E-2</v>
      </c>
    </row>
    <row r="86" spans="1:26" s="24" customFormat="1" hidden="1" outlineLevel="1" x14ac:dyDescent="0.25">
      <c r="A86" s="50"/>
      <c r="B86" s="11" t="str">
        <f>CONCATENATE("          ", "4186", " - ", "NON-TAXABLE SALES-COMPUTER SUP")</f>
        <v xml:space="preserve">          4186 - NON-TAXABLE SALES-COMPUTER SUP</v>
      </c>
      <c r="C86" s="11"/>
      <c r="D86" s="2">
        <f>--79.97</f>
        <v>79.97</v>
      </c>
      <c r="E86" s="2"/>
      <c r="F86" s="22"/>
      <c r="G86" s="2"/>
      <c r="H86" s="2">
        <f>--824.24</f>
        <v>824.24</v>
      </c>
      <c r="I86" s="2"/>
      <c r="J86" s="22"/>
      <c r="K86" s="2"/>
      <c r="L86" s="2">
        <f t="shared" si="0"/>
        <v>-744.27</v>
      </c>
      <c r="M86" s="2"/>
      <c r="N86" s="22">
        <f t="shared" si="1"/>
        <v>-0.90297728816849454</v>
      </c>
      <c r="O86" s="11"/>
      <c r="P86" s="2">
        <f>--79.97</f>
        <v>79.97</v>
      </c>
      <c r="Q86" s="2"/>
      <c r="R86" s="22"/>
      <c r="S86" s="2"/>
      <c r="T86" s="2">
        <f>--824.24</f>
        <v>824.24</v>
      </c>
      <c r="U86" s="2"/>
      <c r="V86" s="22"/>
      <c r="W86" s="2"/>
      <c r="X86" s="2">
        <f t="shared" si="2"/>
        <v>-744.27</v>
      </c>
      <c r="Y86" s="2"/>
      <c r="Z86" s="22">
        <f t="shared" si="3"/>
        <v>-0.90297728816849454</v>
      </c>
    </row>
    <row r="87" spans="1:26" s="24" customFormat="1" hidden="1" outlineLevel="1" x14ac:dyDescent="0.25">
      <c r="A87" s="50"/>
      <c r="B87" s="11" t="str">
        <f>CONCATENATE("          ", "4188", " - ", "NON-TAXABLE SALES-MUSIC")</f>
        <v xml:space="preserve">          4188 - NON-TAXABLE SALES-MUSIC</v>
      </c>
      <c r="C87" s="11"/>
      <c r="D87" s="2">
        <f>--99.98</f>
        <v>99.98</v>
      </c>
      <c r="E87" s="2"/>
      <c r="F87" s="22"/>
      <c r="G87" s="2"/>
      <c r="H87" s="2">
        <f>--199.98</f>
        <v>199.98</v>
      </c>
      <c r="I87" s="2"/>
      <c r="J87" s="22"/>
      <c r="K87" s="2"/>
      <c r="L87" s="2">
        <f t="shared" si="0"/>
        <v>-99.999999999999986</v>
      </c>
      <c r="M87" s="2"/>
      <c r="N87" s="22">
        <f t="shared" si="1"/>
        <v>-0.50005000500050001</v>
      </c>
      <c r="O87" s="11"/>
      <c r="P87" s="2">
        <f>--99.98</f>
        <v>99.98</v>
      </c>
      <c r="Q87" s="2"/>
      <c r="R87" s="22"/>
      <c r="S87" s="2"/>
      <c r="T87" s="2">
        <f>--199.98</f>
        <v>199.98</v>
      </c>
      <c r="U87" s="2"/>
      <c r="V87" s="22"/>
      <c r="W87" s="2"/>
      <c r="X87" s="2">
        <f t="shared" si="2"/>
        <v>-99.999999999999986</v>
      </c>
      <c r="Y87" s="2"/>
      <c r="Z87" s="22">
        <f t="shared" si="3"/>
        <v>-0.50005000500050001</v>
      </c>
    </row>
    <row r="88" spans="1:26" s="24" customFormat="1" hidden="1" outlineLevel="1" x14ac:dyDescent="0.25">
      <c r="A88" s="50"/>
      <c r="B88" s="11" t="str">
        <f>CONCATENATE("          ", "4201", " - ", "SALES RETURN TAXABLE-NEW TEXT")</f>
        <v xml:space="preserve">          4201 - SALES RETURN TAXABLE-NEW TEXT</v>
      </c>
      <c r="C88" s="11"/>
      <c r="D88" s="2">
        <f>-607.15</f>
        <v>-607.15</v>
      </c>
      <c r="E88" s="2"/>
      <c r="F88" s="22"/>
      <c r="G88" s="2"/>
      <c r="H88" s="2">
        <f>-1507.5</f>
        <v>-1507.5</v>
      </c>
      <c r="I88" s="2"/>
      <c r="J88" s="22"/>
      <c r="K88" s="2"/>
      <c r="L88" s="2">
        <f t="shared" si="0"/>
        <v>900.35</v>
      </c>
      <c r="M88" s="2"/>
      <c r="N88" s="22">
        <f t="shared" si="1"/>
        <v>-0.59724709784411278</v>
      </c>
      <c r="O88" s="11"/>
      <c r="P88" s="2">
        <f>-607.15</f>
        <v>-607.15</v>
      </c>
      <c r="Q88" s="2"/>
      <c r="R88" s="22"/>
      <c r="S88" s="2"/>
      <c r="T88" s="2">
        <f>-1507.5</f>
        <v>-1507.5</v>
      </c>
      <c r="U88" s="2"/>
      <c r="V88" s="22"/>
      <c r="W88" s="2"/>
      <c r="X88" s="2">
        <f t="shared" si="2"/>
        <v>900.35</v>
      </c>
      <c r="Y88" s="2"/>
      <c r="Z88" s="22">
        <f t="shared" si="3"/>
        <v>-0.59724709784411278</v>
      </c>
    </row>
    <row r="89" spans="1:26" s="24" customFormat="1" hidden="1" outlineLevel="1" x14ac:dyDescent="0.25">
      <c r="A89" s="50"/>
      <c r="B89" s="11" t="str">
        <f>CONCATENATE("          ", "4202", " - ", "SALES RETURN TAXABLE-USED TEXT")</f>
        <v xml:space="preserve">          4202 - SALES RETURN TAXABLE-USED TEXT</v>
      </c>
      <c r="C89" s="11"/>
      <c r="D89" s="2">
        <f>-721.45</f>
        <v>-721.45</v>
      </c>
      <c r="E89" s="2"/>
      <c r="F89" s="22"/>
      <c r="G89" s="2"/>
      <c r="H89" s="2">
        <f>-579.25</f>
        <v>-579.25</v>
      </c>
      <c r="I89" s="2"/>
      <c r="J89" s="22"/>
      <c r="K89" s="2"/>
      <c r="L89" s="2">
        <f t="shared" si="0"/>
        <v>-142.20000000000005</v>
      </c>
      <c r="M89" s="2"/>
      <c r="N89" s="22">
        <f t="shared" si="1"/>
        <v>0.2454898575744498</v>
      </c>
      <c r="O89" s="11"/>
      <c r="P89" s="2">
        <f>-721.45</f>
        <v>-721.45</v>
      </c>
      <c r="Q89" s="2"/>
      <c r="R89" s="22"/>
      <c r="S89" s="2"/>
      <c r="T89" s="2">
        <f>-579.25</f>
        <v>-579.25</v>
      </c>
      <c r="U89" s="2"/>
      <c r="V89" s="22"/>
      <c r="W89" s="2"/>
      <c r="X89" s="2">
        <f t="shared" si="2"/>
        <v>-142.20000000000005</v>
      </c>
      <c r="Y89" s="2"/>
      <c r="Z89" s="22">
        <f t="shared" si="3"/>
        <v>0.2454898575744498</v>
      </c>
    </row>
    <row r="90" spans="1:26" s="24" customFormat="1" hidden="1" outlineLevel="1" x14ac:dyDescent="0.25">
      <c r="A90" s="50"/>
      <c r="B90" s="11" t="str">
        <f>CONCATENATE("          ", "4204", " - ", "SALES RETURN TAXABLE-DIGITAL T")</f>
        <v xml:space="preserve">          4204 - SALES RETURN TAXABLE-DIGITAL T</v>
      </c>
      <c r="C90" s="11"/>
      <c r="D90" s="2">
        <f t="shared" ref="D90:D91" si="4">0</f>
        <v>0</v>
      </c>
      <c r="E90" s="2"/>
      <c r="F90" s="22"/>
      <c r="G90" s="2"/>
      <c r="H90" s="2">
        <f>-85</f>
        <v>-85</v>
      </c>
      <c r="I90" s="2"/>
      <c r="J90" s="22"/>
      <c r="K90" s="2"/>
      <c r="L90" s="2">
        <f t="shared" si="0"/>
        <v>85</v>
      </c>
      <c r="M90" s="2"/>
      <c r="N90" s="22">
        <f t="shared" si="1"/>
        <v>-1</v>
      </c>
      <c r="O90" s="11"/>
      <c r="P90" s="2">
        <f t="shared" ref="P90:P91" si="5">0</f>
        <v>0</v>
      </c>
      <c r="Q90" s="2"/>
      <c r="R90" s="22"/>
      <c r="S90" s="2"/>
      <c r="T90" s="2">
        <f>-85</f>
        <v>-85</v>
      </c>
      <c r="U90" s="2"/>
      <c r="V90" s="22"/>
      <c r="W90" s="2"/>
      <c r="X90" s="2">
        <f t="shared" si="2"/>
        <v>85</v>
      </c>
      <c r="Y90" s="2"/>
      <c r="Z90" s="22">
        <f t="shared" si="3"/>
        <v>-1</v>
      </c>
    </row>
    <row r="91" spans="1:26" s="24" customFormat="1" hidden="1" outlineLevel="1" x14ac:dyDescent="0.25">
      <c r="A91" s="50"/>
      <c r="B91" s="11" t="str">
        <f>CONCATENATE("          ", "4218", " - ", "SALES RETURN TAXABLE-STUDY GUI")</f>
        <v xml:space="preserve">          4218 - SALES RETURN TAXABLE-STUDY GUI</v>
      </c>
      <c r="C91" s="11"/>
      <c r="D91" s="2">
        <f t="shared" si="4"/>
        <v>0</v>
      </c>
      <c r="E91" s="2"/>
      <c r="F91" s="22"/>
      <c r="G91" s="2"/>
      <c r="H91" s="2">
        <f>-15.95</f>
        <v>-15.95</v>
      </c>
      <c r="I91" s="2"/>
      <c r="J91" s="22"/>
      <c r="K91" s="2"/>
      <c r="L91" s="2">
        <f t="shared" si="0"/>
        <v>15.95</v>
      </c>
      <c r="M91" s="2"/>
      <c r="N91" s="22">
        <f t="shared" si="1"/>
        <v>-1</v>
      </c>
      <c r="O91" s="11"/>
      <c r="P91" s="2">
        <f t="shared" si="5"/>
        <v>0</v>
      </c>
      <c r="Q91" s="2"/>
      <c r="R91" s="22"/>
      <c r="S91" s="2"/>
      <c r="T91" s="2">
        <f>-15.95</f>
        <v>-15.95</v>
      </c>
      <c r="U91" s="2"/>
      <c r="V91" s="22"/>
      <c r="W91" s="2"/>
      <c r="X91" s="2">
        <f t="shared" si="2"/>
        <v>15.95</v>
      </c>
      <c r="Y91" s="2"/>
      <c r="Z91" s="22">
        <f t="shared" si="3"/>
        <v>-1</v>
      </c>
    </row>
    <row r="92" spans="1:26" s="24" customFormat="1" hidden="1" outlineLevel="1" x14ac:dyDescent="0.25">
      <c r="A92" s="50"/>
      <c r="B92" s="11" t="str">
        <f>CONCATENATE("          ", "4225", " - ", "SALES RETURN TAXABLE-TEST FORM")</f>
        <v xml:space="preserve">          4225 - SALES RETURN TAXABLE-TEST FORM</v>
      </c>
      <c r="C92" s="11"/>
      <c r="D92" s="2">
        <f>-4.08</f>
        <v>-4.08</v>
      </c>
      <c r="E92" s="2"/>
      <c r="F92" s="22"/>
      <c r="G92" s="2"/>
      <c r="H92" s="2">
        <f>-6.78</f>
        <v>-6.78</v>
      </c>
      <c r="I92" s="2"/>
      <c r="J92" s="22"/>
      <c r="K92" s="2"/>
      <c r="L92" s="2">
        <f t="shared" si="0"/>
        <v>2.7</v>
      </c>
      <c r="M92" s="2"/>
      <c r="N92" s="22">
        <f t="shared" si="1"/>
        <v>-0.39823008849557523</v>
      </c>
      <c r="O92" s="11"/>
      <c r="P92" s="2">
        <f>-4.08</f>
        <v>-4.08</v>
      </c>
      <c r="Q92" s="2"/>
      <c r="R92" s="22"/>
      <c r="S92" s="2"/>
      <c r="T92" s="2">
        <f>-6.78</f>
        <v>-6.78</v>
      </c>
      <c r="U92" s="2"/>
      <c r="V92" s="22"/>
      <c r="W92" s="2"/>
      <c r="X92" s="2">
        <f t="shared" si="2"/>
        <v>2.7</v>
      </c>
      <c r="Y92" s="2"/>
      <c r="Z92" s="22">
        <f t="shared" si="3"/>
        <v>-0.39823008849557523</v>
      </c>
    </row>
    <row r="93" spans="1:26" s="24" customFormat="1" hidden="1" outlineLevel="1" x14ac:dyDescent="0.25">
      <c r="A93" s="50"/>
      <c r="B93" s="11" t="str">
        <f>CONCATENATE("          ", "4226", " - ", "SALES RETURN TAXABLE-WRITING I")</f>
        <v xml:space="preserve">          4226 - SALES RETURN TAXABLE-WRITING I</v>
      </c>
      <c r="C93" s="11"/>
      <c r="D93" s="2">
        <f>-63.93</f>
        <v>-63.93</v>
      </c>
      <c r="E93" s="2"/>
      <c r="F93" s="22"/>
      <c r="G93" s="2"/>
      <c r="H93" s="2">
        <f>-11.17</f>
        <v>-11.17</v>
      </c>
      <c r="I93" s="2"/>
      <c r="J93" s="22"/>
      <c r="K93" s="2"/>
      <c r="L93" s="2">
        <f t="shared" si="0"/>
        <v>-52.76</v>
      </c>
      <c r="M93" s="2"/>
      <c r="N93" s="22">
        <f t="shared" si="1"/>
        <v>4.7233661593554164</v>
      </c>
      <c r="O93" s="11"/>
      <c r="P93" s="2">
        <f>-63.93</f>
        <v>-63.93</v>
      </c>
      <c r="Q93" s="2"/>
      <c r="R93" s="22"/>
      <c r="S93" s="2"/>
      <c r="T93" s="2">
        <f>-11.17</f>
        <v>-11.17</v>
      </c>
      <c r="U93" s="2"/>
      <c r="V93" s="22"/>
      <c r="W93" s="2"/>
      <c r="X93" s="2">
        <f t="shared" si="2"/>
        <v>-52.76</v>
      </c>
      <c r="Y93" s="2"/>
      <c r="Z93" s="22">
        <f t="shared" si="3"/>
        <v>4.7233661593554164</v>
      </c>
    </row>
    <row r="94" spans="1:26" s="24" customFormat="1" hidden="1" outlineLevel="1" x14ac:dyDescent="0.25">
      <c r="A94" s="50"/>
      <c r="B94" s="11" t="str">
        <f>CONCATENATE("          ", "4227", " - ", "SALES RETURN TAXABLE-SCHOOL SU")</f>
        <v xml:space="preserve">          4227 - SALES RETURN TAXABLE-SCHOOL SU</v>
      </c>
      <c r="C94" s="11"/>
      <c r="D94" s="2">
        <f>-165.44</f>
        <v>-165.44</v>
      </c>
      <c r="E94" s="2"/>
      <c r="F94" s="22"/>
      <c r="G94" s="2"/>
      <c r="H94" s="2">
        <f>-121.97</f>
        <v>-121.97</v>
      </c>
      <c r="I94" s="2"/>
      <c r="J94" s="22"/>
      <c r="K94" s="2"/>
      <c r="L94" s="2">
        <f t="shared" si="0"/>
        <v>-43.47</v>
      </c>
      <c r="M94" s="2"/>
      <c r="N94" s="22">
        <f t="shared" si="1"/>
        <v>0.35639911453636142</v>
      </c>
      <c r="O94" s="11"/>
      <c r="P94" s="2">
        <f>-165.44</f>
        <v>-165.44</v>
      </c>
      <c r="Q94" s="2"/>
      <c r="R94" s="22"/>
      <c r="S94" s="2"/>
      <c r="T94" s="2">
        <f>-121.97</f>
        <v>-121.97</v>
      </c>
      <c r="U94" s="2"/>
      <c r="V94" s="22"/>
      <c r="W94" s="2"/>
      <c r="X94" s="2">
        <f t="shared" si="2"/>
        <v>-43.47</v>
      </c>
      <c r="Y94" s="2"/>
      <c r="Z94" s="22">
        <f t="shared" si="3"/>
        <v>0.35639911453636142</v>
      </c>
    </row>
    <row r="95" spans="1:26" s="24" customFormat="1" hidden="1" outlineLevel="1" x14ac:dyDescent="0.25">
      <c r="A95" s="50"/>
      <c r="B95" s="11" t="str">
        <f>CONCATENATE("          ", "4228", " - ", "SALES RETURN TAXABLE-ART/TECH")</f>
        <v xml:space="preserve">          4228 - SALES RETURN TAXABLE-ART/TECH</v>
      </c>
      <c r="C95" s="11"/>
      <c r="D95" s="2">
        <f>-10.37</f>
        <v>-10.37</v>
      </c>
      <c r="E95" s="2"/>
      <c r="F95" s="22"/>
      <c r="G95" s="2"/>
      <c r="H95" s="2">
        <f>-149.44</f>
        <v>-149.44</v>
      </c>
      <c r="I95" s="2"/>
      <c r="J95" s="22"/>
      <c r="K95" s="2"/>
      <c r="L95" s="2">
        <f t="shared" si="0"/>
        <v>139.07</v>
      </c>
      <c r="M95" s="2"/>
      <c r="N95" s="22">
        <f t="shared" si="1"/>
        <v>-0.93060760171306212</v>
      </c>
      <c r="O95" s="11"/>
      <c r="P95" s="2">
        <f>-10.37</f>
        <v>-10.37</v>
      </c>
      <c r="Q95" s="2"/>
      <c r="R95" s="22"/>
      <c r="S95" s="2"/>
      <c r="T95" s="2">
        <f>-149.44</f>
        <v>-149.44</v>
      </c>
      <c r="U95" s="2"/>
      <c r="V95" s="22"/>
      <c r="W95" s="2"/>
      <c r="X95" s="2">
        <f t="shared" si="2"/>
        <v>139.07</v>
      </c>
      <c r="Y95" s="2"/>
      <c r="Z95" s="22">
        <f t="shared" si="3"/>
        <v>-0.93060760171306212</v>
      </c>
    </row>
    <row r="96" spans="1:26" s="24" customFormat="1" hidden="1" outlineLevel="1" x14ac:dyDescent="0.25">
      <c r="A96" s="50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-4446.84</f>
        <v>-4446.84</v>
      </c>
      <c r="E96" s="2"/>
      <c r="F96" s="22"/>
      <c r="G96" s="2"/>
      <c r="H96" s="2">
        <f>-5229.95</f>
        <v>-5229.95</v>
      </c>
      <c r="I96" s="2"/>
      <c r="J96" s="22"/>
      <c r="K96" s="2"/>
      <c r="L96" s="2">
        <f t="shared" si="0"/>
        <v>783.10999999999967</v>
      </c>
      <c r="M96" s="2"/>
      <c r="N96" s="22">
        <f t="shared" si="1"/>
        <v>-0.14973565712865319</v>
      </c>
      <c r="O96" s="11"/>
      <c r="P96" s="2">
        <f>-4446.84</f>
        <v>-4446.84</v>
      </c>
      <c r="Q96" s="2"/>
      <c r="R96" s="22"/>
      <c r="S96" s="2"/>
      <c r="T96" s="2">
        <f>-5229.95</f>
        <v>-5229.95</v>
      </c>
      <c r="U96" s="2"/>
      <c r="V96" s="22"/>
      <c r="W96" s="2"/>
      <c r="X96" s="2">
        <f t="shared" si="2"/>
        <v>783.10999999999967</v>
      </c>
      <c r="Y96" s="2"/>
      <c r="Z96" s="22">
        <f t="shared" si="3"/>
        <v>-0.14973565712865319</v>
      </c>
    </row>
    <row r="97" spans="1:26" s="24" customFormat="1" hidden="1" outlineLevel="1" x14ac:dyDescent="0.25">
      <c r="A97" s="50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-718.9</f>
        <v>-718.9</v>
      </c>
      <c r="E97" s="2"/>
      <c r="F97" s="22"/>
      <c r="G97" s="2"/>
      <c r="H97" s="2">
        <f>-475.06</f>
        <v>-475.06</v>
      </c>
      <c r="I97" s="2"/>
      <c r="J97" s="22"/>
      <c r="K97" s="2"/>
      <c r="L97" s="2">
        <f t="shared" si="0"/>
        <v>-243.83999999999997</v>
      </c>
      <c r="M97" s="2"/>
      <c r="N97" s="22">
        <f t="shared" si="1"/>
        <v>0.51328253273270741</v>
      </c>
      <c r="O97" s="11"/>
      <c r="P97" s="2">
        <f>-718.9</f>
        <v>-718.9</v>
      </c>
      <c r="Q97" s="2"/>
      <c r="R97" s="22"/>
      <c r="S97" s="2"/>
      <c r="T97" s="2">
        <f>-475.06</f>
        <v>-475.06</v>
      </c>
      <c r="U97" s="2"/>
      <c r="V97" s="22"/>
      <c r="W97" s="2"/>
      <c r="X97" s="2">
        <f t="shared" si="2"/>
        <v>-243.83999999999997</v>
      </c>
      <c r="Y97" s="2"/>
      <c r="Z97" s="22">
        <f t="shared" si="3"/>
        <v>0.51328253273270741</v>
      </c>
    </row>
    <row r="98" spans="1:26" s="24" customFormat="1" hidden="1" outlineLevel="1" x14ac:dyDescent="0.25">
      <c r="A98" s="50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-373.98</f>
        <v>-373.98</v>
      </c>
      <c r="E98" s="2"/>
      <c r="F98" s="22"/>
      <c r="G98" s="2"/>
      <c r="H98" s="2">
        <f>-160.74</f>
        <v>-160.74</v>
      </c>
      <c r="I98" s="2"/>
      <c r="J98" s="22"/>
      <c r="K98" s="2"/>
      <c r="L98" s="2">
        <f t="shared" si="0"/>
        <v>-213.24</v>
      </c>
      <c r="M98" s="2"/>
      <c r="N98" s="22">
        <f t="shared" si="1"/>
        <v>1.3266144083613289</v>
      </c>
      <c r="O98" s="11"/>
      <c r="P98" s="2">
        <f>-373.98</f>
        <v>-373.98</v>
      </c>
      <c r="Q98" s="2"/>
      <c r="R98" s="22"/>
      <c r="S98" s="2"/>
      <c r="T98" s="2">
        <f>-160.74</f>
        <v>-160.74</v>
      </c>
      <c r="U98" s="2"/>
      <c r="V98" s="22"/>
      <c r="W98" s="2"/>
      <c r="X98" s="2">
        <f t="shared" si="2"/>
        <v>-213.24</v>
      </c>
      <c r="Y98" s="2"/>
      <c r="Z98" s="22">
        <f t="shared" si="3"/>
        <v>1.3266144083613289</v>
      </c>
    </row>
    <row r="99" spans="1:26" s="24" customFormat="1" hidden="1" outlineLevel="1" x14ac:dyDescent="0.25">
      <c r="A99" s="50"/>
      <c r="B99" s="11" t="str">
        <f>CONCATENATE("          ", "4244", " - ", "SALES RETURN TAXABLE-ACCESSORI")</f>
        <v xml:space="preserve">          4244 - SALES RETURN TAXABLE-ACCESSORI</v>
      </c>
      <c r="C99" s="11"/>
      <c r="D99" s="2">
        <f>-106.79</f>
        <v>-106.79</v>
      </c>
      <c r="E99" s="2"/>
      <c r="F99" s="22"/>
      <c r="G99" s="2"/>
      <c r="H99" s="2">
        <f>-144.9</f>
        <v>-144.9</v>
      </c>
      <c r="I99" s="2"/>
      <c r="J99" s="22"/>
      <c r="K99" s="2"/>
      <c r="L99" s="2">
        <f t="shared" si="0"/>
        <v>38.11</v>
      </c>
      <c r="M99" s="2"/>
      <c r="N99" s="22">
        <f t="shared" si="1"/>
        <v>-0.26300897170462384</v>
      </c>
      <c r="O99" s="11"/>
      <c r="P99" s="2">
        <f>-106.79</f>
        <v>-106.79</v>
      </c>
      <c r="Q99" s="2"/>
      <c r="R99" s="22"/>
      <c r="S99" s="2"/>
      <c r="T99" s="2">
        <f>-144.9</f>
        <v>-144.9</v>
      </c>
      <c r="U99" s="2"/>
      <c r="V99" s="22"/>
      <c r="W99" s="2"/>
      <c r="X99" s="2">
        <f t="shared" si="2"/>
        <v>38.11</v>
      </c>
      <c r="Y99" s="2"/>
      <c r="Z99" s="22">
        <f t="shared" si="3"/>
        <v>-0.26300897170462384</v>
      </c>
    </row>
    <row r="100" spans="1:26" s="24" customFormat="1" hidden="1" outlineLevel="1" x14ac:dyDescent="0.25">
      <c r="A100" s="50"/>
      <c r="B100" s="11" t="str">
        <f>CONCATENATE("          ", "4245", " - ", "SALES RETURN TAXABLE-SPECIAL O")</f>
        <v xml:space="preserve">          4245 - SALES RETURN TAXABLE-SPECIAL O</v>
      </c>
      <c r="C100" s="11"/>
      <c r="D100" s="2">
        <f>0</f>
        <v>0</v>
      </c>
      <c r="E100" s="2"/>
      <c r="F100" s="22"/>
      <c r="G100" s="2"/>
      <c r="H100" s="2">
        <f>-19.95</f>
        <v>-19.95</v>
      </c>
      <c r="I100" s="2"/>
      <c r="J100" s="22"/>
      <c r="K100" s="2"/>
      <c r="L100" s="2">
        <f t="shared" si="0"/>
        <v>19.95</v>
      </c>
      <c r="M100" s="2"/>
      <c r="N100" s="22">
        <f t="shared" si="1"/>
        <v>-1</v>
      </c>
      <c r="O100" s="11"/>
      <c r="P100" s="2">
        <f>0</f>
        <v>0</v>
      </c>
      <c r="Q100" s="2"/>
      <c r="R100" s="22"/>
      <c r="S100" s="2"/>
      <c r="T100" s="2">
        <f>-19.95</f>
        <v>-19.95</v>
      </c>
      <c r="U100" s="2"/>
      <c r="V100" s="22"/>
      <c r="W100" s="2"/>
      <c r="X100" s="2">
        <f t="shared" si="2"/>
        <v>19.95</v>
      </c>
      <c r="Y100" s="2"/>
      <c r="Z100" s="22">
        <f t="shared" si="3"/>
        <v>-1</v>
      </c>
    </row>
    <row r="101" spans="1:26" s="24" customFormat="1" hidden="1" outlineLevel="1" x14ac:dyDescent="0.25">
      <c r="A101" s="50"/>
      <c r="B101" s="11" t="str">
        <f>CONCATENATE("          ", "4281", " - ", "SALES RETURN TAXABLE-ELECTRONI")</f>
        <v xml:space="preserve">          4281 - SALES RETURN TAXABLE-ELECTRONI</v>
      </c>
      <c r="C101" s="11"/>
      <c r="D101" s="2">
        <f>-1658.99</f>
        <v>-1658.99</v>
      </c>
      <c r="E101" s="2"/>
      <c r="F101" s="22"/>
      <c r="G101" s="2"/>
      <c r="H101" s="2">
        <f>-329.94</f>
        <v>-329.94</v>
      </c>
      <c r="I101" s="2"/>
      <c r="J101" s="22"/>
      <c r="K101" s="2"/>
      <c r="L101" s="2">
        <f t="shared" si="0"/>
        <v>-1329.05</v>
      </c>
      <c r="M101" s="2"/>
      <c r="N101" s="22">
        <f t="shared" si="1"/>
        <v>4.0281566345396129</v>
      </c>
      <c r="O101" s="11"/>
      <c r="P101" s="2">
        <f>-1658.99</f>
        <v>-1658.99</v>
      </c>
      <c r="Q101" s="2"/>
      <c r="R101" s="22"/>
      <c r="S101" s="2"/>
      <c r="T101" s="2">
        <f>-329.94</f>
        <v>-329.94</v>
      </c>
      <c r="U101" s="2"/>
      <c r="V101" s="22"/>
      <c r="W101" s="2"/>
      <c r="X101" s="2">
        <f t="shared" si="2"/>
        <v>-1329.05</v>
      </c>
      <c r="Y101" s="2"/>
      <c r="Z101" s="22">
        <f t="shared" si="3"/>
        <v>4.0281566345396129</v>
      </c>
    </row>
    <row r="102" spans="1:26" s="24" customFormat="1" hidden="1" outlineLevel="1" x14ac:dyDescent="0.25">
      <c r="A102" s="50"/>
      <c r="B102" s="11" t="str">
        <f>CONCATENATE("          ", "4282", " - ", "SALES RETURN TAXABLE-COMPUTER")</f>
        <v xml:space="preserve">          4282 - SALES RETURN TAXABLE-COMPUTER</v>
      </c>
      <c r="C102" s="11"/>
      <c r="D102" s="2">
        <f>-70341.06</f>
        <v>-70341.06</v>
      </c>
      <c r="E102" s="2"/>
      <c r="F102" s="22"/>
      <c r="G102" s="2"/>
      <c r="H102" s="2">
        <f>-8151</f>
        <v>-8151</v>
      </c>
      <c r="I102" s="2"/>
      <c r="J102" s="22"/>
      <c r="K102" s="2"/>
      <c r="L102" s="2">
        <f t="shared" si="0"/>
        <v>-62190.06</v>
      </c>
      <c r="M102" s="2"/>
      <c r="N102" s="22">
        <f t="shared" si="1"/>
        <v>7.629746043430254</v>
      </c>
      <c r="O102" s="11"/>
      <c r="P102" s="2">
        <f>-70341.06</f>
        <v>-70341.06</v>
      </c>
      <c r="Q102" s="2"/>
      <c r="R102" s="22"/>
      <c r="S102" s="2"/>
      <c r="T102" s="2">
        <f>-8151</f>
        <v>-8151</v>
      </c>
      <c r="U102" s="2"/>
      <c r="V102" s="22"/>
      <c r="W102" s="2"/>
      <c r="X102" s="2">
        <f t="shared" si="2"/>
        <v>-62190.06</v>
      </c>
      <c r="Y102" s="2"/>
      <c r="Z102" s="22">
        <f t="shared" si="3"/>
        <v>7.629746043430254</v>
      </c>
    </row>
    <row r="103" spans="1:26" s="24" customFormat="1" hidden="1" outlineLevel="1" x14ac:dyDescent="0.25">
      <c r="A103" s="50"/>
      <c r="B103" s="11" t="str">
        <f>CONCATENATE("          ", "4283", " - ", "SALES RETURN TAXABLE-COMPUTER")</f>
        <v xml:space="preserve">          4283 - SALES RETURN TAXABLE-COMPUTER</v>
      </c>
      <c r="C103" s="11"/>
      <c r="D103" s="2">
        <f>-226.8</f>
        <v>-226.8</v>
      </c>
      <c r="E103" s="2"/>
      <c r="F103" s="22"/>
      <c r="G103" s="2"/>
      <c r="H103" s="2">
        <f>-207.9</f>
        <v>-207.9</v>
      </c>
      <c r="I103" s="2"/>
      <c r="J103" s="22"/>
      <c r="K103" s="2"/>
      <c r="L103" s="2">
        <f t="shared" si="0"/>
        <v>-18.900000000000006</v>
      </c>
      <c r="M103" s="2"/>
      <c r="N103" s="22">
        <f t="shared" si="1"/>
        <v>9.0909090909090939E-2</v>
      </c>
      <c r="O103" s="11"/>
      <c r="P103" s="2">
        <f>-226.8</f>
        <v>-226.8</v>
      </c>
      <c r="Q103" s="2"/>
      <c r="R103" s="22"/>
      <c r="S103" s="2"/>
      <c r="T103" s="2">
        <f>-207.9</f>
        <v>-207.9</v>
      </c>
      <c r="U103" s="2"/>
      <c r="V103" s="22"/>
      <c r="W103" s="2"/>
      <c r="X103" s="2">
        <f t="shared" si="2"/>
        <v>-18.900000000000006</v>
      </c>
      <c r="Y103" s="2"/>
      <c r="Z103" s="22">
        <f t="shared" si="3"/>
        <v>9.0909090909090939E-2</v>
      </c>
    </row>
    <row r="104" spans="1:26" s="24" customFormat="1" hidden="1" outlineLevel="1" x14ac:dyDescent="0.25">
      <c r="A104" s="50"/>
      <c r="B104" s="11" t="str">
        <f>CONCATENATE("          ", "4285", " - ", "SALES RETURN TAXABLE-SOFTWARE")</f>
        <v xml:space="preserve">          4285 - SALES RETURN TAXABLE-SOFTWARE</v>
      </c>
      <c r="C104" s="11"/>
      <c r="D104" s="2">
        <f>-406.99</f>
        <v>-406.99</v>
      </c>
      <c r="E104" s="2"/>
      <c r="F104" s="22"/>
      <c r="G104" s="2"/>
      <c r="H104" s="2">
        <f>0</f>
        <v>0</v>
      </c>
      <c r="I104" s="2"/>
      <c r="J104" s="22"/>
      <c r="K104" s="2"/>
      <c r="L104" s="2">
        <f t="shared" si="0"/>
        <v>-406.99</v>
      </c>
      <c r="M104" s="2"/>
      <c r="N104" s="22">
        <f t="shared" si="1"/>
        <v>0</v>
      </c>
      <c r="O104" s="11"/>
      <c r="P104" s="2">
        <f>-406.99</f>
        <v>-406.99</v>
      </c>
      <c r="Q104" s="2"/>
      <c r="R104" s="22"/>
      <c r="S104" s="2"/>
      <c r="T104" s="2">
        <f>0</f>
        <v>0</v>
      </c>
      <c r="U104" s="2"/>
      <c r="V104" s="22"/>
      <c r="W104" s="2"/>
      <c r="X104" s="2">
        <f t="shared" si="2"/>
        <v>-406.99</v>
      </c>
      <c r="Y104" s="2"/>
      <c r="Z104" s="22">
        <f t="shared" si="3"/>
        <v>0</v>
      </c>
    </row>
    <row r="105" spans="1:26" s="24" customFormat="1" hidden="1" outlineLevel="1" x14ac:dyDescent="0.25">
      <c r="A105" s="50"/>
      <c r="B105" s="11" t="str">
        <f>CONCATENATE("          ", "4286", " - ", "SALES RETURN TAXABLE-COMPUTER")</f>
        <v xml:space="preserve">          4286 - SALES RETURN TAXABLE-COMPUTER</v>
      </c>
      <c r="C105" s="11"/>
      <c r="D105" s="2">
        <f>-545.95</f>
        <v>-545.95000000000005</v>
      </c>
      <c r="E105" s="2"/>
      <c r="F105" s="22"/>
      <c r="G105" s="2"/>
      <c r="H105" s="2">
        <f>-44.97</f>
        <v>-44.97</v>
      </c>
      <c r="I105" s="2"/>
      <c r="J105" s="22"/>
      <c r="K105" s="2"/>
      <c r="L105" s="2">
        <f t="shared" si="0"/>
        <v>-500.98</v>
      </c>
      <c r="M105" s="2"/>
      <c r="N105" s="22">
        <f t="shared" si="1"/>
        <v>11.140315766066267</v>
      </c>
      <c r="O105" s="11"/>
      <c r="P105" s="2">
        <f>-545.95</f>
        <v>-545.95000000000005</v>
      </c>
      <c r="Q105" s="2"/>
      <c r="R105" s="22"/>
      <c r="S105" s="2"/>
      <c r="T105" s="2">
        <f>-44.97</f>
        <v>-44.97</v>
      </c>
      <c r="U105" s="2"/>
      <c r="V105" s="22"/>
      <c r="W105" s="2"/>
      <c r="X105" s="2">
        <f t="shared" si="2"/>
        <v>-500.98</v>
      </c>
      <c r="Y105" s="2"/>
      <c r="Z105" s="22">
        <f t="shared" si="3"/>
        <v>11.140315766066267</v>
      </c>
    </row>
    <row r="106" spans="1:26" s="24" customFormat="1" hidden="1" outlineLevel="1" x14ac:dyDescent="0.25">
      <c r="A106" s="50"/>
      <c r="B106" s="11" t="str">
        <f>CONCATENATE("          ", "4292", " - ", "SALES RETURN TAXABLE-GRAD MERC")</f>
        <v xml:space="preserve">          4292 - SALES RETURN TAXABLE-GRAD MERC</v>
      </c>
      <c r="C106" s="11"/>
      <c r="D106" s="2">
        <f>-9.95</f>
        <v>-9.9499999999999993</v>
      </c>
      <c r="E106" s="2"/>
      <c r="F106" s="22"/>
      <c r="G106" s="2"/>
      <c r="H106" s="2">
        <f>-478.25</f>
        <v>-478.25</v>
      </c>
      <c r="I106" s="2"/>
      <c r="J106" s="22"/>
      <c r="K106" s="2"/>
      <c r="L106" s="2">
        <f t="shared" si="0"/>
        <v>468.3</v>
      </c>
      <c r="M106" s="2"/>
      <c r="N106" s="22">
        <f t="shared" si="1"/>
        <v>-0.97919498170412966</v>
      </c>
      <c r="O106" s="11"/>
      <c r="P106" s="2">
        <f>-9.95</f>
        <v>-9.9499999999999993</v>
      </c>
      <c r="Q106" s="2"/>
      <c r="R106" s="22"/>
      <c r="S106" s="2"/>
      <c r="T106" s="2">
        <f>-478.25</f>
        <v>-478.25</v>
      </c>
      <c r="U106" s="2"/>
      <c r="V106" s="22"/>
      <c r="W106" s="2"/>
      <c r="X106" s="2">
        <f t="shared" si="2"/>
        <v>468.3</v>
      </c>
      <c r="Y106" s="2"/>
      <c r="Z106" s="22">
        <f t="shared" si="3"/>
        <v>-0.97919498170412966</v>
      </c>
    </row>
    <row r="107" spans="1:26" s="24" customFormat="1" hidden="1" outlineLevel="1" x14ac:dyDescent="0.25">
      <c r="A107" s="50"/>
      <c r="B107" s="11" t="str">
        <f>CONCATENATE("          ", "4301", " - ", "SALES RETURN NON TAXABLE-NEW T")</f>
        <v xml:space="preserve">          4301 - SALES RETURN NON TAXABLE-NEW T</v>
      </c>
      <c r="C107" s="11"/>
      <c r="D107" s="2">
        <f>-254.59</f>
        <v>-254.59</v>
      </c>
      <c r="E107" s="2"/>
      <c r="F107" s="22"/>
      <c r="G107" s="2"/>
      <c r="H107" s="2">
        <f>-996.13</f>
        <v>-996.13</v>
      </c>
      <c r="I107" s="2"/>
      <c r="J107" s="22"/>
      <c r="K107" s="2"/>
      <c r="L107" s="2">
        <f t="shared" si="0"/>
        <v>741.54</v>
      </c>
      <c r="M107" s="2"/>
      <c r="N107" s="22">
        <f t="shared" si="1"/>
        <v>-0.74442090891751078</v>
      </c>
      <c r="O107" s="11"/>
      <c r="P107" s="2">
        <f>-254.59</f>
        <v>-254.59</v>
      </c>
      <c r="Q107" s="2"/>
      <c r="R107" s="22"/>
      <c r="S107" s="2"/>
      <c r="T107" s="2">
        <f>-996.13</f>
        <v>-996.13</v>
      </c>
      <c r="U107" s="2"/>
      <c r="V107" s="22"/>
      <c r="W107" s="2"/>
      <c r="X107" s="2">
        <f t="shared" si="2"/>
        <v>741.54</v>
      </c>
      <c r="Y107" s="2"/>
      <c r="Z107" s="22">
        <f t="shared" si="3"/>
        <v>-0.74442090891751078</v>
      </c>
    </row>
    <row r="108" spans="1:26" s="24" customFormat="1" hidden="1" outlineLevel="1" x14ac:dyDescent="0.25">
      <c r="A108" s="50"/>
      <c r="B108" s="11" t="str">
        <f>CONCATENATE("          ", "4302", " - ", "SALES RETURN NON TAXABLE-TEXT")</f>
        <v xml:space="preserve">          4302 - SALES RETURN NON TAXABLE-TEXT</v>
      </c>
      <c r="C108" s="11"/>
      <c r="D108" s="2">
        <f t="shared" ref="D108:D109" si="6">0</f>
        <v>0</v>
      </c>
      <c r="E108" s="2"/>
      <c r="F108" s="22"/>
      <c r="G108" s="2"/>
      <c r="H108" s="2">
        <f>-112.8</f>
        <v>-112.8</v>
      </c>
      <c r="I108" s="2"/>
      <c r="J108" s="22"/>
      <c r="K108" s="2"/>
      <c r="L108" s="2">
        <f t="shared" si="0"/>
        <v>112.8</v>
      </c>
      <c r="M108" s="2"/>
      <c r="N108" s="22">
        <f t="shared" si="1"/>
        <v>-1</v>
      </c>
      <c r="O108" s="11"/>
      <c r="P108" s="2">
        <f t="shared" ref="P108:P109" si="7">0</f>
        <v>0</v>
      </c>
      <c r="Q108" s="2"/>
      <c r="R108" s="22"/>
      <c r="S108" s="2"/>
      <c r="T108" s="2">
        <f>-112.8</f>
        <v>-112.8</v>
      </c>
      <c r="U108" s="2"/>
      <c r="V108" s="22"/>
      <c r="W108" s="2"/>
      <c r="X108" s="2">
        <f t="shared" si="2"/>
        <v>112.8</v>
      </c>
      <c r="Y108" s="2"/>
      <c r="Z108" s="22">
        <f t="shared" si="3"/>
        <v>-1</v>
      </c>
    </row>
    <row r="109" spans="1:26" s="24" customFormat="1" hidden="1" outlineLevel="1" x14ac:dyDescent="0.25">
      <c r="A109" s="50"/>
      <c r="B109" s="11" t="str">
        <f>CONCATENATE("          ", "4304", " - ", "SALES RETURN NON TAXABLE-DIGIT")</f>
        <v xml:space="preserve">          4304 - SALES RETURN NON TAXABLE-DIGIT</v>
      </c>
      <c r="C109" s="11"/>
      <c r="D109" s="2">
        <f t="shared" si="6"/>
        <v>0</v>
      </c>
      <c r="E109" s="2"/>
      <c r="F109" s="22"/>
      <c r="G109" s="2"/>
      <c r="H109" s="2">
        <f>-20</f>
        <v>-20</v>
      </c>
      <c r="I109" s="2"/>
      <c r="J109" s="22"/>
      <c r="K109" s="2"/>
      <c r="L109" s="2">
        <f t="shared" si="0"/>
        <v>20</v>
      </c>
      <c r="M109" s="2"/>
      <c r="N109" s="22">
        <f t="shared" si="1"/>
        <v>-1</v>
      </c>
      <c r="O109" s="11"/>
      <c r="P109" s="2">
        <f t="shared" si="7"/>
        <v>0</v>
      </c>
      <c r="Q109" s="2"/>
      <c r="R109" s="22"/>
      <c r="S109" s="2"/>
      <c r="T109" s="2">
        <f>-20</f>
        <v>-20</v>
      </c>
      <c r="U109" s="2"/>
      <c r="V109" s="22"/>
      <c r="W109" s="2"/>
      <c r="X109" s="2">
        <f t="shared" si="2"/>
        <v>20</v>
      </c>
      <c r="Y109" s="2"/>
      <c r="Z109" s="22">
        <f t="shared" si="3"/>
        <v>-1</v>
      </c>
    </row>
    <row r="110" spans="1:26" s="24" customFormat="1" hidden="1" outlineLevel="1" x14ac:dyDescent="0.25">
      <c r="A110" s="50"/>
      <c r="B110" s="11" t="str">
        <f>CONCATENATE("          ", "4311", " - ", "SALES RETURN NON TAXABLE-NO VA")</f>
        <v xml:space="preserve">          4311 - SALES RETURN NON TAXABLE-NO VA</v>
      </c>
      <c r="C110" s="11"/>
      <c r="D110" s="2">
        <f>-31.98</f>
        <v>-31.98</v>
      </c>
      <c r="E110" s="2"/>
      <c r="F110" s="22"/>
      <c r="G110" s="2"/>
      <c r="H110" s="2">
        <f>-44.38</f>
        <v>-44.38</v>
      </c>
      <c r="I110" s="2"/>
      <c r="J110" s="22"/>
      <c r="K110" s="2"/>
      <c r="L110" s="2">
        <f t="shared" si="0"/>
        <v>12.400000000000002</v>
      </c>
      <c r="M110" s="2"/>
      <c r="N110" s="22">
        <f t="shared" si="1"/>
        <v>-0.27940513744930151</v>
      </c>
      <c r="O110" s="11"/>
      <c r="P110" s="2">
        <f>-31.98</f>
        <v>-31.98</v>
      </c>
      <c r="Q110" s="2"/>
      <c r="R110" s="22"/>
      <c r="S110" s="2"/>
      <c r="T110" s="2">
        <f>-44.38</f>
        <v>-44.38</v>
      </c>
      <c r="U110" s="2"/>
      <c r="V110" s="22"/>
      <c r="W110" s="2"/>
      <c r="X110" s="2">
        <f t="shared" si="2"/>
        <v>12.400000000000002</v>
      </c>
      <c r="Y110" s="2"/>
      <c r="Z110" s="22">
        <f t="shared" si="3"/>
        <v>-0.27940513744930151</v>
      </c>
    </row>
    <row r="111" spans="1:26" s="24" customFormat="1" hidden="1" outlineLevel="1" x14ac:dyDescent="0.25">
      <c r="A111" s="50"/>
      <c r="B111" s="11" t="str">
        <f>CONCATENATE("          ", "4326", " - ", "SALES RETURN NON TAXABLE-WRITI")</f>
        <v xml:space="preserve">          4326 - SALES RETURN NON TAXABLE-WRITI</v>
      </c>
      <c r="C111" s="11"/>
      <c r="D111" s="2">
        <f>0</f>
        <v>0</v>
      </c>
      <c r="E111" s="2"/>
      <c r="F111" s="22"/>
      <c r="G111" s="2"/>
      <c r="H111" s="2">
        <f>-2.29</f>
        <v>-2.29</v>
      </c>
      <c r="I111" s="2"/>
      <c r="J111" s="22"/>
      <c r="K111" s="2"/>
      <c r="L111" s="2">
        <f t="shared" si="0"/>
        <v>2.29</v>
      </c>
      <c r="M111" s="2"/>
      <c r="N111" s="22">
        <f t="shared" si="1"/>
        <v>-1</v>
      </c>
      <c r="O111" s="11"/>
      <c r="P111" s="2">
        <f>0</f>
        <v>0</v>
      </c>
      <c r="Q111" s="2"/>
      <c r="R111" s="22"/>
      <c r="S111" s="2"/>
      <c r="T111" s="2">
        <f>-2.29</f>
        <v>-2.29</v>
      </c>
      <c r="U111" s="2"/>
      <c r="V111" s="22"/>
      <c r="W111" s="2"/>
      <c r="X111" s="2">
        <f t="shared" si="2"/>
        <v>2.29</v>
      </c>
      <c r="Y111" s="2"/>
      <c r="Z111" s="22">
        <f t="shared" si="3"/>
        <v>-1</v>
      </c>
    </row>
    <row r="112" spans="1:26" s="24" customFormat="1" hidden="1" outlineLevel="1" x14ac:dyDescent="0.25">
      <c r="A112" s="50"/>
      <c r="B112" s="11" t="str">
        <f>CONCATENATE("          ", "4340", " - ", "SALES RETURN NON TAXABLE-LOGO")</f>
        <v xml:space="preserve">          4340 - SALES RETURN NON TAXABLE-LOGO</v>
      </c>
      <c r="C112" s="11"/>
      <c r="D112" s="2">
        <f>-223.55</f>
        <v>-223.55</v>
      </c>
      <c r="E112" s="2"/>
      <c r="F112" s="22"/>
      <c r="G112" s="2"/>
      <c r="H112" s="2">
        <f>0</f>
        <v>0</v>
      </c>
      <c r="I112" s="2"/>
      <c r="J112" s="22"/>
      <c r="K112" s="2"/>
      <c r="L112" s="2">
        <f t="shared" si="0"/>
        <v>-223.55</v>
      </c>
      <c r="M112" s="2"/>
      <c r="N112" s="22">
        <f t="shared" si="1"/>
        <v>0</v>
      </c>
      <c r="O112" s="11"/>
      <c r="P112" s="2">
        <f>-223.55</f>
        <v>-223.55</v>
      </c>
      <c r="Q112" s="2"/>
      <c r="R112" s="22"/>
      <c r="S112" s="2"/>
      <c r="T112" s="2">
        <f>0</f>
        <v>0</v>
      </c>
      <c r="U112" s="2"/>
      <c r="V112" s="22"/>
      <c r="W112" s="2"/>
      <c r="X112" s="2">
        <f t="shared" si="2"/>
        <v>-223.55</v>
      </c>
      <c r="Y112" s="2"/>
      <c r="Z112" s="22">
        <f t="shared" si="3"/>
        <v>0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collapsed="1" x14ac:dyDescent="0.25">
      <c r="A114" s="10"/>
      <c r="B114" s="26" t="s">
        <v>8</v>
      </c>
      <c r="C114" s="10"/>
      <c r="D114" s="4">
        <f>SUM(OSRRefD16x_0)</f>
        <v>789537.64</v>
      </c>
      <c r="E114" s="4"/>
      <c r="F114" s="12">
        <f t="shared" ref="F114:F163" si="8">IF(D$12=0,0,D114/D$12)</f>
        <v>0.52394430785969659</v>
      </c>
      <c r="G114" s="4"/>
      <c r="H114" s="4">
        <f>SUM(OSRRefH16x_0)</f>
        <v>808597.15000000049</v>
      </c>
      <c r="I114" s="4"/>
      <c r="J114" s="12">
        <f t="shared" ref="J114:J163" si="9">IF(H$12=0,0,H114/H$12)</f>
        <v>0.48572690717533867</v>
      </c>
      <c r="K114" s="4"/>
      <c r="L114" s="4">
        <f t="shared" ref="L114:L163" si="10">+D114-H114</f>
        <v>-19059.510000000475</v>
      </c>
      <c r="M114" s="4"/>
      <c r="N114" s="12">
        <f t="shared" ref="N114:N163" si="11">IF(H114=0,0,L114/H114)</f>
        <v>-2.3571082336860158E-2</v>
      </c>
      <c r="O114" s="10"/>
      <c r="P114" s="4">
        <f>SUM(OSRRefP16x_0)</f>
        <v>789537.64</v>
      </c>
      <c r="Q114" s="4"/>
      <c r="R114" s="12">
        <f t="shared" ref="R114:R163" si="12">IF(P$12=0,0,P114/P$12)</f>
        <v>0.52394430785969659</v>
      </c>
      <c r="S114" s="4"/>
      <c r="T114" s="4">
        <f>SUM(OSRRefT16x_0)</f>
        <v>808597.15000000049</v>
      </c>
      <c r="U114" s="4"/>
      <c r="V114" s="12">
        <f t="shared" ref="V114:V163" si="13">IF(T$12=0,0,T114/T$12)</f>
        <v>0.48572690717533867</v>
      </c>
      <c r="W114" s="4"/>
      <c r="X114" s="4">
        <f t="shared" ref="X114:X163" si="14">+P114-T114</f>
        <v>-19059.510000000475</v>
      </c>
      <c r="Y114" s="4"/>
      <c r="Z114" s="12">
        <f t="shared" ref="Z114:Z163" si="15">IF(T114=0,0,X114/T114)</f>
        <v>-2.3571082336860158E-2</v>
      </c>
    </row>
    <row r="115" spans="1:26" s="24" customFormat="1" hidden="1" outlineLevel="1" x14ac:dyDescent="0.25">
      <c r="A115" s="50"/>
      <c r="B115" s="11" t="str">
        <f>CONCATENATE("          ", "5001", " - ", "PURCHASES @ COST-NEW TEXT")</f>
        <v xml:space="preserve">          5001 - PURCHASES @ COST-NEW TEXT</v>
      </c>
      <c r="C115" s="11"/>
      <c r="D115" s="2">
        <v>343994.56</v>
      </c>
      <c r="E115" s="2"/>
      <c r="F115" s="22">
        <f t="shared" si="8"/>
        <v>0.22827789647457575</v>
      </c>
      <c r="G115" s="2"/>
      <c r="H115" s="2">
        <v>502071.74999999994</v>
      </c>
      <c r="I115" s="2"/>
      <c r="J115" s="22">
        <f t="shared" si="9"/>
        <v>0.30159611409415638</v>
      </c>
      <c r="K115" s="2"/>
      <c r="L115" s="2">
        <f t="shared" si="10"/>
        <v>-158077.18999999994</v>
      </c>
      <c r="M115" s="2"/>
      <c r="N115" s="22">
        <f t="shared" si="11"/>
        <v>-0.31484979985430361</v>
      </c>
      <c r="O115" s="11"/>
      <c r="P115" s="2">
        <v>343994.56</v>
      </c>
      <c r="Q115" s="2"/>
      <c r="R115" s="22">
        <f t="shared" si="12"/>
        <v>0.22827789647457575</v>
      </c>
      <c r="S115" s="2"/>
      <c r="T115" s="2">
        <v>502071.74999999994</v>
      </c>
      <c r="U115" s="2"/>
      <c r="V115" s="22">
        <f t="shared" si="13"/>
        <v>0.30159611409415638</v>
      </c>
      <c r="W115" s="2"/>
      <c r="X115" s="2">
        <f t="shared" si="14"/>
        <v>-158077.18999999994</v>
      </c>
      <c r="Y115" s="2"/>
      <c r="Z115" s="22">
        <f t="shared" si="15"/>
        <v>-0.31484979985430361</v>
      </c>
    </row>
    <row r="116" spans="1:26" s="24" customFormat="1" hidden="1" outlineLevel="1" x14ac:dyDescent="0.25">
      <c r="A116" s="50"/>
      <c r="B116" s="11" t="str">
        <f>CONCATENATE("          ", "5002", " - ", "PURCHASES @ COST-USED TEXT")</f>
        <v xml:space="preserve">          5002 - PURCHASES @ COST-USED TEXT</v>
      </c>
      <c r="C116" s="11"/>
      <c r="D116" s="2">
        <v>110293.25</v>
      </c>
      <c r="E116" s="2"/>
      <c r="F116" s="22">
        <f t="shared" si="8"/>
        <v>7.3191596708228474E-2</v>
      </c>
      <c r="G116" s="2"/>
      <c r="H116" s="2">
        <v>-64118.3</v>
      </c>
      <c r="I116" s="2"/>
      <c r="J116" s="22">
        <f t="shared" si="9"/>
        <v>-3.8516068913105252E-2</v>
      </c>
      <c r="K116" s="2"/>
      <c r="L116" s="2">
        <f t="shared" si="10"/>
        <v>174411.55</v>
      </c>
      <c r="M116" s="2"/>
      <c r="N116" s="22">
        <f t="shared" si="11"/>
        <v>-2.7201524369797698</v>
      </c>
      <c r="O116" s="11"/>
      <c r="P116" s="2">
        <v>110293.25</v>
      </c>
      <c r="Q116" s="2"/>
      <c r="R116" s="22">
        <f t="shared" si="12"/>
        <v>7.3191596708228474E-2</v>
      </c>
      <c r="S116" s="2"/>
      <c r="T116" s="2">
        <v>-64118.3</v>
      </c>
      <c r="U116" s="2"/>
      <c r="V116" s="22">
        <f t="shared" si="13"/>
        <v>-3.8516068913105252E-2</v>
      </c>
      <c r="W116" s="2"/>
      <c r="X116" s="2">
        <f t="shared" si="14"/>
        <v>174411.55</v>
      </c>
      <c r="Y116" s="2"/>
      <c r="Z116" s="22">
        <f t="shared" si="15"/>
        <v>-2.7201524369797698</v>
      </c>
    </row>
    <row r="117" spans="1:26" s="24" customFormat="1" hidden="1" outlineLevel="1" x14ac:dyDescent="0.25">
      <c r="A117" s="50"/>
      <c r="B117" s="11" t="str">
        <f>CONCATENATE("          ", "5003", " - ", "PURCHASES @ COST-RENTAL TEXT")</f>
        <v xml:space="preserve">          5003 - PURCHASES @ COST-RENTAL TEXT</v>
      </c>
      <c r="C117" s="11"/>
      <c r="D117" s="2">
        <v>38295.800000000003</v>
      </c>
      <c r="E117" s="2"/>
      <c r="F117" s="22">
        <f t="shared" si="8"/>
        <v>2.5413438711969917E-2</v>
      </c>
      <c r="G117" s="2"/>
      <c r="H117" s="2">
        <v>-1763.7</v>
      </c>
      <c r="I117" s="2"/>
      <c r="J117" s="22">
        <f t="shared" si="9"/>
        <v>-1.0594602592714363E-3</v>
      </c>
      <c r="K117" s="2"/>
      <c r="L117" s="2">
        <f t="shared" si="10"/>
        <v>40059.5</v>
      </c>
      <c r="M117" s="2"/>
      <c r="N117" s="22">
        <f t="shared" si="11"/>
        <v>-22.713329931394227</v>
      </c>
      <c r="O117" s="11"/>
      <c r="P117" s="2">
        <v>38295.800000000003</v>
      </c>
      <c r="Q117" s="2"/>
      <c r="R117" s="22">
        <f t="shared" si="12"/>
        <v>2.5413438711969917E-2</v>
      </c>
      <c r="S117" s="2"/>
      <c r="T117" s="2">
        <v>-1763.7</v>
      </c>
      <c r="U117" s="2"/>
      <c r="V117" s="22">
        <f t="shared" si="13"/>
        <v>-1.0594602592714363E-3</v>
      </c>
      <c r="W117" s="2"/>
      <c r="X117" s="2">
        <f t="shared" si="14"/>
        <v>40059.5</v>
      </c>
      <c r="Y117" s="2"/>
      <c r="Z117" s="22">
        <f t="shared" si="15"/>
        <v>-22.713329931394227</v>
      </c>
    </row>
    <row r="118" spans="1:26" s="24" customFormat="1" hidden="1" outlineLevel="1" x14ac:dyDescent="0.25">
      <c r="A118" s="50"/>
      <c r="B118" s="11" t="str">
        <f>CONCATENATE("          ", "5004", " - ", "PURCHASES @ COST-DIGITAL TEXT")</f>
        <v xml:space="preserve">          5004 - PURCHASES @ COST-DIGITAL TEXT</v>
      </c>
      <c r="C118" s="11"/>
      <c r="D118" s="2">
        <v>133958.57</v>
      </c>
      <c r="E118" s="2"/>
      <c r="F118" s="22">
        <f t="shared" si="8"/>
        <v>8.8896116770980943E-2</v>
      </c>
      <c r="G118" s="2"/>
      <c r="H118" s="2">
        <v>145939.9</v>
      </c>
      <c r="I118" s="2"/>
      <c r="J118" s="22">
        <f t="shared" si="9"/>
        <v>8.7666567042040858E-2</v>
      </c>
      <c r="K118" s="2"/>
      <c r="L118" s="2">
        <f t="shared" si="10"/>
        <v>-11981.329999999987</v>
      </c>
      <c r="M118" s="2"/>
      <c r="N118" s="22">
        <f t="shared" si="11"/>
        <v>-8.2097699121350551E-2</v>
      </c>
      <c r="O118" s="11"/>
      <c r="P118" s="2">
        <v>133958.57</v>
      </c>
      <c r="Q118" s="2"/>
      <c r="R118" s="22">
        <f t="shared" si="12"/>
        <v>8.8896116770980943E-2</v>
      </c>
      <c r="S118" s="2"/>
      <c r="T118" s="2">
        <v>145939.9</v>
      </c>
      <c r="U118" s="2"/>
      <c r="V118" s="22">
        <f t="shared" si="13"/>
        <v>8.7666567042040858E-2</v>
      </c>
      <c r="W118" s="2"/>
      <c r="X118" s="2">
        <f t="shared" si="14"/>
        <v>-11981.329999999987</v>
      </c>
      <c r="Y118" s="2"/>
      <c r="Z118" s="22">
        <f t="shared" si="15"/>
        <v>-8.2097699121350551E-2</v>
      </c>
    </row>
    <row r="119" spans="1:26" s="24" customFormat="1" hidden="1" outlineLevel="1" x14ac:dyDescent="0.25">
      <c r="A119" s="50"/>
      <c r="B119" s="11" t="str">
        <f>CONCATENATE("          ", "5011", " - ", "PURCHASES @ COST-NO VALUE TEXT")</f>
        <v xml:space="preserve">          5011 - PURCHASES @ COST-NO VALUE TEXT</v>
      </c>
      <c r="C119" s="11"/>
      <c r="D119" s="2">
        <v>288</v>
      </c>
      <c r="E119" s="2"/>
      <c r="F119" s="22">
        <f t="shared" si="8"/>
        <v>1.9111940079714578E-4</v>
      </c>
      <c r="G119" s="2"/>
      <c r="H119" s="2">
        <v>441</v>
      </c>
      <c r="I119" s="2"/>
      <c r="J119" s="22">
        <f t="shared" si="9"/>
        <v>2.6491011755894048E-4</v>
      </c>
      <c r="K119" s="2"/>
      <c r="L119" s="2">
        <f t="shared" si="10"/>
        <v>-153</v>
      </c>
      <c r="M119" s="2"/>
      <c r="N119" s="22">
        <f t="shared" si="11"/>
        <v>-0.34693877551020408</v>
      </c>
      <c r="O119" s="11"/>
      <c r="P119" s="2">
        <v>288</v>
      </c>
      <c r="Q119" s="2"/>
      <c r="R119" s="22">
        <f t="shared" si="12"/>
        <v>1.9111940079714578E-4</v>
      </c>
      <c r="S119" s="2"/>
      <c r="T119" s="2">
        <v>441</v>
      </c>
      <c r="U119" s="2"/>
      <c r="V119" s="22">
        <f t="shared" si="13"/>
        <v>2.6491011755894048E-4</v>
      </c>
      <c r="W119" s="2"/>
      <c r="X119" s="2">
        <f t="shared" si="14"/>
        <v>-153</v>
      </c>
      <c r="Y119" s="2"/>
      <c r="Z119" s="22">
        <f t="shared" si="15"/>
        <v>-0.34693877551020408</v>
      </c>
    </row>
    <row r="120" spans="1:26" s="24" customFormat="1" hidden="1" outlineLevel="1" x14ac:dyDescent="0.25">
      <c r="A120" s="50"/>
      <c r="B120" s="11" t="str">
        <f>CONCATENATE("          ", "5013", " - ", "PURCHASES @ COST-TRADE BOOKS")</f>
        <v xml:space="preserve">          5013 - PURCHASES @ COST-TRADE BOOKS</v>
      </c>
      <c r="C120" s="11"/>
      <c r="D120" s="2">
        <v>204.9</v>
      </c>
      <c r="E120" s="2"/>
      <c r="F120" s="22">
        <f t="shared" si="8"/>
        <v>1.359734903588027E-4</v>
      </c>
      <c r="G120" s="2"/>
      <c r="H120" s="2">
        <v>119.79</v>
      </c>
      <c r="I120" s="2"/>
      <c r="J120" s="22">
        <f t="shared" si="9"/>
        <v>7.1958238055295885E-5</v>
      </c>
      <c r="K120" s="2"/>
      <c r="L120" s="2">
        <f t="shared" si="10"/>
        <v>85.11</v>
      </c>
      <c r="M120" s="2"/>
      <c r="N120" s="22">
        <f t="shared" si="11"/>
        <v>0.71049336338592528</v>
      </c>
      <c r="O120" s="11"/>
      <c r="P120" s="2">
        <v>204.9</v>
      </c>
      <c r="Q120" s="2"/>
      <c r="R120" s="22">
        <f t="shared" si="12"/>
        <v>1.359734903588027E-4</v>
      </c>
      <c r="S120" s="2"/>
      <c r="T120" s="2">
        <v>119.79</v>
      </c>
      <c r="U120" s="2"/>
      <c r="V120" s="22">
        <f t="shared" si="13"/>
        <v>7.1958238055295885E-5</v>
      </c>
      <c r="W120" s="2"/>
      <c r="X120" s="2">
        <f t="shared" si="14"/>
        <v>85.11</v>
      </c>
      <c r="Y120" s="2"/>
      <c r="Z120" s="22">
        <f t="shared" si="15"/>
        <v>0.71049336338592528</v>
      </c>
    </row>
    <row r="121" spans="1:26" s="24" customFormat="1" hidden="1" outlineLevel="1" x14ac:dyDescent="0.25">
      <c r="A121" s="50"/>
      <c r="B121" s="11" t="str">
        <f>CONCATENATE("          ", "5014", " - ", "PURCHASES @ COST-REMAINDERS")</f>
        <v xml:space="preserve">          5014 - PURCHASES @ COST-REMAINDERS</v>
      </c>
      <c r="C121" s="11"/>
      <c r="D121" s="2">
        <v>100.48</v>
      </c>
      <c r="E121" s="2"/>
      <c r="F121" s="22">
        <f t="shared" si="8"/>
        <v>6.6679435389226425E-5</v>
      </c>
      <c r="G121" s="2"/>
      <c r="H121" s="2">
        <v>227.6</v>
      </c>
      <c r="I121" s="2"/>
      <c r="J121" s="22">
        <f t="shared" si="9"/>
        <v>1.3672005160184775E-4</v>
      </c>
      <c r="K121" s="2"/>
      <c r="L121" s="2">
        <f t="shared" si="10"/>
        <v>-127.11999999999999</v>
      </c>
      <c r="M121" s="2"/>
      <c r="N121" s="22">
        <f t="shared" si="11"/>
        <v>-0.55852372583479781</v>
      </c>
      <c r="O121" s="11"/>
      <c r="P121" s="2">
        <v>100.48</v>
      </c>
      <c r="Q121" s="2"/>
      <c r="R121" s="22">
        <f t="shared" si="12"/>
        <v>6.6679435389226425E-5</v>
      </c>
      <c r="S121" s="2"/>
      <c r="T121" s="2">
        <v>227.6</v>
      </c>
      <c r="U121" s="2"/>
      <c r="V121" s="22">
        <f t="shared" si="13"/>
        <v>1.3672005160184775E-4</v>
      </c>
      <c r="W121" s="2"/>
      <c r="X121" s="2">
        <f t="shared" si="14"/>
        <v>-127.11999999999999</v>
      </c>
      <c r="Y121" s="2"/>
      <c r="Z121" s="22">
        <f t="shared" si="15"/>
        <v>-0.55852372583479781</v>
      </c>
    </row>
    <row r="122" spans="1:26" s="24" customFormat="1" hidden="1" outlineLevel="1" x14ac:dyDescent="0.25">
      <c r="A122" s="50"/>
      <c r="B122" s="11" t="str">
        <f>CONCATENATE("          ", "5018", " - ", "PURCHASES @ COST-STUDY GUIDES")</f>
        <v xml:space="preserve">          5018 - PURCHASES @ COST-STUDY GUIDES</v>
      </c>
      <c r="C122" s="11"/>
      <c r="D122" s="2">
        <v>503.93</v>
      </c>
      <c r="E122" s="2"/>
      <c r="F122" s="22">
        <f t="shared" si="8"/>
        <v>3.3441249876286697E-4</v>
      </c>
      <c r="G122" s="2"/>
      <c r="H122" s="2">
        <v>369.63</v>
      </c>
      <c r="I122" s="2"/>
      <c r="J122" s="22">
        <f t="shared" si="9"/>
        <v>2.2203792914583033E-4</v>
      </c>
      <c r="K122" s="2"/>
      <c r="L122" s="2">
        <f t="shared" si="10"/>
        <v>134.30000000000001</v>
      </c>
      <c r="M122" s="2"/>
      <c r="N122" s="22">
        <f t="shared" si="11"/>
        <v>0.36333630928225524</v>
      </c>
      <c r="O122" s="11"/>
      <c r="P122" s="2">
        <v>503.93</v>
      </c>
      <c r="Q122" s="2"/>
      <c r="R122" s="22">
        <f t="shared" si="12"/>
        <v>3.3441249876286697E-4</v>
      </c>
      <c r="S122" s="2"/>
      <c r="T122" s="2">
        <v>369.63</v>
      </c>
      <c r="U122" s="2"/>
      <c r="V122" s="22">
        <f t="shared" si="13"/>
        <v>2.2203792914583033E-4</v>
      </c>
      <c r="W122" s="2"/>
      <c r="X122" s="2">
        <f t="shared" si="14"/>
        <v>134.30000000000001</v>
      </c>
      <c r="Y122" s="2"/>
      <c r="Z122" s="22">
        <f t="shared" si="15"/>
        <v>0.36333630928225524</v>
      </c>
    </row>
    <row r="123" spans="1:26" s="24" customFormat="1" hidden="1" outlineLevel="1" x14ac:dyDescent="0.25">
      <c r="A123" s="50"/>
      <c r="B123" s="11" t="str">
        <f>CONCATENATE("          ", "5025", " - ", "PURCHASES @ COST-TEST FORMS")</f>
        <v xml:space="preserve">          5025 - PURCHASES @ COST-TEST FORMS</v>
      </c>
      <c r="C123" s="11"/>
      <c r="D123" s="2">
        <v>879.12</v>
      </c>
      <c r="E123" s="2"/>
      <c r="F123" s="22">
        <f t="shared" si="8"/>
        <v>5.8339197093328749E-4</v>
      </c>
      <c r="G123" s="2"/>
      <c r="H123" s="2">
        <v>1050</v>
      </c>
      <c r="I123" s="2"/>
      <c r="J123" s="22">
        <f t="shared" si="9"/>
        <v>6.3073837514033453E-4</v>
      </c>
      <c r="K123" s="2"/>
      <c r="L123" s="2">
        <f t="shared" si="10"/>
        <v>-170.88</v>
      </c>
      <c r="M123" s="2"/>
      <c r="N123" s="22">
        <f t="shared" si="11"/>
        <v>-0.16274285714285713</v>
      </c>
      <c r="O123" s="11"/>
      <c r="P123" s="2">
        <v>879.12</v>
      </c>
      <c r="Q123" s="2"/>
      <c r="R123" s="22">
        <f t="shared" si="12"/>
        <v>5.8339197093328749E-4</v>
      </c>
      <c r="S123" s="2"/>
      <c r="T123" s="2">
        <v>1050</v>
      </c>
      <c r="U123" s="2"/>
      <c r="V123" s="22">
        <f t="shared" si="13"/>
        <v>6.3073837514033453E-4</v>
      </c>
      <c r="W123" s="2"/>
      <c r="X123" s="2">
        <f t="shared" si="14"/>
        <v>-170.88</v>
      </c>
      <c r="Y123" s="2"/>
      <c r="Z123" s="22">
        <f t="shared" si="15"/>
        <v>-0.16274285714285713</v>
      </c>
    </row>
    <row r="124" spans="1:26" s="24" customFormat="1" hidden="1" outlineLevel="1" x14ac:dyDescent="0.25">
      <c r="A124" s="50"/>
      <c r="B124" s="11" t="str">
        <f>CONCATENATE("          ", "5026", " - ", "PURCHASES @ COST-WRITING INSTR")</f>
        <v xml:space="preserve">          5026 - PURCHASES @ COST-WRITING INSTR</v>
      </c>
      <c r="C124" s="11"/>
      <c r="D124" s="2">
        <v>10331.040000000001</v>
      </c>
      <c r="E124" s="2"/>
      <c r="F124" s="22">
        <f t="shared" si="8"/>
        <v>6.8557714389282818E-3</v>
      </c>
      <c r="G124" s="2"/>
      <c r="H124" s="2">
        <v>21190.09</v>
      </c>
      <c r="I124" s="2"/>
      <c r="J124" s="22">
        <f t="shared" si="9"/>
        <v>1.2728955176835668E-2</v>
      </c>
      <c r="K124" s="2"/>
      <c r="L124" s="2">
        <f t="shared" si="10"/>
        <v>-10859.05</v>
      </c>
      <c r="M124" s="2"/>
      <c r="N124" s="22">
        <f t="shared" si="11"/>
        <v>-0.51245888998111855</v>
      </c>
      <c r="O124" s="11"/>
      <c r="P124" s="2">
        <v>10331.040000000001</v>
      </c>
      <c r="Q124" s="2"/>
      <c r="R124" s="22">
        <f t="shared" si="12"/>
        <v>6.8557714389282818E-3</v>
      </c>
      <c r="S124" s="2"/>
      <c r="T124" s="2">
        <v>21190.09</v>
      </c>
      <c r="U124" s="2"/>
      <c r="V124" s="22">
        <f t="shared" si="13"/>
        <v>1.2728955176835668E-2</v>
      </c>
      <c r="W124" s="2"/>
      <c r="X124" s="2">
        <f t="shared" si="14"/>
        <v>-10859.05</v>
      </c>
      <c r="Y124" s="2"/>
      <c r="Z124" s="22">
        <f t="shared" si="15"/>
        <v>-0.51245888998111855</v>
      </c>
    </row>
    <row r="125" spans="1:26" s="24" customFormat="1" hidden="1" outlineLevel="1" x14ac:dyDescent="0.25">
      <c r="A125" s="50"/>
      <c r="B125" s="11" t="str">
        <f>CONCATENATE("          ", "5027", " - ", "PURCHASES @ COST-SCHOOL SUPPLI")</f>
        <v xml:space="preserve">          5027 - PURCHASES @ COST-SCHOOL SUPPLI</v>
      </c>
      <c r="C125" s="11"/>
      <c r="D125" s="2">
        <v>50115.47</v>
      </c>
      <c r="E125" s="2"/>
      <c r="F125" s="22">
        <f t="shared" si="8"/>
        <v>3.3257078462039361E-2</v>
      </c>
      <c r="G125" s="2"/>
      <c r="H125" s="2">
        <v>55093.8</v>
      </c>
      <c r="I125" s="2"/>
      <c r="J125" s="22">
        <f t="shared" si="9"/>
        <v>3.309502275457768E-2</v>
      </c>
      <c r="K125" s="2"/>
      <c r="L125" s="2">
        <f t="shared" si="10"/>
        <v>-4978.3300000000017</v>
      </c>
      <c r="M125" s="2"/>
      <c r="N125" s="22">
        <f t="shared" si="11"/>
        <v>-9.0360984357586549E-2</v>
      </c>
      <c r="O125" s="11"/>
      <c r="P125" s="2">
        <v>50115.47</v>
      </c>
      <c r="Q125" s="2"/>
      <c r="R125" s="22">
        <f t="shared" si="12"/>
        <v>3.3257078462039361E-2</v>
      </c>
      <c r="S125" s="2"/>
      <c r="T125" s="2">
        <v>55093.8</v>
      </c>
      <c r="U125" s="2"/>
      <c r="V125" s="22">
        <f t="shared" si="13"/>
        <v>3.309502275457768E-2</v>
      </c>
      <c r="W125" s="2"/>
      <c r="X125" s="2">
        <f t="shared" si="14"/>
        <v>-4978.3300000000017</v>
      </c>
      <c r="Y125" s="2"/>
      <c r="Z125" s="22">
        <f t="shared" si="15"/>
        <v>-9.0360984357586549E-2</v>
      </c>
    </row>
    <row r="126" spans="1:26" s="24" customFormat="1" hidden="1" outlineLevel="1" x14ac:dyDescent="0.25">
      <c r="A126" s="50"/>
      <c r="B126" s="11" t="str">
        <f>CONCATENATE("          ", "5028", " - ", "PURCHASES @ COST-ART/TECH")</f>
        <v xml:space="preserve">          5028 - PURCHASES @ COST-ART/TECH</v>
      </c>
      <c r="C126" s="11"/>
      <c r="D126" s="2">
        <v>28027.649999999998</v>
      </c>
      <c r="E126" s="2"/>
      <c r="F126" s="22">
        <f t="shared" si="8"/>
        <v>1.859940164497265E-2</v>
      </c>
      <c r="G126" s="2"/>
      <c r="H126" s="2">
        <v>26024.080000000002</v>
      </c>
      <c r="I126" s="2"/>
      <c r="J126" s="22">
        <f t="shared" si="9"/>
        <v>1.5632748508306739E-2</v>
      </c>
      <c r="K126" s="2"/>
      <c r="L126" s="2">
        <f t="shared" si="10"/>
        <v>2003.5699999999961</v>
      </c>
      <c r="M126" s="2"/>
      <c r="N126" s="22">
        <f t="shared" si="11"/>
        <v>7.6989080882013727E-2</v>
      </c>
      <c r="O126" s="11"/>
      <c r="P126" s="2">
        <v>28027.649999999998</v>
      </c>
      <c r="Q126" s="2"/>
      <c r="R126" s="22">
        <f t="shared" si="12"/>
        <v>1.859940164497265E-2</v>
      </c>
      <c r="S126" s="2"/>
      <c r="T126" s="2">
        <v>26024.080000000002</v>
      </c>
      <c r="U126" s="2"/>
      <c r="V126" s="22">
        <f t="shared" si="13"/>
        <v>1.5632748508306739E-2</v>
      </c>
      <c r="W126" s="2"/>
      <c r="X126" s="2">
        <f t="shared" si="14"/>
        <v>2003.5699999999961</v>
      </c>
      <c r="Y126" s="2"/>
      <c r="Z126" s="22">
        <f t="shared" si="15"/>
        <v>7.6989080882013727E-2</v>
      </c>
    </row>
    <row r="127" spans="1:26" s="24" customFormat="1" hidden="1" outlineLevel="1" x14ac:dyDescent="0.25">
      <c r="A127" s="50"/>
      <c r="B127" s="11" t="str">
        <f>CONCATENATE("          ", "5031", " - ", "PURCHASES @ COST-FOOD")</f>
        <v xml:space="preserve">          5031 - PURCHASES @ COST-FOOD</v>
      </c>
      <c r="C127" s="11"/>
      <c r="D127" s="2"/>
      <c r="E127" s="2"/>
      <c r="F127" s="22">
        <f t="shared" si="8"/>
        <v>0</v>
      </c>
      <c r="G127" s="2"/>
      <c r="H127" s="2">
        <v>89.16</v>
      </c>
      <c r="I127" s="2"/>
      <c r="J127" s="22">
        <f t="shared" si="9"/>
        <v>5.355869859763069E-5</v>
      </c>
      <c r="K127" s="2"/>
      <c r="L127" s="2">
        <f t="shared" si="10"/>
        <v>-89.16</v>
      </c>
      <c r="M127" s="2"/>
      <c r="N127" s="22">
        <f t="shared" si="11"/>
        <v>-1</v>
      </c>
      <c r="O127" s="11"/>
      <c r="P127" s="2"/>
      <c r="Q127" s="2"/>
      <c r="R127" s="22">
        <f t="shared" si="12"/>
        <v>0</v>
      </c>
      <c r="S127" s="2"/>
      <c r="T127" s="2">
        <v>89.16</v>
      </c>
      <c r="U127" s="2"/>
      <c r="V127" s="22">
        <f t="shared" si="13"/>
        <v>5.355869859763069E-5</v>
      </c>
      <c r="W127" s="2"/>
      <c r="X127" s="2">
        <f t="shared" si="14"/>
        <v>-89.16</v>
      </c>
      <c r="Y127" s="2"/>
      <c r="Z127" s="22">
        <f t="shared" si="15"/>
        <v>-1</v>
      </c>
    </row>
    <row r="128" spans="1:26" s="24" customFormat="1" hidden="1" outlineLevel="1" x14ac:dyDescent="0.25">
      <c r="A128" s="50"/>
      <c r="B128" s="11" t="str">
        <f>CONCATENATE("          ", "5032", " - ", "PURCHASES @ COST-JUICE")</f>
        <v xml:space="preserve">          5032 - PURCHASES @ COST-JUICE</v>
      </c>
      <c r="C128" s="11"/>
      <c r="D128" s="2">
        <v>114.42</v>
      </c>
      <c r="E128" s="2"/>
      <c r="F128" s="22">
        <f t="shared" si="8"/>
        <v>7.5930145275032712E-5</v>
      </c>
      <c r="G128" s="2"/>
      <c r="H128" s="2"/>
      <c r="I128" s="2"/>
      <c r="J128" s="22">
        <f t="shared" si="9"/>
        <v>0</v>
      </c>
      <c r="K128" s="2"/>
      <c r="L128" s="2">
        <f t="shared" si="10"/>
        <v>114.42</v>
      </c>
      <c r="M128" s="2"/>
      <c r="N128" s="22">
        <f t="shared" si="11"/>
        <v>0</v>
      </c>
      <c r="O128" s="11"/>
      <c r="P128" s="2">
        <v>114.42</v>
      </c>
      <c r="Q128" s="2"/>
      <c r="R128" s="22">
        <f t="shared" si="12"/>
        <v>7.5930145275032712E-5</v>
      </c>
      <c r="S128" s="2"/>
      <c r="T128" s="2"/>
      <c r="U128" s="2"/>
      <c r="V128" s="22">
        <f t="shared" si="13"/>
        <v>0</v>
      </c>
      <c r="W128" s="2"/>
      <c r="X128" s="2">
        <f t="shared" si="14"/>
        <v>114.42</v>
      </c>
      <c r="Y128" s="2"/>
      <c r="Z128" s="22">
        <f t="shared" si="15"/>
        <v>0</v>
      </c>
    </row>
    <row r="129" spans="1:26" s="24" customFormat="1" hidden="1" outlineLevel="1" x14ac:dyDescent="0.25">
      <c r="A129" s="50"/>
      <c r="B129" s="11" t="str">
        <f>CONCATENATE("          ", "5033", " - ", "PURCHASES @ COST-CANDY")</f>
        <v xml:space="preserve">          5033 - PURCHASES @ COST-CANDY</v>
      </c>
      <c r="C129" s="11"/>
      <c r="D129" s="2"/>
      <c r="E129" s="2"/>
      <c r="F129" s="22">
        <f t="shared" si="8"/>
        <v>0</v>
      </c>
      <c r="G129" s="2"/>
      <c r="H129" s="2">
        <v>162.99</v>
      </c>
      <c r="I129" s="2"/>
      <c r="J129" s="22">
        <f t="shared" si="9"/>
        <v>9.7908616918212504E-5</v>
      </c>
      <c r="K129" s="2"/>
      <c r="L129" s="2">
        <f t="shared" si="10"/>
        <v>-162.99</v>
      </c>
      <c r="M129" s="2"/>
      <c r="N129" s="22">
        <f t="shared" si="11"/>
        <v>-1</v>
      </c>
      <c r="O129" s="11"/>
      <c r="P129" s="2"/>
      <c r="Q129" s="2"/>
      <c r="R129" s="22">
        <f t="shared" si="12"/>
        <v>0</v>
      </c>
      <c r="S129" s="2"/>
      <c r="T129" s="2">
        <v>162.99</v>
      </c>
      <c r="U129" s="2"/>
      <c r="V129" s="22">
        <f t="shared" si="13"/>
        <v>9.7908616918212504E-5</v>
      </c>
      <c r="W129" s="2"/>
      <c r="X129" s="2">
        <f t="shared" si="14"/>
        <v>-162.99</v>
      </c>
      <c r="Y129" s="2"/>
      <c r="Z129" s="22">
        <f t="shared" si="15"/>
        <v>-1</v>
      </c>
    </row>
    <row r="130" spans="1:26" s="24" customFormat="1" hidden="1" outlineLevel="1" x14ac:dyDescent="0.25">
      <c r="A130" s="50"/>
      <c r="B130" s="11" t="str">
        <f>CONCATENATE("          ", "5034", " - ", "PURCHASES @ COST-SODA")</f>
        <v xml:space="preserve">          5034 - PURCHASES @ COST-SODA</v>
      </c>
      <c r="C130" s="11"/>
      <c r="D130" s="2">
        <v>-61.54</v>
      </c>
      <c r="E130" s="2"/>
      <c r="F130" s="22">
        <f t="shared" si="8"/>
        <v>-4.0838499739779002E-5</v>
      </c>
      <c r="G130" s="2"/>
      <c r="H130" s="2">
        <v>0</v>
      </c>
      <c r="I130" s="2"/>
      <c r="J130" s="22">
        <f t="shared" si="9"/>
        <v>0</v>
      </c>
      <c r="K130" s="2"/>
      <c r="L130" s="2">
        <f t="shared" si="10"/>
        <v>-61.54</v>
      </c>
      <c r="M130" s="2"/>
      <c r="N130" s="22">
        <f t="shared" si="11"/>
        <v>0</v>
      </c>
      <c r="O130" s="11"/>
      <c r="P130" s="2">
        <v>-61.54</v>
      </c>
      <c r="Q130" s="2"/>
      <c r="R130" s="22">
        <f t="shared" si="12"/>
        <v>-4.0838499739779002E-5</v>
      </c>
      <c r="S130" s="2"/>
      <c r="T130" s="2">
        <v>0</v>
      </c>
      <c r="U130" s="2"/>
      <c r="V130" s="22">
        <f t="shared" si="13"/>
        <v>0</v>
      </c>
      <c r="W130" s="2"/>
      <c r="X130" s="2">
        <f t="shared" si="14"/>
        <v>-61.54</v>
      </c>
      <c r="Y130" s="2"/>
      <c r="Z130" s="22">
        <f t="shared" si="15"/>
        <v>0</v>
      </c>
    </row>
    <row r="131" spans="1:26" s="24" customFormat="1" hidden="1" outlineLevel="1" x14ac:dyDescent="0.25">
      <c r="A131" s="50"/>
      <c r="B131" s="11" t="str">
        <f>CONCATENATE("          ", "5037", " - ", "PURCHASES @ COST-WATER")</f>
        <v xml:space="preserve">          5037 - PURCHASES @ COST-WATER</v>
      </c>
      <c r="C131" s="11"/>
      <c r="D131" s="2">
        <v>33.58</v>
      </c>
      <c r="E131" s="2"/>
      <c r="F131" s="22">
        <f t="shared" si="8"/>
        <v>2.2283991245722761E-5</v>
      </c>
      <c r="G131" s="2"/>
      <c r="H131" s="2"/>
      <c r="I131" s="2"/>
      <c r="J131" s="22">
        <f t="shared" si="9"/>
        <v>0</v>
      </c>
      <c r="K131" s="2"/>
      <c r="L131" s="2">
        <f t="shared" si="10"/>
        <v>33.58</v>
      </c>
      <c r="M131" s="2"/>
      <c r="N131" s="22">
        <f t="shared" si="11"/>
        <v>0</v>
      </c>
      <c r="O131" s="11"/>
      <c r="P131" s="2">
        <v>33.58</v>
      </c>
      <c r="Q131" s="2"/>
      <c r="R131" s="22">
        <f t="shared" si="12"/>
        <v>2.2283991245722761E-5</v>
      </c>
      <c r="S131" s="2"/>
      <c r="T131" s="2"/>
      <c r="U131" s="2"/>
      <c r="V131" s="22">
        <f t="shared" si="13"/>
        <v>0</v>
      </c>
      <c r="W131" s="2"/>
      <c r="X131" s="2">
        <f t="shared" si="14"/>
        <v>33.58</v>
      </c>
      <c r="Y131" s="2"/>
      <c r="Z131" s="22">
        <f t="shared" si="15"/>
        <v>0</v>
      </c>
    </row>
    <row r="132" spans="1:26" s="24" customFormat="1" hidden="1" outlineLevel="1" x14ac:dyDescent="0.25">
      <c r="A132" s="50"/>
      <c r="B132" s="11" t="str">
        <f>CONCATENATE("          ", "5040", " - ", "PURCHASES @ COST-LOGO CLOTHING")</f>
        <v xml:space="preserve">          5040 - PURCHASES @ COST-LOGO CLOTHING</v>
      </c>
      <c r="C132" s="11"/>
      <c r="D132" s="2">
        <v>78921.570000000007</v>
      </c>
      <c r="E132" s="2"/>
      <c r="F132" s="22">
        <f t="shared" si="8"/>
        <v>5.2373066556840271E-2</v>
      </c>
      <c r="G132" s="2"/>
      <c r="H132" s="2">
        <v>79500.37000000001</v>
      </c>
      <c r="I132" s="2"/>
      <c r="J132" s="22">
        <f t="shared" si="9"/>
        <v>4.775612780652895E-2</v>
      </c>
      <c r="K132" s="2"/>
      <c r="L132" s="2">
        <f t="shared" si="10"/>
        <v>-578.80000000000291</v>
      </c>
      <c r="M132" s="2"/>
      <c r="N132" s="22">
        <f t="shared" si="11"/>
        <v>-7.2804692607091369E-3</v>
      </c>
      <c r="O132" s="11"/>
      <c r="P132" s="2">
        <v>78921.570000000007</v>
      </c>
      <c r="Q132" s="2"/>
      <c r="R132" s="22">
        <f t="shared" si="12"/>
        <v>5.2373066556840271E-2</v>
      </c>
      <c r="S132" s="2"/>
      <c r="T132" s="2">
        <v>79500.37000000001</v>
      </c>
      <c r="U132" s="2"/>
      <c r="V132" s="22">
        <f t="shared" si="13"/>
        <v>4.775612780652895E-2</v>
      </c>
      <c r="W132" s="2"/>
      <c r="X132" s="2">
        <f t="shared" si="14"/>
        <v>-578.80000000000291</v>
      </c>
      <c r="Y132" s="2"/>
      <c r="Z132" s="22">
        <f t="shared" si="15"/>
        <v>-7.2804692607091369E-3</v>
      </c>
    </row>
    <row r="133" spans="1:26" s="24" customFormat="1" hidden="1" outlineLevel="1" x14ac:dyDescent="0.25">
      <c r="A133" s="50"/>
      <c r="B133" s="11" t="str">
        <f>CONCATENATE("          ", "5041", " - ", "PURCHASES @ COST-LOGO GIFTS")</f>
        <v xml:space="preserve">          5041 - PURCHASES @ COST-LOGO GIFTS</v>
      </c>
      <c r="C133" s="11"/>
      <c r="D133" s="2">
        <v>11950.27</v>
      </c>
      <c r="E133" s="2"/>
      <c r="F133" s="22">
        <f t="shared" si="8"/>
        <v>7.9303070894587071E-3</v>
      </c>
      <c r="G133" s="2"/>
      <c r="H133" s="2">
        <v>22095.94</v>
      </c>
      <c r="I133" s="2"/>
      <c r="J133" s="22">
        <f t="shared" si="9"/>
        <v>1.327310218361745E-2</v>
      </c>
      <c r="K133" s="2"/>
      <c r="L133" s="2">
        <f t="shared" si="10"/>
        <v>-10145.669999999998</v>
      </c>
      <c r="M133" s="2"/>
      <c r="N133" s="22">
        <f t="shared" si="11"/>
        <v>-0.45916444378469523</v>
      </c>
      <c r="O133" s="11"/>
      <c r="P133" s="2">
        <v>11950.27</v>
      </c>
      <c r="Q133" s="2"/>
      <c r="R133" s="22">
        <f t="shared" si="12"/>
        <v>7.9303070894587071E-3</v>
      </c>
      <c r="S133" s="2"/>
      <c r="T133" s="2">
        <v>22095.94</v>
      </c>
      <c r="U133" s="2"/>
      <c r="V133" s="22">
        <f t="shared" si="13"/>
        <v>1.327310218361745E-2</v>
      </c>
      <c r="W133" s="2"/>
      <c r="X133" s="2">
        <f t="shared" si="14"/>
        <v>-10145.669999999998</v>
      </c>
      <c r="Y133" s="2"/>
      <c r="Z133" s="22">
        <f t="shared" si="15"/>
        <v>-0.45916444378469523</v>
      </c>
    </row>
    <row r="134" spans="1:26" s="24" customFormat="1" hidden="1" outlineLevel="1" x14ac:dyDescent="0.25">
      <c r="A134" s="50"/>
      <c r="B134" s="11" t="str">
        <f>CONCATENATE("          ", "5042", " - ", "PURCHASES @ COST-EVERYDAY GIFT")</f>
        <v xml:space="preserve">          5042 - PURCHASES @ COST-EVERYDAY GIFT</v>
      </c>
      <c r="C134" s="11"/>
      <c r="D134" s="2">
        <v>7752.36</v>
      </c>
      <c r="E134" s="2"/>
      <c r="F134" s="22">
        <f t="shared" si="8"/>
        <v>5.1445361040408375E-3</v>
      </c>
      <c r="G134" s="2"/>
      <c r="H134" s="2">
        <v>4700.42</v>
      </c>
      <c r="I134" s="2"/>
      <c r="J134" s="22">
        <f t="shared" si="9"/>
        <v>2.8235574031210773E-3</v>
      </c>
      <c r="K134" s="2"/>
      <c r="L134" s="2">
        <f t="shared" si="10"/>
        <v>3051.9399999999996</v>
      </c>
      <c r="M134" s="2"/>
      <c r="N134" s="22">
        <f t="shared" si="11"/>
        <v>0.64929091442892328</v>
      </c>
      <c r="O134" s="11"/>
      <c r="P134" s="2">
        <v>7752.36</v>
      </c>
      <c r="Q134" s="2"/>
      <c r="R134" s="22">
        <f t="shared" si="12"/>
        <v>5.1445361040408375E-3</v>
      </c>
      <c r="S134" s="2"/>
      <c r="T134" s="2">
        <v>4700.42</v>
      </c>
      <c r="U134" s="2"/>
      <c r="V134" s="22">
        <f t="shared" si="13"/>
        <v>2.8235574031210773E-3</v>
      </c>
      <c r="W134" s="2"/>
      <c r="X134" s="2">
        <f t="shared" si="14"/>
        <v>3051.9399999999996</v>
      </c>
      <c r="Y134" s="2"/>
      <c r="Z134" s="22">
        <f t="shared" si="15"/>
        <v>0.64929091442892328</v>
      </c>
    </row>
    <row r="135" spans="1:26" s="24" customFormat="1" hidden="1" outlineLevel="1" x14ac:dyDescent="0.25">
      <c r="A135" s="50"/>
      <c r="B135" s="11" t="str">
        <f>CONCATENATE("          ", "5043", " - ", "PURCHASES @ COST-CARDS")</f>
        <v xml:space="preserve">          5043 - PURCHASES @ COST-CARDS</v>
      </c>
      <c r="C135" s="11"/>
      <c r="D135" s="2">
        <v>498.26</v>
      </c>
      <c r="E135" s="2"/>
      <c r="F135" s="22">
        <f t="shared" si="8"/>
        <v>3.3064983555967313E-4</v>
      </c>
      <c r="G135" s="2"/>
      <c r="H135" s="2">
        <v>470.73</v>
      </c>
      <c r="I135" s="2"/>
      <c r="J135" s="22">
        <f t="shared" si="9"/>
        <v>2.8276902412362827E-4</v>
      </c>
      <c r="K135" s="2"/>
      <c r="L135" s="2">
        <f t="shared" si="10"/>
        <v>27.529999999999973</v>
      </c>
      <c r="M135" s="2"/>
      <c r="N135" s="22">
        <f t="shared" si="11"/>
        <v>5.848363180591841E-2</v>
      </c>
      <c r="O135" s="11"/>
      <c r="P135" s="2">
        <v>498.26</v>
      </c>
      <c r="Q135" s="2"/>
      <c r="R135" s="22">
        <f t="shared" si="12"/>
        <v>3.3064983555967313E-4</v>
      </c>
      <c r="S135" s="2"/>
      <c r="T135" s="2">
        <v>470.73</v>
      </c>
      <c r="U135" s="2"/>
      <c r="V135" s="22">
        <f t="shared" si="13"/>
        <v>2.8276902412362827E-4</v>
      </c>
      <c r="W135" s="2"/>
      <c r="X135" s="2">
        <f t="shared" si="14"/>
        <v>27.529999999999973</v>
      </c>
      <c r="Y135" s="2"/>
      <c r="Z135" s="22">
        <f t="shared" si="15"/>
        <v>5.848363180591841E-2</v>
      </c>
    </row>
    <row r="136" spans="1:26" s="24" customFormat="1" hidden="1" outlineLevel="1" x14ac:dyDescent="0.25">
      <c r="A136" s="50"/>
      <c r="B136" s="11" t="str">
        <f>CONCATENATE("          ", "5044", " - ", "PURCHASES @ COST-ACCESSORIES")</f>
        <v xml:space="preserve">          5044 - PURCHASES @ COST-ACCESSORIES</v>
      </c>
      <c r="C136" s="11"/>
      <c r="D136" s="2">
        <v>4839</v>
      </c>
      <c r="E136" s="2"/>
      <c r="F136" s="22">
        <f t="shared" si="8"/>
        <v>3.2112040988103766E-3</v>
      </c>
      <c r="G136" s="2"/>
      <c r="H136" s="2">
        <v>6063</v>
      </c>
      <c r="I136" s="2"/>
      <c r="J136" s="22">
        <f t="shared" si="9"/>
        <v>3.6420635890246173E-3</v>
      </c>
      <c r="K136" s="2"/>
      <c r="L136" s="2">
        <f t="shared" si="10"/>
        <v>-1224</v>
      </c>
      <c r="M136" s="2"/>
      <c r="N136" s="22">
        <f t="shared" si="11"/>
        <v>-0.20188025729836714</v>
      </c>
      <c r="O136" s="11"/>
      <c r="P136" s="2">
        <v>4839</v>
      </c>
      <c r="Q136" s="2"/>
      <c r="R136" s="22">
        <f t="shared" si="12"/>
        <v>3.2112040988103766E-3</v>
      </c>
      <c r="S136" s="2"/>
      <c r="T136" s="2">
        <v>6063</v>
      </c>
      <c r="U136" s="2"/>
      <c r="V136" s="22">
        <f t="shared" si="13"/>
        <v>3.6420635890246173E-3</v>
      </c>
      <c r="W136" s="2"/>
      <c r="X136" s="2">
        <f t="shared" si="14"/>
        <v>-1224</v>
      </c>
      <c r="Y136" s="2"/>
      <c r="Z136" s="22">
        <f t="shared" si="15"/>
        <v>-0.20188025729836714</v>
      </c>
    </row>
    <row r="137" spans="1:26" s="24" customFormat="1" hidden="1" outlineLevel="1" x14ac:dyDescent="0.25">
      <c r="A137" s="50"/>
      <c r="B137" s="11" t="str">
        <f>CONCATENATE("          ", "5045", " - ", "PURCHASES @ COST-SPECIAL ORDER")</f>
        <v xml:space="preserve">          5045 - PURCHASES @ COST-SPECIAL ORDER</v>
      </c>
      <c r="C137" s="11"/>
      <c r="D137" s="2">
        <v>15992.849999999999</v>
      </c>
      <c r="E137" s="2"/>
      <c r="F137" s="22">
        <f t="shared" si="8"/>
        <v>1.061299968416192E-2</v>
      </c>
      <c r="G137" s="2"/>
      <c r="H137" s="2">
        <v>18624.310000000001</v>
      </c>
      <c r="I137" s="2"/>
      <c r="J137" s="22">
        <f t="shared" si="9"/>
        <v>1.1187682883342747E-2</v>
      </c>
      <c r="K137" s="2"/>
      <c r="L137" s="2">
        <f t="shared" si="10"/>
        <v>-2631.4600000000028</v>
      </c>
      <c r="M137" s="2"/>
      <c r="N137" s="22">
        <f t="shared" si="11"/>
        <v>-0.14129167738294748</v>
      </c>
      <c r="O137" s="11"/>
      <c r="P137" s="2">
        <v>15992.849999999999</v>
      </c>
      <c r="Q137" s="2"/>
      <c r="R137" s="22">
        <f t="shared" si="12"/>
        <v>1.061299968416192E-2</v>
      </c>
      <c r="S137" s="2"/>
      <c r="T137" s="2">
        <v>18624.310000000001</v>
      </c>
      <c r="U137" s="2"/>
      <c r="V137" s="22">
        <f t="shared" si="13"/>
        <v>1.1187682883342747E-2</v>
      </c>
      <c r="W137" s="2"/>
      <c r="X137" s="2">
        <f t="shared" si="14"/>
        <v>-2631.4600000000028</v>
      </c>
      <c r="Y137" s="2"/>
      <c r="Z137" s="22">
        <f t="shared" si="15"/>
        <v>-0.14129167738294748</v>
      </c>
    </row>
    <row r="138" spans="1:26" s="24" customFormat="1" hidden="1" outlineLevel="1" x14ac:dyDescent="0.25">
      <c r="A138" s="50"/>
      <c r="B138" s="11" t="str">
        <f>CONCATENATE("          ", "5053", " - ", "PURCHASES @ COST-FOOD")</f>
        <v xml:space="preserve">          5053 - PURCHASES @ COST-FOOD</v>
      </c>
      <c r="C138" s="11"/>
      <c r="D138" s="2">
        <v>273630.76999999996</v>
      </c>
      <c r="E138" s="2"/>
      <c r="F138" s="22">
        <f t="shared" si="8"/>
        <v>0.18158385000715838</v>
      </c>
      <c r="G138" s="2"/>
      <c r="H138" s="2">
        <v>253975.04000000001</v>
      </c>
      <c r="I138" s="2"/>
      <c r="J138" s="22">
        <f t="shared" si="9"/>
        <v>0.15256362291028711</v>
      </c>
      <c r="K138" s="2"/>
      <c r="L138" s="2">
        <f t="shared" si="10"/>
        <v>19655.729999999952</v>
      </c>
      <c r="M138" s="2"/>
      <c r="N138" s="22">
        <f t="shared" si="11"/>
        <v>7.7392368950901444E-2</v>
      </c>
      <c r="O138" s="11"/>
      <c r="P138" s="2">
        <v>273630.76999999996</v>
      </c>
      <c r="Q138" s="2"/>
      <c r="R138" s="22">
        <f t="shared" si="12"/>
        <v>0.18158385000715838</v>
      </c>
      <c r="S138" s="2"/>
      <c r="T138" s="2">
        <v>253975.04000000001</v>
      </c>
      <c r="U138" s="2"/>
      <c r="V138" s="22">
        <f t="shared" si="13"/>
        <v>0.15256362291028711</v>
      </c>
      <c r="W138" s="2"/>
      <c r="X138" s="2">
        <f t="shared" si="14"/>
        <v>19655.729999999952</v>
      </c>
      <c r="Y138" s="2"/>
      <c r="Z138" s="22">
        <f t="shared" si="15"/>
        <v>7.7392368950901444E-2</v>
      </c>
    </row>
    <row r="139" spans="1:26" s="24" customFormat="1" hidden="1" outlineLevel="1" x14ac:dyDescent="0.25">
      <c r="A139" s="50"/>
      <c r="B139" s="11" t="str">
        <f>CONCATENATE("          ", "5059", " - ", "PURCHASES @ COST-FOOD")</f>
        <v xml:space="preserve">          5059 - PURCHASES @ COST-FOOD</v>
      </c>
      <c r="C139" s="11"/>
      <c r="D139" s="2">
        <v>-20335.75</v>
      </c>
      <c r="E139" s="2"/>
      <c r="F139" s="22">
        <f t="shared" si="8"/>
        <v>-1.3494987342918603E-2</v>
      </c>
      <c r="G139" s="2"/>
      <c r="H139" s="2">
        <v>-27901.08</v>
      </c>
      <c r="I139" s="2"/>
      <c r="J139" s="22">
        <f t="shared" si="9"/>
        <v>-1.6760268441771892E-2</v>
      </c>
      <c r="K139" s="2"/>
      <c r="L139" s="2">
        <f t="shared" si="10"/>
        <v>7565.3300000000017</v>
      </c>
      <c r="M139" s="2"/>
      <c r="N139" s="22">
        <f t="shared" si="11"/>
        <v>-0.27114828529935048</v>
      </c>
      <c r="O139" s="11"/>
      <c r="P139" s="2">
        <v>-20335.75</v>
      </c>
      <c r="Q139" s="2"/>
      <c r="R139" s="22">
        <f t="shared" si="12"/>
        <v>-1.3494987342918603E-2</v>
      </c>
      <c r="S139" s="2"/>
      <c r="T139" s="2">
        <v>-27901.08</v>
      </c>
      <c r="U139" s="2"/>
      <c r="V139" s="22">
        <f t="shared" si="13"/>
        <v>-1.6760268441771892E-2</v>
      </c>
      <c r="W139" s="2"/>
      <c r="X139" s="2">
        <f t="shared" si="14"/>
        <v>7565.3300000000017</v>
      </c>
      <c r="Y139" s="2"/>
      <c r="Z139" s="22">
        <f t="shared" si="15"/>
        <v>-0.27114828529935048</v>
      </c>
    </row>
    <row r="140" spans="1:26" s="24" customFormat="1" hidden="1" outlineLevel="1" x14ac:dyDescent="0.25">
      <c r="A140" s="50"/>
      <c r="B140" s="11" t="str">
        <f>CONCATENATE("          ", "5081", " - ", "PURCHASES @ COST-ELECTRONICS")</f>
        <v xml:space="preserve">          5081 - PURCHASES @ COST-ELECTRONICS</v>
      </c>
      <c r="C140" s="11"/>
      <c r="D140" s="2">
        <v>66058.349999999991</v>
      </c>
      <c r="E140" s="2"/>
      <c r="F140" s="22">
        <f t="shared" si="8"/>
        <v>4.3836917602944912E-2</v>
      </c>
      <c r="G140" s="2"/>
      <c r="H140" s="2">
        <v>57011.689999999995</v>
      </c>
      <c r="I140" s="2"/>
      <c r="J140" s="22">
        <f t="shared" si="9"/>
        <v>3.4247105442480434E-2</v>
      </c>
      <c r="K140" s="2"/>
      <c r="L140" s="2">
        <f t="shared" si="10"/>
        <v>9046.6599999999962</v>
      </c>
      <c r="M140" s="2"/>
      <c r="N140" s="22">
        <f t="shared" si="11"/>
        <v>0.15868078985204609</v>
      </c>
      <c r="O140" s="11"/>
      <c r="P140" s="2">
        <v>66058.349999999991</v>
      </c>
      <c r="Q140" s="2"/>
      <c r="R140" s="22">
        <f t="shared" si="12"/>
        <v>4.3836917602944912E-2</v>
      </c>
      <c r="S140" s="2"/>
      <c r="T140" s="2">
        <v>57011.689999999995</v>
      </c>
      <c r="U140" s="2"/>
      <c r="V140" s="22">
        <f t="shared" si="13"/>
        <v>3.4247105442480434E-2</v>
      </c>
      <c r="W140" s="2"/>
      <c r="X140" s="2">
        <f t="shared" si="14"/>
        <v>9046.6599999999962</v>
      </c>
      <c r="Y140" s="2"/>
      <c r="Z140" s="22">
        <f t="shared" si="15"/>
        <v>0.15868078985204609</v>
      </c>
    </row>
    <row r="141" spans="1:26" s="24" customFormat="1" hidden="1" outlineLevel="1" x14ac:dyDescent="0.25">
      <c r="A141" s="50"/>
      <c r="B141" s="11" t="str">
        <f>CONCATENATE("          ", "5082", " - ", "PURCHASES @ COST-COMPUTER HARD")</f>
        <v xml:space="preserve">          5082 - PURCHASES @ COST-COMPUTER HARD</v>
      </c>
      <c r="C141" s="11"/>
      <c r="D141" s="2">
        <v>356559.97</v>
      </c>
      <c r="E141" s="2"/>
      <c r="F141" s="22">
        <f t="shared" si="8"/>
        <v>0.23661641602308428</v>
      </c>
      <c r="G141" s="2"/>
      <c r="H141" s="2">
        <v>295854.32</v>
      </c>
      <c r="I141" s="2"/>
      <c r="J141" s="22">
        <f t="shared" si="9"/>
        <v>0.17772064102385579</v>
      </c>
      <c r="K141" s="2"/>
      <c r="L141" s="2">
        <f t="shared" si="10"/>
        <v>60705.649999999965</v>
      </c>
      <c r="M141" s="2"/>
      <c r="N141" s="22">
        <f t="shared" si="11"/>
        <v>0.20518764099844802</v>
      </c>
      <c r="O141" s="11"/>
      <c r="P141" s="2">
        <v>356559.97</v>
      </c>
      <c r="Q141" s="2"/>
      <c r="R141" s="22">
        <f t="shared" si="12"/>
        <v>0.23661641602308428</v>
      </c>
      <c r="S141" s="2"/>
      <c r="T141" s="2">
        <v>295854.32</v>
      </c>
      <c r="U141" s="2"/>
      <c r="V141" s="22">
        <f t="shared" si="13"/>
        <v>0.17772064102385579</v>
      </c>
      <c r="W141" s="2"/>
      <c r="X141" s="2">
        <f t="shared" si="14"/>
        <v>60705.649999999965</v>
      </c>
      <c r="Y141" s="2"/>
      <c r="Z141" s="22">
        <f t="shared" si="15"/>
        <v>0.20518764099844802</v>
      </c>
    </row>
    <row r="142" spans="1:26" s="24" customFormat="1" hidden="1" outlineLevel="1" x14ac:dyDescent="0.25">
      <c r="A142" s="50"/>
      <c r="B142" s="11" t="str">
        <f>CONCATENATE("          ", "5083", " - ", "PURCHASES @ COST-COMPUTER EQUI")</f>
        <v xml:space="preserve">          5083 - PURCHASES @ COST-COMPUTER EQUI</v>
      </c>
      <c r="C142" s="11"/>
      <c r="D142" s="2">
        <v>7276.14</v>
      </c>
      <c r="E142" s="2"/>
      <c r="F142" s="22">
        <f t="shared" si="8"/>
        <v>4.8285122115143903E-3</v>
      </c>
      <c r="G142" s="2"/>
      <c r="H142" s="2">
        <v>6882.6</v>
      </c>
      <c r="I142" s="2"/>
      <c r="J142" s="22">
        <f t="shared" si="9"/>
        <v>4.1343999435627301E-3</v>
      </c>
      <c r="K142" s="2"/>
      <c r="L142" s="2">
        <f t="shared" si="10"/>
        <v>393.53999999999996</v>
      </c>
      <c r="M142" s="2"/>
      <c r="N142" s="22">
        <f t="shared" si="11"/>
        <v>5.7178973062505439E-2</v>
      </c>
      <c r="O142" s="11"/>
      <c r="P142" s="2">
        <v>7276.14</v>
      </c>
      <c r="Q142" s="2"/>
      <c r="R142" s="22">
        <f t="shared" si="12"/>
        <v>4.8285122115143903E-3</v>
      </c>
      <c r="S142" s="2"/>
      <c r="T142" s="2">
        <v>6882.6</v>
      </c>
      <c r="U142" s="2"/>
      <c r="V142" s="22">
        <f t="shared" si="13"/>
        <v>4.1343999435627301E-3</v>
      </c>
      <c r="W142" s="2"/>
      <c r="X142" s="2">
        <f t="shared" si="14"/>
        <v>393.53999999999996</v>
      </c>
      <c r="Y142" s="2"/>
      <c r="Z142" s="22">
        <f t="shared" si="15"/>
        <v>5.7178973062505439E-2</v>
      </c>
    </row>
    <row r="143" spans="1:26" s="24" customFormat="1" hidden="1" outlineLevel="1" x14ac:dyDescent="0.25">
      <c r="A143" s="50"/>
      <c r="B143" s="11" t="str">
        <f>CONCATENATE("          ", "5086", " - ", "PURCHASES @ COST-COMPUTER SUPP")</f>
        <v xml:space="preserve">          5086 - PURCHASES @ COST-COMPUTER SUPP</v>
      </c>
      <c r="C143" s="11"/>
      <c r="D143" s="2">
        <v>3427.07</v>
      </c>
      <c r="E143" s="2"/>
      <c r="F143" s="22">
        <f t="shared" si="8"/>
        <v>2.2742346003120639E-3</v>
      </c>
      <c r="G143" s="2"/>
      <c r="H143" s="2">
        <v>6502.32</v>
      </c>
      <c r="I143" s="2"/>
      <c r="J143" s="22">
        <f t="shared" si="9"/>
        <v>3.9059645251833331E-3</v>
      </c>
      <c r="K143" s="2"/>
      <c r="L143" s="2">
        <f t="shared" si="10"/>
        <v>-3075.2499999999995</v>
      </c>
      <c r="M143" s="2"/>
      <c r="N143" s="22">
        <f t="shared" si="11"/>
        <v>-0.4729465790671637</v>
      </c>
      <c r="O143" s="11"/>
      <c r="P143" s="2">
        <v>3427.07</v>
      </c>
      <c r="Q143" s="2"/>
      <c r="R143" s="22">
        <f t="shared" si="12"/>
        <v>2.2742346003120639E-3</v>
      </c>
      <c r="S143" s="2"/>
      <c r="T143" s="2">
        <v>6502.32</v>
      </c>
      <c r="U143" s="2"/>
      <c r="V143" s="22">
        <f t="shared" si="13"/>
        <v>3.9059645251833331E-3</v>
      </c>
      <c r="W143" s="2"/>
      <c r="X143" s="2">
        <f t="shared" si="14"/>
        <v>-3075.2499999999995</v>
      </c>
      <c r="Y143" s="2"/>
      <c r="Z143" s="22">
        <f t="shared" si="15"/>
        <v>-0.4729465790671637</v>
      </c>
    </row>
    <row r="144" spans="1:26" s="24" customFormat="1" hidden="1" outlineLevel="1" x14ac:dyDescent="0.25">
      <c r="A144" s="50"/>
      <c r="B144" s="11" t="str">
        <f>CONCATENATE("          ", "5088", " - ", "PURCHASES @ COST-MUSIC")</f>
        <v xml:space="preserve">          5088 - PURCHASES @ COST-MUSIC</v>
      </c>
      <c r="C144" s="11"/>
      <c r="D144" s="2">
        <v>82</v>
      </c>
      <c r="E144" s="2"/>
      <c r="F144" s="22">
        <f t="shared" si="8"/>
        <v>5.4415940504742899E-5</v>
      </c>
      <c r="G144" s="2"/>
      <c r="H144" s="2">
        <v>244.86</v>
      </c>
      <c r="I144" s="2"/>
      <c r="J144" s="22">
        <f t="shared" si="9"/>
        <v>1.4708818908272601E-4</v>
      </c>
      <c r="K144" s="2"/>
      <c r="L144" s="2">
        <f t="shared" si="10"/>
        <v>-162.86000000000001</v>
      </c>
      <c r="M144" s="2"/>
      <c r="N144" s="22">
        <f t="shared" si="11"/>
        <v>-0.66511475945438214</v>
      </c>
      <c r="O144" s="11"/>
      <c r="P144" s="2">
        <v>82</v>
      </c>
      <c r="Q144" s="2"/>
      <c r="R144" s="22">
        <f t="shared" si="12"/>
        <v>5.4415940504742899E-5</v>
      </c>
      <c r="S144" s="2"/>
      <c r="T144" s="2">
        <v>244.86</v>
      </c>
      <c r="U144" s="2"/>
      <c r="V144" s="22">
        <f t="shared" si="13"/>
        <v>1.4708818908272601E-4</v>
      </c>
      <c r="W144" s="2"/>
      <c r="X144" s="2">
        <f t="shared" si="14"/>
        <v>-162.86000000000001</v>
      </c>
      <c r="Y144" s="2"/>
      <c r="Z144" s="22">
        <f t="shared" si="15"/>
        <v>-0.66511475945438214</v>
      </c>
    </row>
    <row r="145" spans="1:26" s="24" customFormat="1" hidden="1" outlineLevel="1" x14ac:dyDescent="0.25">
      <c r="A145" s="50"/>
      <c r="B145" s="11" t="str">
        <f>CONCATENATE("          ", "5092", " - ", "PURCHASES @ COST-GRAD MERCH")</f>
        <v xml:space="preserve">          5092 - PURCHASES @ COST-GRAD MERCH</v>
      </c>
      <c r="C145" s="11"/>
      <c r="D145" s="2">
        <v>1228.5999999999999</v>
      </c>
      <c r="E145" s="2"/>
      <c r="F145" s="22">
        <f t="shared" si="8"/>
        <v>8.1531005492837952E-4</v>
      </c>
      <c r="G145" s="2"/>
      <c r="H145" s="2">
        <v>-1235.3900000000001</v>
      </c>
      <c r="I145" s="2"/>
      <c r="J145" s="22">
        <f t="shared" si="9"/>
        <v>-7.4210274406154081E-4</v>
      </c>
      <c r="K145" s="2"/>
      <c r="L145" s="2">
        <f t="shared" si="10"/>
        <v>2463.9899999999998</v>
      </c>
      <c r="M145" s="2"/>
      <c r="N145" s="22">
        <f t="shared" si="11"/>
        <v>-1.9945037599462514</v>
      </c>
      <c r="O145" s="11"/>
      <c r="P145" s="2">
        <v>1228.5999999999999</v>
      </c>
      <c r="Q145" s="2"/>
      <c r="R145" s="22">
        <f t="shared" si="12"/>
        <v>8.1531005492837952E-4</v>
      </c>
      <c r="S145" s="2"/>
      <c r="T145" s="2">
        <v>-1235.3900000000001</v>
      </c>
      <c r="U145" s="2"/>
      <c r="V145" s="22">
        <f t="shared" si="13"/>
        <v>-7.4210274406154081E-4</v>
      </c>
      <c r="W145" s="2"/>
      <c r="X145" s="2">
        <f t="shared" si="14"/>
        <v>2463.9899999999998</v>
      </c>
      <c r="Y145" s="2"/>
      <c r="Z145" s="22">
        <f t="shared" si="15"/>
        <v>-1.9945037599462514</v>
      </c>
    </row>
    <row r="146" spans="1:26" s="24" customFormat="1" hidden="1" outlineLevel="1" x14ac:dyDescent="0.25">
      <c r="A146" s="50"/>
      <c r="B146" s="11" t="str">
        <f>CONCATENATE("          ", "5095", " - ", "PURCHASES @ COST-CUSTOMER SERV")</f>
        <v xml:space="preserve">          5095 - PURCHASES @ COST-CUSTOMER SERV</v>
      </c>
      <c r="C146" s="11"/>
      <c r="D146" s="2">
        <v>0</v>
      </c>
      <c r="E146" s="2"/>
      <c r="F146" s="22">
        <f t="shared" si="8"/>
        <v>0</v>
      </c>
      <c r="G146" s="2"/>
      <c r="H146" s="2"/>
      <c r="I146" s="2"/>
      <c r="J146" s="22">
        <f t="shared" si="9"/>
        <v>0</v>
      </c>
      <c r="K146" s="2"/>
      <c r="L146" s="2">
        <f t="shared" si="10"/>
        <v>0</v>
      </c>
      <c r="M146" s="2"/>
      <c r="N146" s="22">
        <f t="shared" si="11"/>
        <v>0</v>
      </c>
      <c r="O146" s="11"/>
      <c r="P146" s="2">
        <v>0</v>
      </c>
      <c r="Q146" s="2"/>
      <c r="R146" s="22">
        <f t="shared" si="12"/>
        <v>0</v>
      </c>
      <c r="S146" s="2"/>
      <c r="T146" s="2"/>
      <c r="U146" s="2"/>
      <c r="V146" s="22">
        <f t="shared" si="13"/>
        <v>0</v>
      </c>
      <c r="W146" s="2"/>
      <c r="X146" s="2">
        <f t="shared" si="14"/>
        <v>0</v>
      </c>
      <c r="Y146" s="2"/>
      <c r="Z146" s="22">
        <f t="shared" si="15"/>
        <v>0</v>
      </c>
    </row>
    <row r="147" spans="1:26" s="24" customFormat="1" hidden="1" outlineLevel="1" x14ac:dyDescent="0.25">
      <c r="A147" s="50"/>
      <c r="B147" s="11" t="str">
        <f>CONCATENATE("          ", "5200", " - ", "PURCHASES OFFSET")</f>
        <v xml:space="preserve">          5200 - PURCHASES OFFSET</v>
      </c>
      <c r="C147" s="11"/>
      <c r="D147" s="2">
        <v>-1262309</v>
      </c>
      <c r="E147" s="2"/>
      <c r="F147" s="22">
        <f t="shared" si="8"/>
        <v>-0.83767965173904269</v>
      </c>
      <c r="G147" s="2"/>
      <c r="H147" s="2">
        <v>-1168935</v>
      </c>
      <c r="I147" s="2"/>
      <c r="J147" s="22">
        <f t="shared" si="9"/>
        <v>-0.70218301194730182</v>
      </c>
      <c r="K147" s="2"/>
      <c r="L147" s="2">
        <f t="shared" si="10"/>
        <v>-93374</v>
      </c>
      <c r="M147" s="2"/>
      <c r="N147" s="22">
        <f t="shared" si="11"/>
        <v>7.9879548477887988E-2</v>
      </c>
      <c r="O147" s="11"/>
      <c r="P147" s="2">
        <v>-1262309</v>
      </c>
      <c r="Q147" s="2"/>
      <c r="R147" s="22">
        <f t="shared" si="12"/>
        <v>-0.83767965173904269</v>
      </c>
      <c r="S147" s="2"/>
      <c r="T147" s="2">
        <v>-1168935</v>
      </c>
      <c r="U147" s="2"/>
      <c r="V147" s="22">
        <f t="shared" si="13"/>
        <v>-0.70218301194730182</v>
      </c>
      <c r="W147" s="2"/>
      <c r="X147" s="2">
        <f t="shared" si="14"/>
        <v>-93374</v>
      </c>
      <c r="Y147" s="2"/>
      <c r="Z147" s="22">
        <f t="shared" si="15"/>
        <v>7.9879548477887988E-2</v>
      </c>
    </row>
    <row r="148" spans="1:26" s="24" customFormat="1" hidden="1" outlineLevel="1" x14ac:dyDescent="0.25">
      <c r="A148" s="50"/>
      <c r="B148" s="11" t="str">
        <f>CONCATENATE("          ", "5300", " - ", "COG$ OFFSET")</f>
        <v xml:space="preserve">          5300 - COG$ OFFSET</v>
      </c>
      <c r="C148" s="11"/>
      <c r="D148" s="2">
        <v>523490</v>
      </c>
      <c r="E148" s="2"/>
      <c r="F148" s="22">
        <f t="shared" si="8"/>
        <v>0.34739269140033974</v>
      </c>
      <c r="G148" s="2"/>
      <c r="H148" s="2">
        <v>562593</v>
      </c>
      <c r="I148" s="2"/>
      <c r="J148" s="22">
        <f t="shared" si="9"/>
        <v>0.33795142350983448</v>
      </c>
      <c r="K148" s="2"/>
      <c r="L148" s="2">
        <f t="shared" si="10"/>
        <v>-39103</v>
      </c>
      <c r="M148" s="2"/>
      <c r="N148" s="22">
        <f t="shared" si="11"/>
        <v>-6.9504952958888574E-2</v>
      </c>
      <c r="O148" s="11"/>
      <c r="P148" s="2">
        <v>523490</v>
      </c>
      <c r="Q148" s="2"/>
      <c r="R148" s="22">
        <f t="shared" si="12"/>
        <v>0.34739269140033974</v>
      </c>
      <c r="S148" s="2"/>
      <c r="T148" s="2">
        <v>562593</v>
      </c>
      <c r="U148" s="2"/>
      <c r="V148" s="22">
        <f t="shared" si="13"/>
        <v>0.33795142350983448</v>
      </c>
      <c r="W148" s="2"/>
      <c r="X148" s="2">
        <f t="shared" si="14"/>
        <v>-39103</v>
      </c>
      <c r="Y148" s="2"/>
      <c r="Z148" s="22">
        <f t="shared" si="15"/>
        <v>-6.9504952958888574E-2</v>
      </c>
    </row>
    <row r="149" spans="1:26" s="24" customFormat="1" hidden="1" outlineLevel="1" x14ac:dyDescent="0.25">
      <c r="A149" s="50"/>
      <c r="B149" s="11" t="str">
        <f>CONCATENATE("          ", "5500", " - ", "FREIGHT-IN")</f>
        <v xml:space="preserve">          5500 - FREIGHT-IN</v>
      </c>
      <c r="C149" s="11"/>
      <c r="D149" s="2">
        <v>49</v>
      </c>
      <c r="E149" s="2"/>
      <c r="F149" s="22">
        <f t="shared" si="8"/>
        <v>3.2516842496736612E-5</v>
      </c>
      <c r="G149" s="2"/>
      <c r="H149" s="2"/>
      <c r="I149" s="2"/>
      <c r="J149" s="22">
        <f t="shared" si="9"/>
        <v>0</v>
      </c>
      <c r="K149" s="2"/>
      <c r="L149" s="2">
        <f t="shared" si="10"/>
        <v>49</v>
      </c>
      <c r="M149" s="2"/>
      <c r="N149" s="22">
        <f t="shared" si="11"/>
        <v>0</v>
      </c>
      <c r="O149" s="11"/>
      <c r="P149" s="2">
        <v>49</v>
      </c>
      <c r="Q149" s="2"/>
      <c r="R149" s="22">
        <f t="shared" si="12"/>
        <v>3.2516842496736612E-5</v>
      </c>
      <c r="S149" s="2"/>
      <c r="T149" s="2"/>
      <c r="U149" s="2"/>
      <c r="V149" s="22">
        <f t="shared" si="13"/>
        <v>0</v>
      </c>
      <c r="W149" s="2"/>
      <c r="X149" s="2">
        <f t="shared" si="14"/>
        <v>49</v>
      </c>
      <c r="Y149" s="2"/>
      <c r="Z149" s="22">
        <f t="shared" si="15"/>
        <v>0</v>
      </c>
    </row>
    <row r="150" spans="1:26" s="24" customFormat="1" hidden="1" outlineLevel="1" x14ac:dyDescent="0.25">
      <c r="A150" s="50"/>
      <c r="B150" s="11" t="str">
        <f>CONCATENATE("          ", "5501", " - ", "FREIGHT-IN-NEW TEXT")</f>
        <v xml:space="preserve">          5501 - FREIGHT-IN-NEW TEXT</v>
      </c>
      <c r="C150" s="11"/>
      <c r="D150" s="2">
        <v>1716.08</v>
      </c>
      <c r="E150" s="2"/>
      <c r="F150" s="22">
        <f t="shared" si="8"/>
        <v>1.1388061851387707E-3</v>
      </c>
      <c r="G150" s="2"/>
      <c r="H150" s="2">
        <v>2158.9299999999998</v>
      </c>
      <c r="I150" s="2"/>
      <c r="J150" s="22">
        <f t="shared" si="9"/>
        <v>1.296876190706402E-3</v>
      </c>
      <c r="K150" s="2"/>
      <c r="L150" s="2">
        <f t="shared" si="10"/>
        <v>-442.84999999999991</v>
      </c>
      <c r="M150" s="2"/>
      <c r="N150" s="22">
        <f t="shared" si="11"/>
        <v>-0.20512476087691586</v>
      </c>
      <c r="O150" s="11"/>
      <c r="P150" s="2">
        <v>1716.08</v>
      </c>
      <c r="Q150" s="2"/>
      <c r="R150" s="22">
        <f t="shared" si="12"/>
        <v>1.1388061851387707E-3</v>
      </c>
      <c r="S150" s="2"/>
      <c r="T150" s="2">
        <v>2158.9299999999998</v>
      </c>
      <c r="U150" s="2"/>
      <c r="V150" s="22">
        <f t="shared" si="13"/>
        <v>1.296876190706402E-3</v>
      </c>
      <c r="W150" s="2"/>
      <c r="X150" s="2">
        <f t="shared" si="14"/>
        <v>-442.84999999999991</v>
      </c>
      <c r="Y150" s="2"/>
      <c r="Z150" s="22">
        <f t="shared" si="15"/>
        <v>-0.20512476087691586</v>
      </c>
    </row>
    <row r="151" spans="1:26" s="24" customFormat="1" hidden="1" outlineLevel="1" x14ac:dyDescent="0.25">
      <c r="A151" s="50"/>
      <c r="B151" s="11" t="str">
        <f>CONCATENATE("          ", "5502", " - ", "FREIGHT-IN-USED TEXT")</f>
        <v xml:space="preserve">          5502 - FREIGHT-IN-USED TEXT</v>
      </c>
      <c r="C151" s="11"/>
      <c r="D151" s="2">
        <v>277.49</v>
      </c>
      <c r="E151" s="2"/>
      <c r="F151" s="22">
        <f t="shared" si="8"/>
        <v>1.8414486988611108E-4</v>
      </c>
      <c r="G151" s="2"/>
      <c r="H151" s="2">
        <v>286.61</v>
      </c>
      <c r="I151" s="2"/>
      <c r="J151" s="22">
        <f t="shared" si="9"/>
        <v>1.7216754828473454E-4</v>
      </c>
      <c r="K151" s="2"/>
      <c r="L151" s="2">
        <f t="shared" si="10"/>
        <v>-9.1200000000000045</v>
      </c>
      <c r="M151" s="2"/>
      <c r="N151" s="22">
        <f t="shared" si="11"/>
        <v>-3.1820243536513047E-2</v>
      </c>
      <c r="O151" s="11"/>
      <c r="P151" s="2">
        <v>277.49</v>
      </c>
      <c r="Q151" s="2"/>
      <c r="R151" s="22">
        <f t="shared" si="12"/>
        <v>1.8414486988611108E-4</v>
      </c>
      <c r="S151" s="2"/>
      <c r="T151" s="2">
        <v>286.61</v>
      </c>
      <c r="U151" s="2"/>
      <c r="V151" s="22">
        <f t="shared" si="13"/>
        <v>1.7216754828473454E-4</v>
      </c>
      <c r="W151" s="2"/>
      <c r="X151" s="2">
        <f t="shared" si="14"/>
        <v>-9.1200000000000045</v>
      </c>
      <c r="Y151" s="2"/>
      <c r="Z151" s="22">
        <f t="shared" si="15"/>
        <v>-3.1820243536513047E-2</v>
      </c>
    </row>
    <row r="152" spans="1:26" s="24" customFormat="1" hidden="1" outlineLevel="1" x14ac:dyDescent="0.25">
      <c r="A152" s="50"/>
      <c r="B152" s="11" t="str">
        <f>CONCATENATE("          ", "5513", " - ", "FREIGHT-IN-TRADE BOOKS")</f>
        <v xml:space="preserve">          5513 - FREIGHT-IN-TRADE BOOKS</v>
      </c>
      <c r="C152" s="11"/>
      <c r="D152" s="2"/>
      <c r="E152" s="2"/>
      <c r="F152" s="22">
        <f t="shared" si="8"/>
        <v>0</v>
      </c>
      <c r="G152" s="2"/>
      <c r="H152" s="2">
        <v>7.27</v>
      </c>
      <c r="I152" s="2"/>
      <c r="J152" s="22">
        <f t="shared" si="9"/>
        <v>4.3671123688287921E-6</v>
      </c>
      <c r="K152" s="2"/>
      <c r="L152" s="2">
        <f t="shared" si="10"/>
        <v>-7.27</v>
      </c>
      <c r="M152" s="2"/>
      <c r="N152" s="22">
        <f t="shared" si="11"/>
        <v>-1</v>
      </c>
      <c r="O152" s="11"/>
      <c r="P152" s="2"/>
      <c r="Q152" s="2"/>
      <c r="R152" s="22">
        <f t="shared" si="12"/>
        <v>0</v>
      </c>
      <c r="S152" s="2"/>
      <c r="T152" s="2">
        <v>7.27</v>
      </c>
      <c r="U152" s="2"/>
      <c r="V152" s="22">
        <f t="shared" si="13"/>
        <v>4.3671123688287921E-6</v>
      </c>
      <c r="W152" s="2"/>
      <c r="X152" s="2">
        <f t="shared" si="14"/>
        <v>-7.27</v>
      </c>
      <c r="Y152" s="2"/>
      <c r="Z152" s="22">
        <f t="shared" si="15"/>
        <v>-1</v>
      </c>
    </row>
    <row r="153" spans="1:26" s="24" customFormat="1" hidden="1" outlineLevel="1" x14ac:dyDescent="0.25">
      <c r="A153" s="50"/>
      <c r="B153" s="11" t="str">
        <f>CONCATENATE("          ", "5526", " - ", "FREIGHT-IN-WRITING INSTRUMENTS")</f>
        <v xml:space="preserve">          5526 - FREIGHT-IN-WRITING INSTRUMENTS</v>
      </c>
      <c r="C153" s="11"/>
      <c r="D153" s="2">
        <v>39.11</v>
      </c>
      <c r="E153" s="2"/>
      <c r="F153" s="22">
        <f t="shared" si="8"/>
        <v>2.5953749184640181E-5</v>
      </c>
      <c r="G153" s="2"/>
      <c r="H153" s="2">
        <v>34.159999999999997</v>
      </c>
      <c r="I153" s="2"/>
      <c r="J153" s="22">
        <f t="shared" si="9"/>
        <v>2.0520021804565545E-5</v>
      </c>
      <c r="K153" s="2"/>
      <c r="L153" s="2">
        <f t="shared" si="10"/>
        <v>4.9500000000000028</v>
      </c>
      <c r="M153" s="2"/>
      <c r="N153" s="22">
        <f t="shared" si="11"/>
        <v>0.14490632318501181</v>
      </c>
      <c r="O153" s="11"/>
      <c r="P153" s="2">
        <v>39.11</v>
      </c>
      <c r="Q153" s="2"/>
      <c r="R153" s="22">
        <f t="shared" si="12"/>
        <v>2.5953749184640181E-5</v>
      </c>
      <c r="S153" s="2"/>
      <c r="T153" s="2">
        <v>34.159999999999997</v>
      </c>
      <c r="U153" s="2"/>
      <c r="V153" s="22">
        <f t="shared" si="13"/>
        <v>2.0520021804565545E-5</v>
      </c>
      <c r="W153" s="2"/>
      <c r="X153" s="2">
        <f t="shared" si="14"/>
        <v>4.9500000000000028</v>
      </c>
      <c r="Y153" s="2"/>
      <c r="Z153" s="22">
        <f t="shared" si="15"/>
        <v>0.14490632318501181</v>
      </c>
    </row>
    <row r="154" spans="1:26" s="24" customFormat="1" hidden="1" outlineLevel="1" x14ac:dyDescent="0.25">
      <c r="A154" s="50"/>
      <c r="B154" s="11" t="str">
        <f>CONCATENATE("          ", "5527", " - ", "FREIGHT-IN-SCHOOL SUPPLIES")</f>
        <v xml:space="preserve">          5527 - FREIGHT-IN-SCHOOL SUPPLIES</v>
      </c>
      <c r="C154" s="11"/>
      <c r="D154" s="2">
        <v>250.02</v>
      </c>
      <c r="E154" s="2"/>
      <c r="F154" s="22">
        <f t="shared" si="8"/>
        <v>1.6591552981702219E-4</v>
      </c>
      <c r="G154" s="2"/>
      <c r="H154" s="2">
        <v>280.67</v>
      </c>
      <c r="I154" s="2"/>
      <c r="J154" s="22">
        <f t="shared" si="9"/>
        <v>1.685993711910835E-4</v>
      </c>
      <c r="K154" s="2"/>
      <c r="L154" s="2">
        <f t="shared" si="10"/>
        <v>-30.650000000000006</v>
      </c>
      <c r="M154" s="2"/>
      <c r="N154" s="22">
        <f t="shared" si="11"/>
        <v>-0.10920297858695266</v>
      </c>
      <c r="O154" s="11"/>
      <c r="P154" s="2">
        <v>250.02</v>
      </c>
      <c r="Q154" s="2"/>
      <c r="R154" s="22">
        <f t="shared" si="12"/>
        <v>1.6591552981702219E-4</v>
      </c>
      <c r="S154" s="2"/>
      <c r="T154" s="2">
        <v>280.67</v>
      </c>
      <c r="U154" s="2"/>
      <c r="V154" s="22">
        <f t="shared" si="13"/>
        <v>1.685993711910835E-4</v>
      </c>
      <c r="W154" s="2"/>
      <c r="X154" s="2">
        <f t="shared" si="14"/>
        <v>-30.650000000000006</v>
      </c>
      <c r="Y154" s="2"/>
      <c r="Z154" s="22">
        <f t="shared" si="15"/>
        <v>-0.10920297858695266</v>
      </c>
    </row>
    <row r="155" spans="1:26" s="24" customFormat="1" hidden="1" outlineLevel="1" x14ac:dyDescent="0.25">
      <c r="A155" s="50"/>
      <c r="B155" s="11" t="str">
        <f>CONCATENATE("          ", "5528", " - ", "FREIGHT-IN-ART/TECH")</f>
        <v xml:space="preserve">          5528 - FREIGHT-IN-ART/TECH</v>
      </c>
      <c r="C155" s="11"/>
      <c r="D155" s="2">
        <v>44.35</v>
      </c>
      <c r="E155" s="2"/>
      <c r="F155" s="22">
        <f t="shared" si="8"/>
        <v>2.9431060504699361E-5</v>
      </c>
      <c r="G155" s="2"/>
      <c r="H155" s="2">
        <v>145.88999999999999</v>
      </c>
      <c r="I155" s="2"/>
      <c r="J155" s="22">
        <f t="shared" si="9"/>
        <v>8.7636591951641322E-5</v>
      </c>
      <c r="K155" s="2"/>
      <c r="L155" s="2">
        <f t="shared" si="10"/>
        <v>-101.53999999999999</v>
      </c>
      <c r="M155" s="2"/>
      <c r="N155" s="22">
        <f t="shared" si="11"/>
        <v>-0.69600383850846526</v>
      </c>
      <c r="O155" s="11"/>
      <c r="P155" s="2">
        <v>44.35</v>
      </c>
      <c r="Q155" s="2"/>
      <c r="R155" s="22">
        <f t="shared" si="12"/>
        <v>2.9431060504699361E-5</v>
      </c>
      <c r="S155" s="2"/>
      <c r="T155" s="2">
        <v>145.88999999999999</v>
      </c>
      <c r="U155" s="2"/>
      <c r="V155" s="22">
        <f t="shared" si="13"/>
        <v>8.7636591951641322E-5</v>
      </c>
      <c r="W155" s="2"/>
      <c r="X155" s="2">
        <f t="shared" si="14"/>
        <v>-101.53999999999999</v>
      </c>
      <c r="Y155" s="2"/>
      <c r="Z155" s="22">
        <f t="shared" si="15"/>
        <v>-0.69600383850846526</v>
      </c>
    </row>
    <row r="156" spans="1:26" s="24" customFormat="1" hidden="1" outlineLevel="1" x14ac:dyDescent="0.25">
      <c r="A156" s="50"/>
      <c r="B156" s="11" t="str">
        <f>CONCATENATE("          ", "5540", " - ", "FREIGHT-IN-LOGO CLOTHING")</f>
        <v xml:space="preserve">          5540 - FREIGHT-IN-LOGO CLOTHING</v>
      </c>
      <c r="C156" s="11"/>
      <c r="D156" s="2">
        <v>395.22</v>
      </c>
      <c r="E156" s="2"/>
      <c r="F156" s="22">
        <f t="shared" si="8"/>
        <v>2.6227156105224986E-4</v>
      </c>
      <c r="G156" s="2"/>
      <c r="H156" s="2">
        <v>1089.53</v>
      </c>
      <c r="I156" s="2"/>
      <c r="J156" s="22">
        <f t="shared" si="9"/>
        <v>6.5448417320633197E-4</v>
      </c>
      <c r="K156" s="2"/>
      <c r="L156" s="2">
        <f t="shared" si="10"/>
        <v>-694.31</v>
      </c>
      <c r="M156" s="2"/>
      <c r="N156" s="22">
        <f t="shared" si="11"/>
        <v>-0.63725643167237245</v>
      </c>
      <c r="O156" s="11"/>
      <c r="P156" s="2">
        <v>395.22</v>
      </c>
      <c r="Q156" s="2"/>
      <c r="R156" s="22">
        <f t="shared" si="12"/>
        <v>2.6227156105224986E-4</v>
      </c>
      <c r="S156" s="2"/>
      <c r="T156" s="2">
        <v>1089.53</v>
      </c>
      <c r="U156" s="2"/>
      <c r="V156" s="22">
        <f t="shared" si="13"/>
        <v>6.5448417320633197E-4</v>
      </c>
      <c r="W156" s="2"/>
      <c r="X156" s="2">
        <f t="shared" si="14"/>
        <v>-694.31</v>
      </c>
      <c r="Y156" s="2"/>
      <c r="Z156" s="22">
        <f t="shared" si="15"/>
        <v>-0.63725643167237245</v>
      </c>
    </row>
    <row r="157" spans="1:26" s="24" customFormat="1" hidden="1" outlineLevel="1" x14ac:dyDescent="0.25">
      <c r="A157" s="50"/>
      <c r="B157" s="11" t="str">
        <f>CONCATENATE("          ", "5541", " - ", "FREIGHT-IN-LOGO GIFTS")</f>
        <v xml:space="preserve">          5541 - FREIGHT-IN-LOGO GIFTS</v>
      </c>
      <c r="C157" s="11"/>
      <c r="D157" s="2">
        <v>314.49</v>
      </c>
      <c r="E157" s="2"/>
      <c r="F157" s="22">
        <f t="shared" si="8"/>
        <v>2.0869840401629993E-4</v>
      </c>
      <c r="G157" s="2"/>
      <c r="H157" s="2">
        <v>785.4</v>
      </c>
      <c r="I157" s="2"/>
      <c r="J157" s="22">
        <f t="shared" si="9"/>
        <v>4.7179230460497017E-4</v>
      </c>
      <c r="K157" s="2"/>
      <c r="L157" s="2">
        <f t="shared" si="10"/>
        <v>-470.90999999999997</v>
      </c>
      <c r="M157" s="2"/>
      <c r="N157" s="22">
        <f t="shared" si="11"/>
        <v>-0.59957983193277309</v>
      </c>
      <c r="O157" s="11"/>
      <c r="P157" s="2">
        <v>314.49</v>
      </c>
      <c r="Q157" s="2"/>
      <c r="R157" s="22">
        <f t="shared" si="12"/>
        <v>2.0869840401629993E-4</v>
      </c>
      <c r="S157" s="2"/>
      <c r="T157" s="2">
        <v>785.4</v>
      </c>
      <c r="U157" s="2"/>
      <c r="V157" s="22">
        <f t="shared" si="13"/>
        <v>4.7179230460497017E-4</v>
      </c>
      <c r="W157" s="2"/>
      <c r="X157" s="2">
        <f t="shared" si="14"/>
        <v>-470.90999999999997</v>
      </c>
      <c r="Y157" s="2"/>
      <c r="Z157" s="22">
        <f t="shared" si="15"/>
        <v>-0.59957983193277309</v>
      </c>
    </row>
    <row r="158" spans="1:26" s="24" customFormat="1" hidden="1" outlineLevel="1" x14ac:dyDescent="0.25">
      <c r="A158" s="50"/>
      <c r="B158" s="11" t="str">
        <f>CONCATENATE("          ", "5542", " - ", "FREIGHT-IN-EVERYDAY GIFTS")</f>
        <v xml:space="preserve">          5542 - FREIGHT-IN-EVERYDAY GIFTS</v>
      </c>
      <c r="C158" s="11"/>
      <c r="D158" s="2">
        <v>29.72</v>
      </c>
      <c r="E158" s="2"/>
      <c r="F158" s="22">
        <f t="shared" si="8"/>
        <v>1.9722460387816573E-5</v>
      </c>
      <c r="G158" s="2"/>
      <c r="H158" s="2"/>
      <c r="I158" s="2"/>
      <c r="J158" s="22">
        <f t="shared" si="9"/>
        <v>0</v>
      </c>
      <c r="K158" s="2"/>
      <c r="L158" s="2">
        <f t="shared" si="10"/>
        <v>29.72</v>
      </c>
      <c r="M158" s="2"/>
      <c r="N158" s="22">
        <f t="shared" si="11"/>
        <v>0</v>
      </c>
      <c r="O158" s="11"/>
      <c r="P158" s="2">
        <v>29.72</v>
      </c>
      <c r="Q158" s="2"/>
      <c r="R158" s="22">
        <f t="shared" si="12"/>
        <v>1.9722460387816573E-5</v>
      </c>
      <c r="S158" s="2"/>
      <c r="T158" s="2"/>
      <c r="U158" s="2"/>
      <c r="V158" s="22">
        <f t="shared" si="13"/>
        <v>0</v>
      </c>
      <c r="W158" s="2"/>
      <c r="X158" s="2">
        <f t="shared" si="14"/>
        <v>29.72</v>
      </c>
      <c r="Y158" s="2"/>
      <c r="Z158" s="22">
        <f t="shared" si="15"/>
        <v>0</v>
      </c>
    </row>
    <row r="159" spans="1:26" s="24" customFormat="1" hidden="1" outlineLevel="1" x14ac:dyDescent="0.25">
      <c r="A159" s="50"/>
      <c r="B159" s="11" t="str">
        <f>CONCATENATE("          ", "5544", " - ", "FREIGHT-IN-ACCESSORIES")</f>
        <v xml:space="preserve">          5544 - FREIGHT-IN-ACCESSORIES</v>
      </c>
      <c r="C159" s="11"/>
      <c r="D159" s="2">
        <v>16.73</v>
      </c>
      <c r="E159" s="2"/>
      <c r="F159" s="22">
        <f t="shared" si="8"/>
        <v>1.1102179081028643E-5</v>
      </c>
      <c r="G159" s="2"/>
      <c r="H159" s="2">
        <v>29.26</v>
      </c>
      <c r="I159" s="2"/>
      <c r="J159" s="22">
        <f t="shared" si="9"/>
        <v>1.7576576053910657E-5</v>
      </c>
      <c r="K159" s="2"/>
      <c r="L159" s="2">
        <f t="shared" si="10"/>
        <v>-12.530000000000001</v>
      </c>
      <c r="M159" s="2"/>
      <c r="N159" s="22">
        <f t="shared" si="11"/>
        <v>-0.42822966507177035</v>
      </c>
      <c r="O159" s="11"/>
      <c r="P159" s="2">
        <v>16.73</v>
      </c>
      <c r="Q159" s="2"/>
      <c r="R159" s="22">
        <f t="shared" si="12"/>
        <v>1.1102179081028643E-5</v>
      </c>
      <c r="S159" s="2"/>
      <c r="T159" s="2">
        <v>29.26</v>
      </c>
      <c r="U159" s="2"/>
      <c r="V159" s="22">
        <f t="shared" si="13"/>
        <v>1.7576576053910657E-5</v>
      </c>
      <c r="W159" s="2"/>
      <c r="X159" s="2">
        <f t="shared" si="14"/>
        <v>-12.530000000000001</v>
      </c>
      <c r="Y159" s="2"/>
      <c r="Z159" s="22">
        <f t="shared" si="15"/>
        <v>-0.42822966507177035</v>
      </c>
    </row>
    <row r="160" spans="1:26" s="24" customFormat="1" hidden="1" outlineLevel="1" x14ac:dyDescent="0.25">
      <c r="A160" s="50"/>
      <c r="B160" s="11" t="str">
        <f>CONCATENATE("          ", "5545", " - ", "FREIGHT-IN-SPECIAL ORDERS")</f>
        <v xml:space="preserve">          5545 - FREIGHT-IN-SPECIAL ORDERS</v>
      </c>
      <c r="C160" s="11"/>
      <c r="D160" s="2">
        <v>227.08</v>
      </c>
      <c r="E160" s="2"/>
      <c r="F160" s="22">
        <f t="shared" si="8"/>
        <v>1.5069233865630511E-4</v>
      </c>
      <c r="G160" s="2"/>
      <c r="H160" s="2">
        <v>305.11</v>
      </c>
      <c r="I160" s="2"/>
      <c r="J160" s="22">
        <f t="shared" si="9"/>
        <v>1.8328055775149283E-4</v>
      </c>
      <c r="K160" s="2"/>
      <c r="L160" s="2">
        <f t="shared" si="10"/>
        <v>-78.03</v>
      </c>
      <c r="M160" s="2"/>
      <c r="N160" s="22">
        <f t="shared" si="11"/>
        <v>-0.25574383009406443</v>
      </c>
      <c r="O160" s="11"/>
      <c r="P160" s="2">
        <v>227.08</v>
      </c>
      <c r="Q160" s="2"/>
      <c r="R160" s="22">
        <f t="shared" si="12"/>
        <v>1.5069233865630511E-4</v>
      </c>
      <c r="S160" s="2"/>
      <c r="T160" s="2">
        <v>305.11</v>
      </c>
      <c r="U160" s="2"/>
      <c r="V160" s="22">
        <f t="shared" si="13"/>
        <v>1.8328055775149283E-4</v>
      </c>
      <c r="W160" s="2"/>
      <c r="X160" s="2">
        <f t="shared" si="14"/>
        <v>-78.03</v>
      </c>
      <c r="Y160" s="2"/>
      <c r="Z160" s="22">
        <f t="shared" si="15"/>
        <v>-0.25574383009406443</v>
      </c>
    </row>
    <row r="161" spans="1:26" s="24" customFormat="1" hidden="1" outlineLevel="1" x14ac:dyDescent="0.25">
      <c r="A161" s="50"/>
      <c r="B161" s="11" t="str">
        <f>CONCATENATE("          ", "5583", " - ", "FREIGHT-IN-COMPUTER EQUIPMENT")</f>
        <v xml:space="preserve">          5583 - FREIGHT-IN-COMPUTER EQUIPMENT</v>
      </c>
      <c r="C161" s="11"/>
      <c r="D161" s="2">
        <v>6.99</v>
      </c>
      <c r="E161" s="2"/>
      <c r="F161" s="22">
        <f t="shared" si="8"/>
        <v>4.6386271235140594E-6</v>
      </c>
      <c r="G161" s="2"/>
      <c r="H161" s="2"/>
      <c r="I161" s="2"/>
      <c r="J161" s="22">
        <f t="shared" si="9"/>
        <v>0</v>
      </c>
      <c r="K161" s="2"/>
      <c r="L161" s="2">
        <f t="shared" si="10"/>
        <v>6.99</v>
      </c>
      <c r="M161" s="2"/>
      <c r="N161" s="22">
        <f t="shared" si="11"/>
        <v>0</v>
      </c>
      <c r="O161" s="11"/>
      <c r="P161" s="2">
        <v>6.99</v>
      </c>
      <c r="Q161" s="2"/>
      <c r="R161" s="22">
        <f t="shared" si="12"/>
        <v>4.6386271235140594E-6</v>
      </c>
      <c r="S161" s="2"/>
      <c r="T161" s="2"/>
      <c r="U161" s="2"/>
      <c r="V161" s="22">
        <f t="shared" si="13"/>
        <v>0</v>
      </c>
      <c r="W161" s="2"/>
      <c r="X161" s="2">
        <f t="shared" si="14"/>
        <v>6.99</v>
      </c>
      <c r="Y161" s="2"/>
      <c r="Z161" s="22">
        <f t="shared" si="15"/>
        <v>0</v>
      </c>
    </row>
    <row r="162" spans="1:26" s="24" customFormat="1" hidden="1" outlineLevel="1" x14ac:dyDescent="0.25">
      <c r="A162" s="50"/>
      <c r="B162" s="11" t="str">
        <f>CONCATENATE("          ", "5586", " - ", "FREIGHT-IN-COMPUTER SUPPLIES")</f>
        <v xml:space="preserve">          5586 - FREIGHT-IN-COMPUTER SUPPLIES</v>
      </c>
      <c r="C162" s="11"/>
      <c r="D162" s="2">
        <v>29.67</v>
      </c>
      <c r="E162" s="2"/>
      <c r="F162" s="22">
        <f t="shared" si="8"/>
        <v>1.9689279936289292E-5</v>
      </c>
      <c r="G162" s="2"/>
      <c r="H162" s="2">
        <v>20.71</v>
      </c>
      <c r="I162" s="2"/>
      <c r="J162" s="22">
        <f t="shared" si="9"/>
        <v>1.2440563570625074E-5</v>
      </c>
      <c r="K162" s="2"/>
      <c r="L162" s="2">
        <f t="shared" si="10"/>
        <v>8.9600000000000009</v>
      </c>
      <c r="M162" s="2"/>
      <c r="N162" s="22">
        <f t="shared" si="11"/>
        <v>0.43264123611781752</v>
      </c>
      <c r="O162" s="11"/>
      <c r="P162" s="2">
        <v>29.67</v>
      </c>
      <c r="Q162" s="2"/>
      <c r="R162" s="22">
        <f t="shared" si="12"/>
        <v>1.9689279936289292E-5</v>
      </c>
      <c r="S162" s="2"/>
      <c r="T162" s="2">
        <v>20.71</v>
      </c>
      <c r="U162" s="2"/>
      <c r="V162" s="22">
        <f t="shared" si="13"/>
        <v>1.2440563570625074E-5</v>
      </c>
      <c r="W162" s="2"/>
      <c r="X162" s="2">
        <f t="shared" si="14"/>
        <v>8.9600000000000009</v>
      </c>
      <c r="Y162" s="2"/>
      <c r="Z162" s="22">
        <f t="shared" si="15"/>
        <v>0.43264123611781752</v>
      </c>
    </row>
    <row r="163" spans="1:26" s="24" customFormat="1" hidden="1" outlineLevel="1" x14ac:dyDescent="0.25">
      <c r="A163" s="50"/>
      <c r="B163" s="11" t="str">
        <f>CONCATENATE("          ", "5592", " - ", "FREIGHT-IN-GRAD MERCH")</f>
        <v xml:space="preserve">          5592 - FREIGHT-IN-GRAD MERCH</v>
      </c>
      <c r="C163" s="11"/>
      <c r="D163" s="2"/>
      <c r="E163" s="2"/>
      <c r="F163" s="22">
        <f t="shared" si="8"/>
        <v>0</v>
      </c>
      <c r="G163" s="2"/>
      <c r="H163" s="2">
        <v>108.69</v>
      </c>
      <c r="I163" s="2"/>
      <c r="J163" s="22">
        <f t="shared" si="9"/>
        <v>6.529043237524091E-5</v>
      </c>
      <c r="K163" s="2"/>
      <c r="L163" s="2">
        <f t="shared" si="10"/>
        <v>-108.69</v>
      </c>
      <c r="M163" s="2"/>
      <c r="N163" s="22">
        <f t="shared" si="11"/>
        <v>-1</v>
      </c>
      <c r="O163" s="11"/>
      <c r="P163" s="2"/>
      <c r="Q163" s="2"/>
      <c r="R163" s="22">
        <f t="shared" si="12"/>
        <v>0</v>
      </c>
      <c r="S163" s="2"/>
      <c r="T163" s="2">
        <v>108.69</v>
      </c>
      <c r="U163" s="2"/>
      <c r="V163" s="22">
        <f t="shared" si="13"/>
        <v>6.529043237524091E-5</v>
      </c>
      <c r="W163" s="2"/>
      <c r="X163" s="2">
        <f t="shared" si="14"/>
        <v>-108.69</v>
      </c>
      <c r="Y163" s="2"/>
      <c r="Z163" s="22">
        <f t="shared" si="15"/>
        <v>-1</v>
      </c>
    </row>
    <row r="164" spans="1:26" x14ac:dyDescent="0.2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x14ac:dyDescent="0.25">
      <c r="A165" s="10"/>
      <c r="B165" s="25" t="s">
        <v>6</v>
      </c>
      <c r="C165" s="25"/>
      <c r="D165" s="21">
        <f>D12-D114</f>
        <v>717373.73999999964</v>
      </c>
      <c r="E165" s="13"/>
      <c r="F165" s="20">
        <f>IF(D$12=0,0,D165/D$12)</f>
        <v>0.47605569214030341</v>
      </c>
      <c r="G165" s="13"/>
      <c r="H165" s="21">
        <f>H12-H114</f>
        <v>856118.43000000028</v>
      </c>
      <c r="I165" s="13"/>
      <c r="J165" s="20">
        <f>IF(H$12=0,0,H165/H$12)</f>
        <v>0.51427309282466127</v>
      </c>
      <c r="K165" s="16"/>
      <c r="L165" s="21">
        <f>+D165-H165</f>
        <v>-138744.69000000064</v>
      </c>
      <c r="M165" s="16"/>
      <c r="N165" s="20">
        <f>IF(H165=0,0,L165/H165)</f>
        <v>-0.16206249642353873</v>
      </c>
      <c r="O165" s="26"/>
      <c r="P165" s="21">
        <f>P12-P114</f>
        <v>717373.73999999964</v>
      </c>
      <c r="Q165" s="13"/>
      <c r="R165" s="20">
        <f>IF(P$12=0,0,P165/P$12)</f>
        <v>0.47605569214030341</v>
      </c>
      <c r="S165" s="13"/>
      <c r="T165" s="21">
        <f>T12-T114</f>
        <v>856118.43000000028</v>
      </c>
      <c r="U165" s="13"/>
      <c r="V165" s="20">
        <f>IF(T$12=0,0,T165/T$12)</f>
        <v>0.51427309282466127</v>
      </c>
      <c r="W165" s="16"/>
      <c r="X165" s="21">
        <f>+P165-T165</f>
        <v>-138744.69000000064</v>
      </c>
      <c r="Y165" s="16"/>
      <c r="Z165" s="20">
        <f>IF(T165=0,0,X165/T165)</f>
        <v>-0.16206249642353873</v>
      </c>
    </row>
    <row r="166" spans="1:26" x14ac:dyDescent="0.25">
      <c r="A166" s="9"/>
      <c r="B166" s="10"/>
      <c r="C166" s="9"/>
      <c r="D166" s="1"/>
      <c r="E166" s="1"/>
      <c r="F166" s="5"/>
      <c r="G166" s="1"/>
      <c r="H166" s="1"/>
      <c r="I166" s="1"/>
      <c r="J166" s="5"/>
      <c r="K166" s="1"/>
      <c r="L166" s="1"/>
      <c r="M166" s="1"/>
      <c r="N166" s="5"/>
      <c r="O166" s="37"/>
      <c r="P166" s="1"/>
      <c r="Q166" s="1"/>
      <c r="R166" s="5"/>
      <c r="S166" s="1"/>
      <c r="T166" s="1"/>
      <c r="U166" s="1"/>
      <c r="V166" s="5"/>
      <c r="W166" s="1"/>
      <c r="X166" s="1"/>
      <c r="Y166" s="1"/>
      <c r="Z166" s="5"/>
    </row>
    <row r="167" spans="1:26" s="23" customFormat="1" x14ac:dyDescent="0.25">
      <c r="A167" s="10"/>
      <c r="B167" s="26" t="s">
        <v>9</v>
      </c>
      <c r="C167" s="10"/>
      <c r="D167" s="19">
        <f>SUM(OSRRefD22x_0)</f>
        <v>1312659.17</v>
      </c>
      <c r="E167" s="19"/>
      <c r="F167" s="35">
        <f t="shared" ref="F167:F177" si="16">IF(D$12=0,0,D167/D$12)</f>
        <v>0.87109247924055111</v>
      </c>
      <c r="G167" s="19"/>
      <c r="H167" s="19">
        <f>SUM(OSRRefH22x_0)</f>
        <v>1292386.0099999995</v>
      </c>
      <c r="I167" s="19"/>
      <c r="J167" s="35">
        <f t="shared" ref="J167:J177" si="17">IF(H$12=0,0,H167/H$12)</f>
        <v>0.7763404304776188</v>
      </c>
      <c r="K167" s="4"/>
      <c r="L167" s="19">
        <f t="shared" ref="L167:L177" si="18">+D167-H167</f>
        <v>20273.160000000382</v>
      </c>
      <c r="M167" s="4"/>
      <c r="N167" s="35">
        <f t="shared" ref="N167:N177" si="19">IF(H167=0,0,L167/H167)</f>
        <v>1.5686613630242242E-2</v>
      </c>
      <c r="O167" s="10"/>
      <c r="P167" s="19">
        <f>SUM(OSRRefP22x_0)</f>
        <v>1312659.17</v>
      </c>
      <c r="Q167" s="19"/>
      <c r="R167" s="35">
        <f t="shared" ref="R167:R177" si="20">IF(P$12=0,0,P167/P$12)</f>
        <v>0.87109247924055111</v>
      </c>
      <c r="S167" s="19"/>
      <c r="T167" s="19">
        <f>SUM(OSRRefT22x_0)</f>
        <v>1292386.0099999995</v>
      </c>
      <c r="U167" s="19"/>
      <c r="V167" s="35">
        <f t="shared" ref="V167:V177" si="21">IF(T$12=0,0,T167/T$12)</f>
        <v>0.7763404304776188</v>
      </c>
      <c r="W167" s="4"/>
      <c r="X167" s="19">
        <f t="shared" ref="X167:X177" si="22">+P167-T167</f>
        <v>20273.160000000382</v>
      </c>
      <c r="Y167" s="4"/>
      <c r="Z167" s="35">
        <f t="shared" ref="Z167:Z177" si="23">IF(T167=0,0,X167/T167)</f>
        <v>1.5686613630242242E-2</v>
      </c>
    </row>
    <row r="168" spans="1:26" s="28" customFormat="1" outlineLevel="1" collapsed="1" x14ac:dyDescent="0.25">
      <c r="A168" s="27"/>
      <c r="B168" s="14" t="str">
        <f>CONCATENATE("     ","*Benefits                                         ")</f>
        <v xml:space="preserve">     *Benefits                                         </v>
      </c>
      <c r="C168" s="14"/>
      <c r="D168" s="1">
        <f>SUM(OSRRefD22_0x_0)</f>
        <v>243835.67</v>
      </c>
      <c r="E168" s="1"/>
      <c r="F168" s="5">
        <f t="shared" si="16"/>
        <v>0.16181155258114785</v>
      </c>
      <c r="G168" s="1"/>
      <c r="H168" s="1">
        <f>SUM(OSRRefH22_0x_0)</f>
        <v>192847.24</v>
      </c>
      <c r="I168" s="1"/>
      <c r="J168" s="5">
        <f t="shared" si="17"/>
        <v>0.11584395695990296</v>
      </c>
      <c r="K168" s="1"/>
      <c r="L168" s="1">
        <f t="shared" si="18"/>
        <v>50988.430000000022</v>
      </c>
      <c r="M168" s="1"/>
      <c r="N168" s="5">
        <f t="shared" si="19"/>
        <v>0.26439802820097413</v>
      </c>
      <c r="O168" s="14"/>
      <c r="P168" s="1">
        <f>SUM(OSRRefP22_0x_0)</f>
        <v>243835.67</v>
      </c>
      <c r="Q168" s="1"/>
      <c r="R168" s="5">
        <f t="shared" si="20"/>
        <v>0.16181155258114785</v>
      </c>
      <c r="S168" s="1"/>
      <c r="T168" s="1">
        <f>SUM(OSRRefT22_0x_0)</f>
        <v>192847.24</v>
      </c>
      <c r="U168" s="1"/>
      <c r="V168" s="5">
        <f t="shared" si="21"/>
        <v>0.11584395695990296</v>
      </c>
      <c r="W168" s="1"/>
      <c r="X168" s="1">
        <f t="shared" si="22"/>
        <v>50988.430000000022</v>
      </c>
      <c r="Y168" s="1"/>
      <c r="Z168" s="5">
        <f t="shared" si="23"/>
        <v>0.26439802820097413</v>
      </c>
    </row>
    <row r="169" spans="1:26" s="24" customFormat="1" hidden="1" outlineLevel="2" x14ac:dyDescent="0.25">
      <c r="A169" s="29"/>
      <c r="B169" s="11" t="str">
        <f>CONCATENATE("          ", "6111", " - ", "F.I.C.A.")</f>
        <v xml:space="preserve">          6111 - F.I.C.A.</v>
      </c>
      <c r="C169" s="11"/>
      <c r="D169" s="7">
        <v>38198.86</v>
      </c>
      <c r="E169" s="2"/>
      <c r="F169" s="6">
        <f t="shared" si="16"/>
        <v>2.534910845254882E-2</v>
      </c>
      <c r="G169" s="2"/>
      <c r="H169" s="7">
        <v>35150.39</v>
      </c>
      <c r="I169" s="2"/>
      <c r="J169" s="6">
        <f t="shared" si="17"/>
        <v>2.1114952261094343E-2</v>
      </c>
      <c r="K169" s="2"/>
      <c r="L169" s="7">
        <f t="shared" si="18"/>
        <v>3048.4700000000012</v>
      </c>
      <c r="M169" s="2"/>
      <c r="N169" s="6">
        <f t="shared" si="19"/>
        <v>8.6726491512611983E-2</v>
      </c>
      <c r="O169" s="11"/>
      <c r="P169" s="7">
        <v>38198.86</v>
      </c>
      <c r="Q169" s="2"/>
      <c r="R169" s="6">
        <f t="shared" si="20"/>
        <v>2.534910845254882E-2</v>
      </c>
      <c r="S169" s="2"/>
      <c r="T169" s="7">
        <v>35150.39</v>
      </c>
      <c r="U169" s="2"/>
      <c r="V169" s="6">
        <f t="shared" si="21"/>
        <v>2.1114952261094343E-2</v>
      </c>
      <c r="W169" s="2"/>
      <c r="X169" s="7">
        <f t="shared" si="22"/>
        <v>3048.4700000000012</v>
      </c>
      <c r="Y169" s="2"/>
      <c r="Z169" s="6">
        <f t="shared" si="23"/>
        <v>8.6726491512611983E-2</v>
      </c>
    </row>
    <row r="170" spans="1:26" s="24" customFormat="1" hidden="1" outlineLevel="2" x14ac:dyDescent="0.25">
      <c r="A170" s="29"/>
      <c r="B170" s="11" t="str">
        <f>CONCATENATE("          ", "6112", " - ", "COMPENSATION INSURANCE")</f>
        <v xml:space="preserve">          6112 - COMPENSATION INSURANCE</v>
      </c>
      <c r="C170" s="11"/>
      <c r="D170" s="7">
        <v>14840.14</v>
      </c>
      <c r="E170" s="2"/>
      <c r="F170" s="6">
        <f t="shared" si="16"/>
        <v>9.8480509185616492E-3</v>
      </c>
      <c r="G170" s="2"/>
      <c r="H170" s="7">
        <v>16485.43</v>
      </c>
      <c r="I170" s="2"/>
      <c r="J170" s="6">
        <f t="shared" si="17"/>
        <v>9.9028507920854523E-3</v>
      </c>
      <c r="K170" s="2"/>
      <c r="L170" s="7">
        <f t="shared" si="18"/>
        <v>-1645.2900000000009</v>
      </c>
      <c r="M170" s="2"/>
      <c r="N170" s="6">
        <f t="shared" si="19"/>
        <v>-9.9802674240223085E-2</v>
      </c>
      <c r="O170" s="11"/>
      <c r="P170" s="7">
        <v>14840.14</v>
      </c>
      <c r="Q170" s="2"/>
      <c r="R170" s="6">
        <f t="shared" si="20"/>
        <v>9.8480509185616492E-3</v>
      </c>
      <c r="S170" s="2"/>
      <c r="T170" s="7">
        <v>16485.43</v>
      </c>
      <c r="U170" s="2"/>
      <c r="V170" s="6">
        <f t="shared" si="21"/>
        <v>9.9028507920854523E-3</v>
      </c>
      <c r="W170" s="2"/>
      <c r="X170" s="7">
        <f t="shared" si="22"/>
        <v>-1645.2900000000009</v>
      </c>
      <c r="Y170" s="2"/>
      <c r="Z170" s="6">
        <f t="shared" si="23"/>
        <v>-9.9802674240223085E-2</v>
      </c>
    </row>
    <row r="171" spans="1:26" s="24" customFormat="1" hidden="1" outlineLevel="2" x14ac:dyDescent="0.25">
      <c r="A171" s="29"/>
      <c r="B171" s="11" t="str">
        <f>CONCATENATE("          ", "6113", " - ", "GROUP INSURANCE")</f>
        <v xml:space="preserve">          6113 - GROUP INSURANCE</v>
      </c>
      <c r="C171" s="11"/>
      <c r="D171" s="7">
        <v>92648.05</v>
      </c>
      <c r="E171" s="2"/>
      <c r="F171" s="6">
        <f t="shared" si="16"/>
        <v>6.1482082642444459E-2</v>
      </c>
      <c r="G171" s="2"/>
      <c r="H171" s="7">
        <v>38073.420000000006</v>
      </c>
      <c r="I171" s="2"/>
      <c r="J171" s="6">
        <f t="shared" si="17"/>
        <v>2.2870825777938589E-2</v>
      </c>
      <c r="K171" s="2"/>
      <c r="L171" s="7">
        <f t="shared" si="18"/>
        <v>54574.63</v>
      </c>
      <c r="M171" s="2"/>
      <c r="N171" s="6">
        <f t="shared" si="19"/>
        <v>1.4334049843696728</v>
      </c>
      <c r="O171" s="11"/>
      <c r="P171" s="7">
        <v>92648.05</v>
      </c>
      <c r="Q171" s="2"/>
      <c r="R171" s="6">
        <f t="shared" si="20"/>
        <v>6.1482082642444459E-2</v>
      </c>
      <c r="S171" s="2"/>
      <c r="T171" s="7">
        <v>38073.420000000006</v>
      </c>
      <c r="U171" s="2"/>
      <c r="V171" s="6">
        <f t="shared" si="21"/>
        <v>2.2870825777938589E-2</v>
      </c>
      <c r="W171" s="2"/>
      <c r="X171" s="7">
        <f t="shared" si="22"/>
        <v>54574.63</v>
      </c>
      <c r="Y171" s="2"/>
      <c r="Z171" s="6">
        <f t="shared" si="23"/>
        <v>1.4334049843696728</v>
      </c>
    </row>
    <row r="172" spans="1:26" s="24" customFormat="1" hidden="1" outlineLevel="2" x14ac:dyDescent="0.25">
      <c r="A172" s="29"/>
      <c r="B172" s="11" t="str">
        <f>CONCATENATE("          ", "6114", " - ", "STATE UNEMPLOYMENT INSURANCE")</f>
        <v xml:space="preserve">          6114 - STATE UNEMPLOYMENT INSURANCE</v>
      </c>
      <c r="C172" s="11"/>
      <c r="D172" s="7">
        <v>1323.33</v>
      </c>
      <c r="E172" s="2"/>
      <c r="F172" s="6">
        <f t="shared" si="16"/>
        <v>8.7817373839196855E-4</v>
      </c>
      <c r="G172" s="2"/>
      <c r="H172" s="7">
        <v>1786.03</v>
      </c>
      <c r="I172" s="2"/>
      <c r="J172" s="6">
        <f t="shared" si="17"/>
        <v>1.0728739620494206E-3</v>
      </c>
      <c r="K172" s="2"/>
      <c r="L172" s="7">
        <f t="shared" si="18"/>
        <v>-462.70000000000005</v>
      </c>
      <c r="M172" s="2"/>
      <c r="N172" s="6">
        <f t="shared" si="19"/>
        <v>-0.25906619709635337</v>
      </c>
      <c r="O172" s="11"/>
      <c r="P172" s="7">
        <v>1323.33</v>
      </c>
      <c r="Q172" s="2"/>
      <c r="R172" s="6">
        <f t="shared" si="20"/>
        <v>8.7817373839196855E-4</v>
      </c>
      <c r="S172" s="2"/>
      <c r="T172" s="7">
        <v>1786.03</v>
      </c>
      <c r="U172" s="2"/>
      <c r="V172" s="6">
        <f t="shared" si="21"/>
        <v>1.0728739620494206E-3</v>
      </c>
      <c r="W172" s="2"/>
      <c r="X172" s="7">
        <f t="shared" si="22"/>
        <v>-462.70000000000005</v>
      </c>
      <c r="Y172" s="2"/>
      <c r="Z172" s="6">
        <f t="shared" si="23"/>
        <v>-0.25906619709635337</v>
      </c>
    </row>
    <row r="173" spans="1:26" s="24" customFormat="1" hidden="1" outlineLevel="2" x14ac:dyDescent="0.25">
      <c r="A173" s="29"/>
      <c r="B173" s="11" t="str">
        <f>CONCATENATE("          ", "6115", " - ", "P.E.R.S.")</f>
        <v xml:space="preserve">          6115 - P.E.R.S.</v>
      </c>
      <c r="C173" s="11"/>
      <c r="D173" s="7">
        <v>18146.929999999997</v>
      </c>
      <c r="E173" s="2"/>
      <c r="F173" s="6">
        <f t="shared" si="16"/>
        <v>1.2042466624679681E-2</v>
      </c>
      <c r="G173" s="2"/>
      <c r="H173" s="7">
        <v>24887.69</v>
      </c>
      <c r="I173" s="2"/>
      <c r="J173" s="6">
        <f t="shared" si="17"/>
        <v>1.4950115382472715E-2</v>
      </c>
      <c r="K173" s="2"/>
      <c r="L173" s="7">
        <f t="shared" si="18"/>
        <v>-6740.760000000002</v>
      </c>
      <c r="M173" s="2"/>
      <c r="N173" s="6">
        <f t="shared" si="19"/>
        <v>-0.27084715375352242</v>
      </c>
      <c r="O173" s="11"/>
      <c r="P173" s="7">
        <v>18146.929999999997</v>
      </c>
      <c r="Q173" s="2"/>
      <c r="R173" s="6">
        <f t="shared" si="20"/>
        <v>1.2042466624679681E-2</v>
      </c>
      <c r="S173" s="2"/>
      <c r="T173" s="7">
        <v>24887.69</v>
      </c>
      <c r="U173" s="2"/>
      <c r="V173" s="6">
        <f t="shared" si="21"/>
        <v>1.4950115382472715E-2</v>
      </c>
      <c r="W173" s="2"/>
      <c r="X173" s="7">
        <f t="shared" si="22"/>
        <v>-6740.760000000002</v>
      </c>
      <c r="Y173" s="2"/>
      <c r="Z173" s="6">
        <f t="shared" si="23"/>
        <v>-0.27084715375352242</v>
      </c>
    </row>
    <row r="174" spans="1:26" s="24" customFormat="1" hidden="1" outlineLevel="2" x14ac:dyDescent="0.25">
      <c r="A174" s="29"/>
      <c r="B174" s="11" t="str">
        <f>CONCATENATE("          ", "6117", " - ", "RETIREMENT STAFF HOURLY")</f>
        <v xml:space="preserve">          6117 - RETIREMENT STAFF HOURLY</v>
      </c>
      <c r="C174" s="11"/>
      <c r="D174" s="7">
        <v>1799.07</v>
      </c>
      <c r="E174" s="2"/>
      <c r="F174" s="6">
        <f t="shared" si="16"/>
        <v>1.1938790985837537E-3</v>
      </c>
      <c r="G174" s="2"/>
      <c r="H174" s="7">
        <v>1767.61</v>
      </c>
      <c r="I174" s="2"/>
      <c r="J174" s="6">
        <f t="shared" si="17"/>
        <v>1.0618090088398157E-3</v>
      </c>
      <c r="K174" s="2"/>
      <c r="L174" s="7">
        <f t="shared" si="18"/>
        <v>31.460000000000036</v>
      </c>
      <c r="M174" s="2"/>
      <c r="N174" s="6">
        <f t="shared" si="19"/>
        <v>1.779804368610725E-2</v>
      </c>
      <c r="O174" s="11"/>
      <c r="P174" s="7">
        <v>1799.07</v>
      </c>
      <c r="Q174" s="2"/>
      <c r="R174" s="6">
        <f t="shared" si="20"/>
        <v>1.1938790985837537E-3</v>
      </c>
      <c r="S174" s="2"/>
      <c r="T174" s="7">
        <v>1767.61</v>
      </c>
      <c r="U174" s="2"/>
      <c r="V174" s="6">
        <f t="shared" si="21"/>
        <v>1.0618090088398157E-3</v>
      </c>
      <c r="W174" s="2"/>
      <c r="X174" s="7">
        <f t="shared" si="22"/>
        <v>31.460000000000036</v>
      </c>
      <c r="Y174" s="2"/>
      <c r="Z174" s="6">
        <f t="shared" si="23"/>
        <v>1.779804368610725E-2</v>
      </c>
    </row>
    <row r="175" spans="1:26" s="24" customFormat="1" hidden="1" outlineLevel="2" x14ac:dyDescent="0.25">
      <c r="A175" s="29"/>
      <c r="B175" s="11" t="str">
        <f>CONCATENATE("          ", "6118", " - ", "VACATION")</f>
        <v xml:space="preserve">          6118 - VACATION</v>
      </c>
      <c r="C175" s="11"/>
      <c r="D175" s="7">
        <v>29319.82</v>
      </c>
      <c r="E175" s="2"/>
      <c r="F175" s="6">
        <f t="shared" si="16"/>
        <v>1.9456897325972815E-2</v>
      </c>
      <c r="G175" s="2"/>
      <c r="H175" s="7">
        <v>29290.329999999998</v>
      </c>
      <c r="I175" s="2"/>
      <c r="J175" s="6">
        <f t="shared" si="17"/>
        <v>1.7594795382403994E-2</v>
      </c>
      <c r="K175" s="2"/>
      <c r="L175" s="7">
        <f t="shared" si="18"/>
        <v>29.490000000001601</v>
      </c>
      <c r="M175" s="2"/>
      <c r="N175" s="6">
        <f t="shared" si="19"/>
        <v>1.0068169255860757E-3</v>
      </c>
      <c r="O175" s="11"/>
      <c r="P175" s="7">
        <v>29319.82</v>
      </c>
      <c r="Q175" s="2"/>
      <c r="R175" s="6">
        <f t="shared" si="20"/>
        <v>1.9456897325972815E-2</v>
      </c>
      <c r="S175" s="2"/>
      <c r="T175" s="7">
        <v>29290.329999999998</v>
      </c>
      <c r="U175" s="2"/>
      <c r="V175" s="6">
        <f t="shared" si="21"/>
        <v>1.7594795382403994E-2</v>
      </c>
      <c r="W175" s="2"/>
      <c r="X175" s="7">
        <f t="shared" si="22"/>
        <v>29.490000000001601</v>
      </c>
      <c r="Y175" s="2"/>
      <c r="Z175" s="6">
        <f t="shared" si="23"/>
        <v>1.0068169255860757E-3</v>
      </c>
    </row>
    <row r="176" spans="1:26" s="24" customFormat="1" hidden="1" outlineLevel="2" x14ac:dyDescent="0.25">
      <c r="A176" s="29"/>
      <c r="B176" s="11" t="str">
        <f>CONCATENATE("          ", "6119", " - ", "SICK LEAVE")</f>
        <v xml:space="preserve">          6119 - SICK LEAVE</v>
      </c>
      <c r="C176" s="11"/>
      <c r="D176" s="7">
        <v>39810.800000000003</v>
      </c>
      <c r="E176" s="2"/>
      <c r="F176" s="6">
        <f t="shared" si="16"/>
        <v>2.641880639324657E-2</v>
      </c>
      <c r="G176" s="2"/>
      <c r="H176" s="7">
        <v>36700.460000000006</v>
      </c>
      <c r="I176" s="2"/>
      <c r="J176" s="6">
        <f t="shared" si="17"/>
        <v>2.2046084292669375E-2</v>
      </c>
      <c r="K176" s="2"/>
      <c r="L176" s="7">
        <f t="shared" si="18"/>
        <v>3110.3399999999965</v>
      </c>
      <c r="M176" s="2"/>
      <c r="N176" s="6">
        <f t="shared" si="19"/>
        <v>8.4749346465956998E-2</v>
      </c>
      <c r="O176" s="11"/>
      <c r="P176" s="7">
        <v>39810.800000000003</v>
      </c>
      <c r="Q176" s="2"/>
      <c r="R176" s="6">
        <f t="shared" si="20"/>
        <v>2.641880639324657E-2</v>
      </c>
      <c r="S176" s="2"/>
      <c r="T176" s="7">
        <v>36700.460000000006</v>
      </c>
      <c r="U176" s="2"/>
      <c r="V176" s="6">
        <f t="shared" si="21"/>
        <v>2.2046084292669375E-2</v>
      </c>
      <c r="W176" s="2"/>
      <c r="X176" s="7">
        <f t="shared" si="22"/>
        <v>3110.3399999999965</v>
      </c>
      <c r="Y176" s="2"/>
      <c r="Z176" s="6">
        <f t="shared" si="23"/>
        <v>8.4749346465956998E-2</v>
      </c>
    </row>
    <row r="177" spans="1:26" s="24" customFormat="1" hidden="1" outlineLevel="2" x14ac:dyDescent="0.25">
      <c r="A177" s="29"/>
      <c r="B177" s="11" t="str">
        <f>CONCATENATE("          ", "6156", " - ", "EMPLOYEE MEALS")</f>
        <v xml:space="preserve">          6156 - EMPLOYEE MEALS</v>
      </c>
      <c r="C177" s="11"/>
      <c r="D177" s="7">
        <v>7748.67</v>
      </c>
      <c r="E177" s="2"/>
      <c r="F177" s="6">
        <f t="shared" si="16"/>
        <v>5.1420873867181237E-3</v>
      </c>
      <c r="G177" s="2"/>
      <c r="H177" s="7">
        <v>8705.8799999999992</v>
      </c>
      <c r="I177" s="2"/>
      <c r="J177" s="6">
        <f t="shared" si="17"/>
        <v>5.2296501003492712E-3</v>
      </c>
      <c r="K177" s="2"/>
      <c r="L177" s="7">
        <f t="shared" si="18"/>
        <v>-957.20999999999913</v>
      </c>
      <c r="M177" s="2"/>
      <c r="N177" s="6">
        <f t="shared" si="19"/>
        <v>-0.10994982701346667</v>
      </c>
      <c r="O177" s="11"/>
      <c r="P177" s="7">
        <v>7748.67</v>
      </c>
      <c r="Q177" s="2"/>
      <c r="R177" s="6">
        <f t="shared" si="20"/>
        <v>5.1420873867181237E-3</v>
      </c>
      <c r="S177" s="2"/>
      <c r="T177" s="7">
        <v>8705.8799999999992</v>
      </c>
      <c r="U177" s="2"/>
      <c r="V177" s="6">
        <f t="shared" si="21"/>
        <v>5.2296501003492712E-3</v>
      </c>
      <c r="W177" s="2"/>
      <c r="X177" s="7">
        <f t="shared" si="22"/>
        <v>-957.20999999999913</v>
      </c>
      <c r="Y177" s="2"/>
      <c r="Z177" s="6">
        <f t="shared" si="23"/>
        <v>-0.10994982701346667</v>
      </c>
    </row>
    <row r="178" spans="1:26" s="28" customFormat="1" outlineLevel="1" collapsed="1" x14ac:dyDescent="0.25">
      <c r="A178" s="27"/>
      <c r="B178" s="14" t="str">
        <f>CONCATENATE("     ","*Payroll                                          ")</f>
        <v xml:space="preserve">     *Payroll                                          </v>
      </c>
      <c r="C178" s="14"/>
      <c r="D178" s="1">
        <f>SUM(OSRRefD22_1x_0)</f>
        <v>599576.9</v>
      </c>
      <c r="E178" s="1"/>
      <c r="F178" s="5">
        <f t="shared" ref="F178:F185" si="24">IF(D$12=0,0,D178/D$12)</f>
        <v>0.3978846453465632</v>
      </c>
      <c r="G178" s="1"/>
      <c r="H178" s="1">
        <f>SUM(OSRRefH22_1x_0)</f>
        <v>550190.13</v>
      </c>
      <c r="I178" s="1"/>
      <c r="J178" s="5">
        <f t="shared" ref="J178:J185" si="25">IF(H$12=0,0,H178/H$12)</f>
        <v>0.33050097963280894</v>
      </c>
      <c r="K178" s="1"/>
      <c r="L178" s="1">
        <f t="shared" ref="L178:L185" si="26">+D178-H178</f>
        <v>49386.770000000019</v>
      </c>
      <c r="M178" s="1"/>
      <c r="N178" s="5">
        <f t="shared" ref="N178:N185" si="27">IF(H178=0,0,L178/H178)</f>
        <v>8.9763096986127361E-2</v>
      </c>
      <c r="O178" s="14"/>
      <c r="P178" s="1">
        <f>SUM(OSRRefP22_1x_0)</f>
        <v>599576.9</v>
      </c>
      <c r="Q178" s="1"/>
      <c r="R178" s="5">
        <f t="shared" ref="R178:R185" si="28">IF(P$12=0,0,P178/P$12)</f>
        <v>0.3978846453465632</v>
      </c>
      <c r="S178" s="1"/>
      <c r="T178" s="1">
        <f>SUM(OSRRefT22_1x_0)</f>
        <v>550190.13</v>
      </c>
      <c r="U178" s="1"/>
      <c r="V178" s="5">
        <f t="shared" ref="V178:V185" si="29">IF(T$12=0,0,T178/T$12)</f>
        <v>0.33050097963280894</v>
      </c>
      <c r="W178" s="1"/>
      <c r="X178" s="1">
        <f t="shared" ref="X178:X185" si="30">+P178-T178</f>
        <v>49386.770000000019</v>
      </c>
      <c r="Y178" s="1"/>
      <c r="Z178" s="5">
        <f t="shared" ref="Z178:Z185" si="31">IF(T178=0,0,X178/T178)</f>
        <v>8.9763096986127361E-2</v>
      </c>
    </row>
    <row r="179" spans="1:26" s="24" customFormat="1" hidden="1" outlineLevel="2" x14ac:dyDescent="0.25">
      <c r="A179" s="29"/>
      <c r="B179" s="11" t="str">
        <f>CONCATENATE("          ", "6001", " - ", "ADMINISTRATIVE SALARIES")</f>
        <v xml:space="preserve">          6001 - ADMINISTRATIVE SALARIES</v>
      </c>
      <c r="C179" s="11"/>
      <c r="D179" s="7">
        <v>41024.480000000003</v>
      </c>
      <c r="E179" s="2"/>
      <c r="F179" s="6">
        <f t="shared" si="24"/>
        <v>2.7224215401439208E-2</v>
      </c>
      <c r="G179" s="2"/>
      <c r="H179" s="7">
        <v>40328.959999999999</v>
      </c>
      <c r="I179" s="2"/>
      <c r="J179" s="6">
        <f t="shared" si="25"/>
        <v>2.4225735906190041E-2</v>
      </c>
      <c r="K179" s="2"/>
      <c r="L179" s="7">
        <f t="shared" si="26"/>
        <v>695.52000000000407</v>
      </c>
      <c r="M179" s="2"/>
      <c r="N179" s="6">
        <f t="shared" si="27"/>
        <v>1.7246167518329362E-2</v>
      </c>
      <c r="O179" s="11"/>
      <c r="P179" s="7">
        <v>41024.480000000003</v>
      </c>
      <c r="Q179" s="2"/>
      <c r="R179" s="6">
        <f t="shared" si="28"/>
        <v>2.7224215401439208E-2</v>
      </c>
      <c r="S179" s="2"/>
      <c r="T179" s="7">
        <v>40328.959999999999</v>
      </c>
      <c r="U179" s="2"/>
      <c r="V179" s="6">
        <f t="shared" si="29"/>
        <v>2.4225735906190041E-2</v>
      </c>
      <c r="W179" s="2"/>
      <c r="X179" s="7">
        <f t="shared" si="30"/>
        <v>695.52000000000407</v>
      </c>
      <c r="Y179" s="2"/>
      <c r="Z179" s="6">
        <f t="shared" si="31"/>
        <v>1.7246167518329362E-2</v>
      </c>
    </row>
    <row r="180" spans="1:26" s="24" customFormat="1" hidden="1" outlineLevel="2" x14ac:dyDescent="0.25">
      <c r="A180" s="29"/>
      <c r="B180" s="11" t="str">
        <f>CONCATENATE("          ", "6002", " - ", "STAFF SALARIES")</f>
        <v xml:space="preserve">          6002 - STAFF SALARIES</v>
      </c>
      <c r="C180" s="11"/>
      <c r="D180" s="7">
        <v>196528.5</v>
      </c>
      <c r="E180" s="2"/>
      <c r="F180" s="6">
        <f t="shared" si="24"/>
        <v>0.13041808735958982</v>
      </c>
      <c r="G180" s="2"/>
      <c r="H180" s="7">
        <v>191248.14</v>
      </c>
      <c r="I180" s="2"/>
      <c r="J180" s="6">
        <f t="shared" si="25"/>
        <v>0.11488337244972498</v>
      </c>
      <c r="K180" s="2"/>
      <c r="L180" s="7">
        <f t="shared" si="26"/>
        <v>5280.359999999986</v>
      </c>
      <c r="M180" s="2"/>
      <c r="N180" s="6">
        <f t="shared" si="27"/>
        <v>2.7609994010922071E-2</v>
      </c>
      <c r="O180" s="11"/>
      <c r="P180" s="7">
        <v>196528.5</v>
      </c>
      <c r="Q180" s="2"/>
      <c r="R180" s="6">
        <f t="shared" si="28"/>
        <v>0.13041808735958982</v>
      </c>
      <c r="S180" s="2"/>
      <c r="T180" s="7">
        <v>191248.14</v>
      </c>
      <c r="U180" s="2"/>
      <c r="V180" s="6">
        <f t="shared" si="29"/>
        <v>0.11488337244972498</v>
      </c>
      <c r="W180" s="2"/>
      <c r="X180" s="7">
        <f t="shared" si="30"/>
        <v>5280.359999999986</v>
      </c>
      <c r="Y180" s="2"/>
      <c r="Z180" s="6">
        <f t="shared" si="31"/>
        <v>2.7609994010922071E-2</v>
      </c>
    </row>
    <row r="181" spans="1:26" s="24" customFormat="1" hidden="1" outlineLevel="2" x14ac:dyDescent="0.25">
      <c r="A181" s="29"/>
      <c r="B181" s="11" t="str">
        <f>CONCATENATE("          ", "6004", " - ", "STAFF HOURLY")</f>
        <v xml:space="preserve">          6004 - STAFF HOURLY</v>
      </c>
      <c r="C181" s="11"/>
      <c r="D181" s="7">
        <v>63088.429999999993</v>
      </c>
      <c r="E181" s="2"/>
      <c r="F181" s="6">
        <f t="shared" si="24"/>
        <v>4.1866051870946788E-2</v>
      </c>
      <c r="G181" s="2"/>
      <c r="H181" s="7">
        <v>63847.539999999994</v>
      </c>
      <c r="I181" s="2"/>
      <c r="J181" s="6">
        <f t="shared" si="25"/>
        <v>3.8353422510769057E-2</v>
      </c>
      <c r="K181" s="2"/>
      <c r="L181" s="7">
        <f t="shared" si="26"/>
        <v>-759.11000000000058</v>
      </c>
      <c r="M181" s="2"/>
      <c r="N181" s="6">
        <f t="shared" si="27"/>
        <v>-1.1889416569534248E-2</v>
      </c>
      <c r="O181" s="11"/>
      <c r="P181" s="7">
        <v>63088.429999999993</v>
      </c>
      <c r="Q181" s="2"/>
      <c r="R181" s="6">
        <f t="shared" si="28"/>
        <v>4.1866051870946788E-2</v>
      </c>
      <c r="S181" s="2"/>
      <c r="T181" s="7">
        <v>63847.539999999994</v>
      </c>
      <c r="U181" s="2"/>
      <c r="V181" s="6">
        <f t="shared" si="29"/>
        <v>3.8353422510769057E-2</v>
      </c>
      <c r="W181" s="2"/>
      <c r="X181" s="7">
        <f t="shared" si="30"/>
        <v>-759.11000000000058</v>
      </c>
      <c r="Y181" s="2"/>
      <c r="Z181" s="6">
        <f t="shared" si="31"/>
        <v>-1.1889416569534248E-2</v>
      </c>
    </row>
    <row r="182" spans="1:26" s="24" customFormat="1" hidden="1" outlineLevel="2" x14ac:dyDescent="0.25">
      <c r="A182" s="29"/>
      <c r="B182" s="11" t="str">
        <f>CONCATENATE("          ", "6005", " - ", "TEMPORARY WAGES-HOURLY")</f>
        <v xml:space="preserve">          6005 - TEMPORARY WAGES-HOURLY</v>
      </c>
      <c r="C182" s="11"/>
      <c r="D182" s="7">
        <v>90123.94</v>
      </c>
      <c r="E182" s="2"/>
      <c r="F182" s="6">
        <f t="shared" si="24"/>
        <v>5.9807060452353886E-2</v>
      </c>
      <c r="G182" s="2"/>
      <c r="H182" s="7">
        <v>67565.11</v>
      </c>
      <c r="I182" s="2"/>
      <c r="J182" s="6">
        <f t="shared" si="25"/>
        <v>4.0586578759598063E-2</v>
      </c>
      <c r="K182" s="2"/>
      <c r="L182" s="7">
        <f t="shared" si="26"/>
        <v>22558.83</v>
      </c>
      <c r="M182" s="2"/>
      <c r="N182" s="6">
        <f t="shared" si="27"/>
        <v>0.33388282798621954</v>
      </c>
      <c r="O182" s="11"/>
      <c r="P182" s="7">
        <v>90123.94</v>
      </c>
      <c r="Q182" s="2"/>
      <c r="R182" s="6">
        <f t="shared" si="28"/>
        <v>5.9807060452353886E-2</v>
      </c>
      <c r="S182" s="2"/>
      <c r="T182" s="7">
        <v>67565.11</v>
      </c>
      <c r="U182" s="2"/>
      <c r="V182" s="6">
        <f t="shared" si="29"/>
        <v>4.0586578759598063E-2</v>
      </c>
      <c r="W182" s="2"/>
      <c r="X182" s="7">
        <f t="shared" si="30"/>
        <v>22558.83</v>
      </c>
      <c r="Y182" s="2"/>
      <c r="Z182" s="6">
        <f t="shared" si="31"/>
        <v>0.33388282798621954</v>
      </c>
    </row>
    <row r="183" spans="1:26" s="24" customFormat="1" hidden="1" outlineLevel="2" x14ac:dyDescent="0.25">
      <c r="A183" s="29"/>
      <c r="B183" s="11" t="str">
        <f>CONCATENATE("          ", "6006", " - ", "TEMPORARY PART TIME")</f>
        <v xml:space="preserve">          6006 - TEMPORARY PART TIME</v>
      </c>
      <c r="C183" s="11"/>
      <c r="D183" s="7">
        <v>13941.84</v>
      </c>
      <c r="E183" s="2"/>
      <c r="F183" s="6">
        <f t="shared" si="24"/>
        <v>9.2519309264224962E-3</v>
      </c>
      <c r="G183" s="2"/>
      <c r="H183" s="7">
        <v>15309.42</v>
      </c>
      <c r="I183" s="2"/>
      <c r="J183" s="6">
        <f t="shared" si="25"/>
        <v>9.1964178048961325E-3</v>
      </c>
      <c r="K183" s="2"/>
      <c r="L183" s="7">
        <f t="shared" si="26"/>
        <v>-1367.58</v>
      </c>
      <c r="M183" s="2"/>
      <c r="N183" s="6">
        <f t="shared" si="27"/>
        <v>-8.9329314892399578E-2</v>
      </c>
      <c r="O183" s="11"/>
      <c r="P183" s="7">
        <v>13941.84</v>
      </c>
      <c r="Q183" s="2"/>
      <c r="R183" s="6">
        <f t="shared" si="28"/>
        <v>9.2519309264224962E-3</v>
      </c>
      <c r="S183" s="2"/>
      <c r="T183" s="7">
        <v>15309.42</v>
      </c>
      <c r="U183" s="2"/>
      <c r="V183" s="6">
        <f t="shared" si="29"/>
        <v>9.1964178048961325E-3</v>
      </c>
      <c r="W183" s="2"/>
      <c r="X183" s="7">
        <f t="shared" si="30"/>
        <v>-1367.58</v>
      </c>
      <c r="Y183" s="2"/>
      <c r="Z183" s="6">
        <f t="shared" si="31"/>
        <v>-8.9329314892399578E-2</v>
      </c>
    </row>
    <row r="184" spans="1:26" s="24" customFormat="1" hidden="1" outlineLevel="2" x14ac:dyDescent="0.25">
      <c r="A184" s="29"/>
      <c r="B184" s="11" t="str">
        <f>CONCATENATE("          ", "6007", " - ", "STUDENT HOURLY")</f>
        <v xml:space="preserve">          6007 - STUDENT HOURLY</v>
      </c>
      <c r="C184" s="11"/>
      <c r="D184" s="7">
        <v>182277.38</v>
      </c>
      <c r="E184" s="2"/>
      <c r="F184" s="6">
        <f t="shared" si="24"/>
        <v>0.12096091543220017</v>
      </c>
      <c r="G184" s="2"/>
      <c r="H184" s="7">
        <v>162528.13</v>
      </c>
      <c r="I184" s="2"/>
      <c r="J184" s="6">
        <f t="shared" si="25"/>
        <v>9.7631170124568623E-2</v>
      </c>
      <c r="K184" s="2"/>
      <c r="L184" s="7">
        <f t="shared" si="26"/>
        <v>19749.25</v>
      </c>
      <c r="M184" s="2"/>
      <c r="N184" s="6">
        <f t="shared" si="27"/>
        <v>0.12151281135148727</v>
      </c>
      <c r="O184" s="11"/>
      <c r="P184" s="7">
        <v>182277.38</v>
      </c>
      <c r="Q184" s="2"/>
      <c r="R184" s="6">
        <f t="shared" si="28"/>
        <v>0.12096091543220017</v>
      </c>
      <c r="S184" s="2"/>
      <c r="T184" s="7">
        <v>162528.13</v>
      </c>
      <c r="U184" s="2"/>
      <c r="V184" s="6">
        <f t="shared" si="29"/>
        <v>9.7631170124568623E-2</v>
      </c>
      <c r="W184" s="2"/>
      <c r="X184" s="7">
        <f t="shared" si="30"/>
        <v>19749.25</v>
      </c>
      <c r="Y184" s="2"/>
      <c r="Z184" s="6">
        <f t="shared" si="31"/>
        <v>0.12151281135148727</v>
      </c>
    </row>
    <row r="185" spans="1:26" s="24" customFormat="1" hidden="1" outlineLevel="2" x14ac:dyDescent="0.25">
      <c r="A185" s="29"/>
      <c r="B185" s="11" t="str">
        <f>CONCATENATE("          ", "6008", " - ", "STUDENT HOURLY-FICA EXEMPT")</f>
        <v xml:space="preserve">          6008 - STUDENT HOURLY-FICA EXEMPT</v>
      </c>
      <c r="C185" s="11"/>
      <c r="D185" s="7">
        <v>12592.33</v>
      </c>
      <c r="E185" s="2"/>
      <c r="F185" s="6">
        <f t="shared" si="24"/>
        <v>8.3563839036108426E-3</v>
      </c>
      <c r="G185" s="2"/>
      <c r="H185" s="7">
        <v>9362.83</v>
      </c>
      <c r="I185" s="2"/>
      <c r="J185" s="6">
        <f t="shared" si="25"/>
        <v>5.6242820770620741E-3</v>
      </c>
      <c r="K185" s="2"/>
      <c r="L185" s="7">
        <f t="shared" si="26"/>
        <v>3229.5</v>
      </c>
      <c r="M185" s="2"/>
      <c r="N185" s="6">
        <f t="shared" si="27"/>
        <v>0.34492776222573729</v>
      </c>
      <c r="O185" s="11"/>
      <c r="P185" s="7">
        <v>12592.33</v>
      </c>
      <c r="Q185" s="2"/>
      <c r="R185" s="6">
        <f t="shared" si="28"/>
        <v>8.3563839036108426E-3</v>
      </c>
      <c r="S185" s="2"/>
      <c r="T185" s="7">
        <v>9362.83</v>
      </c>
      <c r="U185" s="2"/>
      <c r="V185" s="6">
        <f t="shared" si="29"/>
        <v>5.6242820770620741E-3</v>
      </c>
      <c r="W185" s="2"/>
      <c r="X185" s="7">
        <f t="shared" si="30"/>
        <v>3229.5</v>
      </c>
      <c r="Y185" s="2"/>
      <c r="Z185" s="6">
        <f t="shared" si="31"/>
        <v>0.34492776222573729</v>
      </c>
    </row>
    <row r="186" spans="1:26" s="28" customFormat="1" outlineLevel="1" collapsed="1" x14ac:dyDescent="0.25">
      <c r="A186" s="27"/>
      <c r="B186" s="14" t="str">
        <f>CONCATENATE("     ","Advertising/Promo                                 ")</f>
        <v xml:space="preserve">     Advertising/Promo                                 </v>
      </c>
      <c r="C186" s="14"/>
      <c r="D186" s="1">
        <f>SUM(OSRRefD22_2x_0)</f>
        <v>5207.8900000000003</v>
      </c>
      <c r="E186" s="1"/>
      <c r="F186" s="5">
        <f t="shared" ref="F186:F195" si="32">IF(D$12=0,0,D186/D$12)</f>
        <v>3.4560028340883601E-3</v>
      </c>
      <c r="G186" s="1"/>
      <c r="H186" s="1">
        <f>SUM(OSRRefH22_2x_0)</f>
        <v>11566.54</v>
      </c>
      <c r="I186" s="1"/>
      <c r="J186" s="5">
        <f t="shared" ref="J186:J195" si="33">IF(H$12=0,0,H186/H$12)</f>
        <v>6.9480577577101764E-3</v>
      </c>
      <c r="K186" s="1"/>
      <c r="L186" s="1">
        <f t="shared" ref="L186:L195" si="34">+D186-H186</f>
        <v>-6358.6500000000005</v>
      </c>
      <c r="M186" s="1"/>
      <c r="N186" s="5">
        <f t="shared" ref="N186:N195" si="35">IF(H186=0,0,L186/H186)</f>
        <v>-0.54974521334815774</v>
      </c>
      <c r="O186" s="14"/>
      <c r="P186" s="1">
        <f>SUM(OSRRefP22_2x_0)</f>
        <v>5207.8900000000003</v>
      </c>
      <c r="Q186" s="1"/>
      <c r="R186" s="5">
        <f t="shared" ref="R186:R195" si="36">IF(P$12=0,0,P186/P$12)</f>
        <v>3.4560028340883601E-3</v>
      </c>
      <c r="S186" s="1"/>
      <c r="T186" s="1">
        <f>SUM(OSRRefT22_2x_0)</f>
        <v>11566.54</v>
      </c>
      <c r="U186" s="1"/>
      <c r="V186" s="5">
        <f t="shared" ref="V186:V195" si="37">IF(T$12=0,0,T186/T$12)</f>
        <v>6.9480577577101764E-3</v>
      </c>
      <c r="W186" s="1"/>
      <c r="X186" s="1">
        <f t="shared" ref="X186:X195" si="38">+P186-T186</f>
        <v>-6358.6500000000005</v>
      </c>
      <c r="Y186" s="1"/>
      <c r="Z186" s="5">
        <f t="shared" ref="Z186:Z195" si="39">IF(T186=0,0,X186/T186)</f>
        <v>-0.54974521334815774</v>
      </c>
    </row>
    <row r="187" spans="1:26" s="24" customFormat="1" hidden="1" outlineLevel="2" x14ac:dyDescent="0.25">
      <c r="A187" s="29"/>
      <c r="B187" s="11" t="str">
        <f>CONCATENATE("          ", "6362", " - ", "ADVERTISING EXPENSE")</f>
        <v xml:space="preserve">          6362 - ADVERTISING EXPENSE</v>
      </c>
      <c r="C187" s="11"/>
      <c r="D187" s="7">
        <v>5207.8900000000003</v>
      </c>
      <c r="E187" s="2"/>
      <c r="F187" s="6">
        <f t="shared" si="32"/>
        <v>3.4560028340883601E-3</v>
      </c>
      <c r="G187" s="2"/>
      <c r="H187" s="7">
        <v>11566.54</v>
      </c>
      <c r="I187" s="2"/>
      <c r="J187" s="6">
        <f t="shared" si="33"/>
        <v>6.9480577577101764E-3</v>
      </c>
      <c r="K187" s="2"/>
      <c r="L187" s="7">
        <f t="shared" si="34"/>
        <v>-6358.6500000000005</v>
      </c>
      <c r="M187" s="2"/>
      <c r="N187" s="6">
        <f t="shared" si="35"/>
        <v>-0.54974521334815774</v>
      </c>
      <c r="O187" s="11"/>
      <c r="P187" s="7">
        <v>5207.8900000000003</v>
      </c>
      <c r="Q187" s="2"/>
      <c r="R187" s="6">
        <f t="shared" si="36"/>
        <v>3.4560028340883601E-3</v>
      </c>
      <c r="S187" s="2"/>
      <c r="T187" s="7">
        <v>11566.54</v>
      </c>
      <c r="U187" s="2"/>
      <c r="V187" s="6">
        <f t="shared" si="37"/>
        <v>6.9480577577101764E-3</v>
      </c>
      <c r="W187" s="2"/>
      <c r="X187" s="7">
        <f t="shared" si="38"/>
        <v>-6358.6500000000005</v>
      </c>
      <c r="Y187" s="2"/>
      <c r="Z187" s="6">
        <f t="shared" si="39"/>
        <v>-0.54974521334815774</v>
      </c>
    </row>
    <row r="188" spans="1:26" s="28" customFormat="1" outlineLevel="1" collapsed="1" x14ac:dyDescent="0.25">
      <c r="A188" s="27"/>
      <c r="B188" s="14" t="str">
        <f>CONCATENATE("     ","Bad Debts/Over/Short                              ")</f>
        <v xml:space="preserve">     Bad Debts/Over/Short                              </v>
      </c>
      <c r="C188" s="14"/>
      <c r="D188" s="1">
        <f>SUM(OSRRefD22_3x_0)</f>
        <v>-41.56</v>
      </c>
      <c r="E188" s="1"/>
      <c r="F188" s="5">
        <f t="shared" si="32"/>
        <v>-2.7579591309477011E-5</v>
      </c>
      <c r="G188" s="1"/>
      <c r="H188" s="1">
        <f>SUM(OSRRefH22_3x_0)</f>
        <v>-45.03</v>
      </c>
      <c r="I188" s="1"/>
      <c r="J188" s="5">
        <f t="shared" si="33"/>
        <v>-2.704966574530406E-5</v>
      </c>
      <c r="K188" s="1"/>
      <c r="L188" s="1">
        <f t="shared" si="34"/>
        <v>3.4699999999999989</v>
      </c>
      <c r="M188" s="1"/>
      <c r="N188" s="5">
        <f t="shared" si="35"/>
        <v>-7.7059737952476101E-2</v>
      </c>
      <c r="O188" s="14"/>
      <c r="P188" s="1">
        <f>SUM(OSRRefP22_3x_0)</f>
        <v>-41.56</v>
      </c>
      <c r="Q188" s="1"/>
      <c r="R188" s="5">
        <f t="shared" si="36"/>
        <v>-2.7579591309477011E-5</v>
      </c>
      <c r="S188" s="1"/>
      <c r="T188" s="1">
        <f>SUM(OSRRefT22_3x_0)</f>
        <v>-45.03</v>
      </c>
      <c r="U188" s="1"/>
      <c r="V188" s="5">
        <f t="shared" si="37"/>
        <v>-2.704966574530406E-5</v>
      </c>
      <c r="W188" s="1"/>
      <c r="X188" s="1">
        <f t="shared" si="38"/>
        <v>3.4699999999999989</v>
      </c>
      <c r="Y188" s="1"/>
      <c r="Z188" s="5">
        <f t="shared" si="39"/>
        <v>-7.7059737952476101E-2</v>
      </c>
    </row>
    <row r="189" spans="1:26" s="24" customFormat="1" hidden="1" outlineLevel="2" x14ac:dyDescent="0.25">
      <c r="A189" s="29"/>
      <c r="B189" s="11" t="str">
        <f>CONCATENATE("          ", "6272", " - ", "CASH (OVER/SHORT)")</f>
        <v xml:space="preserve">          6272 - CASH (OVER/SHORT)</v>
      </c>
      <c r="C189" s="11"/>
      <c r="D189" s="7">
        <v>-41.56</v>
      </c>
      <c r="E189" s="2"/>
      <c r="F189" s="6">
        <f t="shared" si="32"/>
        <v>-2.7579591309477011E-5</v>
      </c>
      <c r="G189" s="2"/>
      <c r="H189" s="7">
        <v>-45.03</v>
      </c>
      <c r="I189" s="2"/>
      <c r="J189" s="6">
        <f t="shared" si="33"/>
        <v>-2.704966574530406E-5</v>
      </c>
      <c r="K189" s="2"/>
      <c r="L189" s="7">
        <f t="shared" si="34"/>
        <v>3.4699999999999989</v>
      </c>
      <c r="M189" s="2"/>
      <c r="N189" s="6">
        <f t="shared" si="35"/>
        <v>-7.7059737952476101E-2</v>
      </c>
      <c r="O189" s="11"/>
      <c r="P189" s="7">
        <v>-41.56</v>
      </c>
      <c r="Q189" s="2"/>
      <c r="R189" s="6">
        <f t="shared" si="36"/>
        <v>-2.7579591309477011E-5</v>
      </c>
      <c r="S189" s="2"/>
      <c r="T189" s="7">
        <v>-45.03</v>
      </c>
      <c r="U189" s="2"/>
      <c r="V189" s="6">
        <f t="shared" si="37"/>
        <v>-2.704966574530406E-5</v>
      </c>
      <c r="W189" s="2"/>
      <c r="X189" s="7">
        <f t="shared" si="38"/>
        <v>3.4699999999999989</v>
      </c>
      <c r="Y189" s="2"/>
      <c r="Z189" s="6">
        <f t="shared" si="39"/>
        <v>-7.7059737952476101E-2</v>
      </c>
    </row>
    <row r="190" spans="1:26" s="28" customFormat="1" outlineLevel="1" collapsed="1" x14ac:dyDescent="0.25">
      <c r="A190" s="27"/>
      <c r="B190" s="14" t="str">
        <f>CONCATENATE("     ","Bank/card Fees                                    ")</f>
        <v xml:space="preserve">     Bank/card Fees                                    </v>
      </c>
      <c r="C190" s="14"/>
      <c r="D190" s="1">
        <f>SUM(OSRRefD22_4x_0)</f>
        <v>12197.69</v>
      </c>
      <c r="E190" s="1"/>
      <c r="F190" s="5">
        <f t="shared" si="32"/>
        <v>8.0944972357963104E-3</v>
      </c>
      <c r="G190" s="1"/>
      <c r="H190" s="1">
        <f>SUM(OSRRefH22_4x_0)</f>
        <v>12981.34</v>
      </c>
      <c r="I190" s="1"/>
      <c r="J190" s="5">
        <f t="shared" si="33"/>
        <v>7.7979326654706946E-3</v>
      </c>
      <c r="K190" s="1"/>
      <c r="L190" s="1">
        <f t="shared" si="34"/>
        <v>-783.64999999999964</v>
      </c>
      <c r="M190" s="1"/>
      <c r="N190" s="5">
        <f t="shared" si="35"/>
        <v>-6.0367419696271699E-2</v>
      </c>
      <c r="O190" s="14"/>
      <c r="P190" s="1">
        <f>SUM(OSRRefP22_4x_0)</f>
        <v>12197.69</v>
      </c>
      <c r="Q190" s="1"/>
      <c r="R190" s="5">
        <f t="shared" si="36"/>
        <v>8.0944972357963104E-3</v>
      </c>
      <c r="S190" s="1"/>
      <c r="T190" s="1">
        <f>SUM(OSRRefT22_4x_0)</f>
        <v>12981.34</v>
      </c>
      <c r="U190" s="1"/>
      <c r="V190" s="5">
        <f t="shared" si="37"/>
        <v>7.7979326654706946E-3</v>
      </c>
      <c r="W190" s="1"/>
      <c r="X190" s="1">
        <f t="shared" si="38"/>
        <v>-783.64999999999964</v>
      </c>
      <c r="Y190" s="1"/>
      <c r="Z190" s="5">
        <f t="shared" si="39"/>
        <v>-6.0367419696271699E-2</v>
      </c>
    </row>
    <row r="191" spans="1:26" s="24" customFormat="1" hidden="1" outlineLevel="2" x14ac:dyDescent="0.25">
      <c r="A191" s="29"/>
      <c r="B191" s="11" t="str">
        <f>CONCATENATE("          ", "6381", " - ", "BANK/CREDIT CARD FEES")</f>
        <v xml:space="preserve">          6381 - BANK/CREDIT CARD FEES</v>
      </c>
      <c r="C191" s="11"/>
      <c r="D191" s="7">
        <v>12197.69</v>
      </c>
      <c r="E191" s="2"/>
      <c r="F191" s="6">
        <f t="shared" si="32"/>
        <v>8.0944972357963104E-3</v>
      </c>
      <c r="G191" s="2"/>
      <c r="H191" s="7">
        <v>12981.34</v>
      </c>
      <c r="I191" s="2"/>
      <c r="J191" s="6">
        <f t="shared" si="33"/>
        <v>7.7979326654706946E-3</v>
      </c>
      <c r="K191" s="2"/>
      <c r="L191" s="7">
        <f t="shared" si="34"/>
        <v>-783.64999999999964</v>
      </c>
      <c r="M191" s="2"/>
      <c r="N191" s="6">
        <f t="shared" si="35"/>
        <v>-6.0367419696271699E-2</v>
      </c>
      <c r="O191" s="11"/>
      <c r="P191" s="7">
        <v>12197.69</v>
      </c>
      <c r="Q191" s="2"/>
      <c r="R191" s="6">
        <f t="shared" si="36"/>
        <v>8.0944972357963104E-3</v>
      </c>
      <c r="S191" s="2"/>
      <c r="T191" s="7">
        <v>12981.34</v>
      </c>
      <c r="U191" s="2"/>
      <c r="V191" s="6">
        <f t="shared" si="37"/>
        <v>7.7979326654706946E-3</v>
      </c>
      <c r="W191" s="2"/>
      <c r="X191" s="7">
        <f t="shared" si="38"/>
        <v>-783.64999999999964</v>
      </c>
      <c r="Y191" s="2"/>
      <c r="Z191" s="6">
        <f t="shared" si="39"/>
        <v>-6.0367419696271699E-2</v>
      </c>
    </row>
    <row r="192" spans="1:26" s="28" customFormat="1" outlineLevel="1" collapsed="1" x14ac:dyDescent="0.25">
      <c r="A192" s="27"/>
      <c r="B192" s="14" t="str">
        <f>CONCATENATE("     ","Depreciation                                      ")</f>
        <v xml:space="preserve">     Depreciation                                      </v>
      </c>
      <c r="C192" s="14"/>
      <c r="D192" s="1">
        <f>SUM(OSRRefD22_5x_0)</f>
        <v>77862.400000000009</v>
      </c>
      <c r="E192" s="1"/>
      <c r="F192" s="5">
        <f t="shared" si="32"/>
        <v>5.1670191779957242E-2</v>
      </c>
      <c r="G192" s="1"/>
      <c r="H192" s="1">
        <f>SUM(OSRRefH22_5x_0)</f>
        <v>79743.8</v>
      </c>
      <c r="I192" s="1"/>
      <c r="J192" s="5">
        <f t="shared" si="33"/>
        <v>4.7902356990015056E-2</v>
      </c>
      <c r="K192" s="1"/>
      <c r="L192" s="1">
        <f t="shared" si="34"/>
        <v>-1881.3999999999942</v>
      </c>
      <c r="M192" s="1"/>
      <c r="N192" s="5">
        <f t="shared" si="35"/>
        <v>-2.3593056764287558E-2</v>
      </c>
      <c r="O192" s="14"/>
      <c r="P192" s="1">
        <f>SUM(OSRRefP22_5x_0)</f>
        <v>77862.400000000009</v>
      </c>
      <c r="Q192" s="1"/>
      <c r="R192" s="5">
        <f t="shared" si="36"/>
        <v>5.1670191779957242E-2</v>
      </c>
      <c r="S192" s="1"/>
      <c r="T192" s="1">
        <f>SUM(OSRRefT22_5x_0)</f>
        <v>79743.8</v>
      </c>
      <c r="U192" s="1"/>
      <c r="V192" s="5">
        <f t="shared" si="37"/>
        <v>4.7902356990015056E-2</v>
      </c>
      <c r="W192" s="1"/>
      <c r="X192" s="1">
        <f t="shared" si="38"/>
        <v>-1881.3999999999942</v>
      </c>
      <c r="Y192" s="1"/>
      <c r="Z192" s="5">
        <f t="shared" si="39"/>
        <v>-2.3593056764287558E-2</v>
      </c>
    </row>
    <row r="193" spans="1:26" s="24" customFormat="1" hidden="1" outlineLevel="2" x14ac:dyDescent="0.25">
      <c r="A193" s="29"/>
      <c r="B193" s="11" t="str">
        <f>CONCATENATE("          ", "6321", " - ", "BUILDING DEPRECIATION")</f>
        <v xml:space="preserve">          6321 - BUILDING DEPRECIATION</v>
      </c>
      <c r="C193" s="11"/>
      <c r="D193" s="7">
        <v>45519.990000000005</v>
      </c>
      <c r="E193" s="2"/>
      <c r="F193" s="6">
        <f t="shared" si="32"/>
        <v>3.0207476434347465E-2</v>
      </c>
      <c r="G193" s="2"/>
      <c r="H193" s="7">
        <v>49375.020000000004</v>
      </c>
      <c r="I193" s="2"/>
      <c r="J193" s="6">
        <f t="shared" si="33"/>
        <v>2.9659733226020495E-2</v>
      </c>
      <c r="K193" s="2"/>
      <c r="L193" s="7">
        <f t="shared" si="34"/>
        <v>-3855.0299999999988</v>
      </c>
      <c r="M193" s="2"/>
      <c r="N193" s="6">
        <f t="shared" si="35"/>
        <v>-7.8076525336090968E-2</v>
      </c>
      <c r="O193" s="11"/>
      <c r="P193" s="7">
        <v>45519.990000000005</v>
      </c>
      <c r="Q193" s="2"/>
      <c r="R193" s="6">
        <f t="shared" si="36"/>
        <v>3.0207476434347465E-2</v>
      </c>
      <c r="S193" s="2"/>
      <c r="T193" s="7">
        <v>49375.020000000004</v>
      </c>
      <c r="U193" s="2"/>
      <c r="V193" s="6">
        <f t="shared" si="37"/>
        <v>2.9659733226020495E-2</v>
      </c>
      <c r="W193" s="2"/>
      <c r="X193" s="7">
        <f t="shared" si="38"/>
        <v>-3855.0299999999988</v>
      </c>
      <c r="Y193" s="2"/>
      <c r="Z193" s="6">
        <f t="shared" si="39"/>
        <v>-7.8076525336090968E-2</v>
      </c>
    </row>
    <row r="194" spans="1:26" s="24" customFormat="1" hidden="1" outlineLevel="2" x14ac:dyDescent="0.25">
      <c r="A194" s="29"/>
      <c r="B194" s="11" t="str">
        <f>CONCATENATE("          ", "6322", " - ", "EQUIPMENT DEPRECIATION EXPENSE")</f>
        <v xml:space="preserve">          6322 - EQUIPMENT DEPRECIATION EXPENSE</v>
      </c>
      <c r="C194" s="11"/>
      <c r="D194" s="7">
        <v>31918.16</v>
      </c>
      <c r="E194" s="2"/>
      <c r="F194" s="6">
        <f t="shared" si="32"/>
        <v>2.1181179214400787E-2</v>
      </c>
      <c r="G194" s="2"/>
      <c r="H194" s="7">
        <v>29944.53</v>
      </c>
      <c r="I194" s="2"/>
      <c r="J194" s="6">
        <f t="shared" si="33"/>
        <v>1.7987775425277141E-2</v>
      </c>
      <c r="K194" s="2"/>
      <c r="L194" s="7">
        <f t="shared" si="34"/>
        <v>1973.630000000001</v>
      </c>
      <c r="M194" s="2"/>
      <c r="N194" s="6">
        <f t="shared" si="35"/>
        <v>6.5909533393912048E-2</v>
      </c>
      <c r="O194" s="11"/>
      <c r="P194" s="7">
        <v>31918.16</v>
      </c>
      <c r="Q194" s="2"/>
      <c r="R194" s="6">
        <f t="shared" si="36"/>
        <v>2.1181179214400787E-2</v>
      </c>
      <c r="S194" s="2"/>
      <c r="T194" s="7">
        <v>29944.53</v>
      </c>
      <c r="U194" s="2"/>
      <c r="V194" s="6">
        <f t="shared" si="37"/>
        <v>1.7987775425277141E-2</v>
      </c>
      <c r="W194" s="2"/>
      <c r="X194" s="7">
        <f t="shared" si="38"/>
        <v>1973.630000000001</v>
      </c>
      <c r="Y194" s="2"/>
      <c r="Z194" s="6">
        <f t="shared" si="39"/>
        <v>6.5909533393912048E-2</v>
      </c>
    </row>
    <row r="195" spans="1:26" s="24" customFormat="1" hidden="1" outlineLevel="2" x14ac:dyDescent="0.25">
      <c r="A195" s="29"/>
      <c r="B195" s="11" t="str">
        <f>CONCATENATE("          ", "6326", " - ", "VEHICLES DEPRECIATION EXPENSE")</f>
        <v xml:space="preserve">          6326 - VEHICLES DEPRECIATION EXPENSE</v>
      </c>
      <c r="C195" s="11"/>
      <c r="D195" s="7">
        <v>424.25</v>
      </c>
      <c r="E195" s="2"/>
      <c r="F195" s="6">
        <f t="shared" si="32"/>
        <v>2.8153613120898994E-4</v>
      </c>
      <c r="G195" s="2"/>
      <c r="H195" s="7">
        <v>424.25</v>
      </c>
      <c r="I195" s="2"/>
      <c r="J195" s="6">
        <f t="shared" si="33"/>
        <v>2.548483387174161E-4</v>
      </c>
      <c r="K195" s="2"/>
      <c r="L195" s="7">
        <f t="shared" si="34"/>
        <v>0</v>
      </c>
      <c r="M195" s="2"/>
      <c r="N195" s="6">
        <f t="shared" si="35"/>
        <v>0</v>
      </c>
      <c r="O195" s="11"/>
      <c r="P195" s="7">
        <v>424.25</v>
      </c>
      <c r="Q195" s="2"/>
      <c r="R195" s="6">
        <f t="shared" si="36"/>
        <v>2.8153613120898994E-4</v>
      </c>
      <c r="S195" s="2"/>
      <c r="T195" s="7">
        <v>424.25</v>
      </c>
      <c r="U195" s="2"/>
      <c r="V195" s="6">
        <f t="shared" si="37"/>
        <v>2.548483387174161E-4</v>
      </c>
      <c r="W195" s="2"/>
      <c r="X195" s="7">
        <f t="shared" si="38"/>
        <v>0</v>
      </c>
      <c r="Y195" s="2"/>
      <c r="Z195" s="6">
        <f t="shared" si="39"/>
        <v>0</v>
      </c>
    </row>
    <row r="196" spans="1:26" s="28" customFormat="1" outlineLevel="1" collapsed="1" x14ac:dyDescent="0.25">
      <c r="A196" s="27"/>
      <c r="B196" s="14" t="str">
        <f>CONCATENATE("     ","Discounts and Markdowns                           ")</f>
        <v xml:space="preserve">     Discounts and Markdowns                           </v>
      </c>
      <c r="C196" s="14"/>
      <c r="D196" s="1">
        <f>SUM(OSRRefD22_6x_0)</f>
        <v>37407.770000000004</v>
      </c>
      <c r="E196" s="1"/>
      <c r="F196" s="5">
        <f t="shared" ref="F196:F198" si="40">IF(D$12=0,0,D196/D$12)</f>
        <v>2.4824133984574469E-2</v>
      </c>
      <c r="G196" s="1"/>
      <c r="H196" s="1">
        <f>SUM(OSRRefH22_6x_0)</f>
        <v>30015.059999999998</v>
      </c>
      <c r="I196" s="1"/>
      <c r="J196" s="5">
        <f t="shared" ref="J196:J198" si="41">IF(H$12=0,0,H196/H$12)</f>
        <v>1.803014302299014E-2</v>
      </c>
      <c r="K196" s="1"/>
      <c r="L196" s="1">
        <f t="shared" ref="L196:L198" si="42">+D196-H196</f>
        <v>7392.7100000000064</v>
      </c>
      <c r="M196" s="1"/>
      <c r="N196" s="5">
        <f t="shared" ref="N196:N198" si="43">IF(H196=0,0,L196/H196)</f>
        <v>0.2463000240545915</v>
      </c>
      <c r="O196" s="14"/>
      <c r="P196" s="1">
        <f>SUM(OSRRefP22_6x_0)</f>
        <v>37407.770000000004</v>
      </c>
      <c r="Q196" s="1"/>
      <c r="R196" s="5">
        <f t="shared" ref="R196:R198" si="44">IF(P$12=0,0,P196/P$12)</f>
        <v>2.4824133984574469E-2</v>
      </c>
      <c r="S196" s="1"/>
      <c r="T196" s="1">
        <f>SUM(OSRRefT22_6x_0)</f>
        <v>30015.059999999998</v>
      </c>
      <c r="U196" s="1"/>
      <c r="V196" s="5">
        <f t="shared" ref="V196:V198" si="45">IF(T$12=0,0,T196/T$12)</f>
        <v>1.803014302299014E-2</v>
      </c>
      <c r="W196" s="1"/>
      <c r="X196" s="1">
        <f t="shared" ref="X196:X198" si="46">+P196-T196</f>
        <v>7392.7100000000064</v>
      </c>
      <c r="Y196" s="1"/>
      <c r="Z196" s="5">
        <f t="shared" ref="Z196:Z198" si="47">IF(T196=0,0,X196/T196)</f>
        <v>0.2463000240545915</v>
      </c>
    </row>
    <row r="197" spans="1:26" s="24" customFormat="1" hidden="1" outlineLevel="2" x14ac:dyDescent="0.25">
      <c r="A197" s="29"/>
      <c r="B197" s="11" t="str">
        <f>CONCATENATE("          ", "6382", " - ", "DISCOUNTS/MARK DOWNS")</f>
        <v xml:space="preserve">          6382 - DISCOUNTS/MARK DOWNS</v>
      </c>
      <c r="C197" s="11"/>
      <c r="D197" s="7">
        <v>37851.480000000003</v>
      </c>
      <c r="E197" s="2"/>
      <c r="F197" s="6">
        <f t="shared" si="40"/>
        <v>2.5118583947517877E-2</v>
      </c>
      <c r="G197" s="2"/>
      <c r="H197" s="7">
        <v>30925.219999999998</v>
      </c>
      <c r="I197" s="2"/>
      <c r="J197" s="6">
        <f t="shared" si="41"/>
        <v>1.8576879060626071E-2</v>
      </c>
      <c r="K197" s="2"/>
      <c r="L197" s="7">
        <f t="shared" si="42"/>
        <v>6926.2600000000057</v>
      </c>
      <c r="M197" s="2"/>
      <c r="N197" s="6">
        <f t="shared" si="43"/>
        <v>0.2239680105751877</v>
      </c>
      <c r="O197" s="11"/>
      <c r="P197" s="7">
        <v>37851.480000000003</v>
      </c>
      <c r="Q197" s="2"/>
      <c r="R197" s="6">
        <f t="shared" si="44"/>
        <v>2.5118583947517877E-2</v>
      </c>
      <c r="S197" s="2"/>
      <c r="T197" s="7">
        <v>30925.219999999998</v>
      </c>
      <c r="U197" s="2"/>
      <c r="V197" s="6">
        <f t="shared" si="45"/>
        <v>1.8576879060626071E-2</v>
      </c>
      <c r="W197" s="2"/>
      <c r="X197" s="7">
        <f t="shared" si="46"/>
        <v>6926.2600000000057</v>
      </c>
      <c r="Y197" s="2"/>
      <c r="Z197" s="6">
        <f t="shared" si="47"/>
        <v>0.2239680105751877</v>
      </c>
    </row>
    <row r="198" spans="1:26" s="24" customFormat="1" hidden="1" outlineLevel="2" x14ac:dyDescent="0.25">
      <c r="A198" s="29"/>
      <c r="B198" s="11" t="str">
        <f>CONCATENATE("          ", "9175", " - ", "EARNED DISCOUNTS")</f>
        <v xml:space="preserve">          9175 - EARNED DISCOUNTS</v>
      </c>
      <c r="C198" s="11"/>
      <c r="D198" s="7">
        <v>-443.71</v>
      </c>
      <c r="E198" s="2"/>
      <c r="F198" s="6">
        <f t="shared" si="40"/>
        <v>-2.9444996294340818E-4</v>
      </c>
      <c r="G198" s="2"/>
      <c r="H198" s="7">
        <v>-910.16</v>
      </c>
      <c r="I198" s="2"/>
      <c r="J198" s="6">
        <f t="shared" si="41"/>
        <v>-5.4673603763593032E-4</v>
      </c>
      <c r="K198" s="2"/>
      <c r="L198" s="7">
        <f t="shared" si="42"/>
        <v>466.45</v>
      </c>
      <c r="M198" s="2"/>
      <c r="N198" s="6">
        <f t="shared" si="43"/>
        <v>-0.51249230904456355</v>
      </c>
      <c r="O198" s="11"/>
      <c r="P198" s="7">
        <v>-443.71</v>
      </c>
      <c r="Q198" s="2"/>
      <c r="R198" s="6">
        <f t="shared" si="44"/>
        <v>-2.9444996294340818E-4</v>
      </c>
      <c r="S198" s="2"/>
      <c r="T198" s="7">
        <v>-910.16</v>
      </c>
      <c r="U198" s="2"/>
      <c r="V198" s="6">
        <f t="shared" si="45"/>
        <v>-5.4673603763593032E-4</v>
      </c>
      <c r="W198" s="2"/>
      <c r="X198" s="7">
        <f t="shared" si="46"/>
        <v>466.45</v>
      </c>
      <c r="Y198" s="2"/>
      <c r="Z198" s="6">
        <f t="shared" si="47"/>
        <v>-0.51249230904456355</v>
      </c>
    </row>
    <row r="199" spans="1:26" s="28" customFormat="1" outlineLevel="1" collapsed="1" x14ac:dyDescent="0.25">
      <c r="A199" s="27"/>
      <c r="B199" s="14" t="str">
        <f>CONCATENATE("     ","Donations                                         ")</f>
        <v xml:space="preserve">     Donations                                         </v>
      </c>
      <c r="C199" s="14"/>
      <c r="D199" s="1">
        <f>SUM(OSRRefD22_7x_0)</f>
        <v>925.42</v>
      </c>
      <c r="E199" s="1"/>
      <c r="F199" s="5">
        <f t="shared" ref="F199:F207" si="48">IF(D$12=0,0,D199/D$12)</f>
        <v>6.1411706904755084E-4</v>
      </c>
      <c r="G199" s="1"/>
      <c r="H199" s="1">
        <f>SUM(OSRRefH22_7x_0)</f>
        <v>1436.21</v>
      </c>
      <c r="I199" s="1"/>
      <c r="J199" s="5">
        <f t="shared" ref="J199:J207" si="49">IF(H$12=0,0,H199/H$12)</f>
        <v>8.6273596358123791E-4</v>
      </c>
      <c r="K199" s="1"/>
      <c r="L199" s="1">
        <f t="shared" ref="L199:L207" si="50">+D199-H199</f>
        <v>-510.79000000000008</v>
      </c>
      <c r="M199" s="1"/>
      <c r="N199" s="5">
        <f t="shared" ref="N199:N207" si="51">IF(H199=0,0,L199/H199)</f>
        <v>-0.35565133232605262</v>
      </c>
      <c r="O199" s="14"/>
      <c r="P199" s="1">
        <f>SUM(OSRRefP22_7x_0)</f>
        <v>925.42</v>
      </c>
      <c r="Q199" s="1"/>
      <c r="R199" s="5">
        <f t="shared" ref="R199:R207" si="52">IF(P$12=0,0,P199/P$12)</f>
        <v>6.1411706904755084E-4</v>
      </c>
      <c r="S199" s="1"/>
      <c r="T199" s="1">
        <f>SUM(OSRRefT22_7x_0)</f>
        <v>1436.21</v>
      </c>
      <c r="U199" s="1"/>
      <c r="V199" s="5">
        <f t="shared" ref="V199:V207" si="53">IF(T$12=0,0,T199/T$12)</f>
        <v>8.6273596358123791E-4</v>
      </c>
      <c r="W199" s="1"/>
      <c r="X199" s="1">
        <f t="shared" ref="X199:X207" si="54">+P199-T199</f>
        <v>-510.79000000000008</v>
      </c>
      <c r="Y199" s="1"/>
      <c r="Z199" s="5">
        <f t="shared" ref="Z199:Z207" si="55">IF(T199=0,0,X199/T199)</f>
        <v>-0.35565133232605262</v>
      </c>
    </row>
    <row r="200" spans="1:26" s="24" customFormat="1" hidden="1" outlineLevel="2" x14ac:dyDescent="0.25">
      <c r="A200" s="29"/>
      <c r="B200" s="11" t="str">
        <f>CONCATENATE("          ", "6399", " - ", "DONATION-ON CAMPUS")</f>
        <v xml:space="preserve">          6399 - DONATION-ON CAMPUS</v>
      </c>
      <c r="C200" s="11"/>
      <c r="D200" s="7">
        <v>925.42</v>
      </c>
      <c r="E200" s="2"/>
      <c r="F200" s="6">
        <f t="shared" si="48"/>
        <v>6.1411706904755084E-4</v>
      </c>
      <c r="G200" s="2"/>
      <c r="H200" s="7">
        <v>1436.21</v>
      </c>
      <c r="I200" s="2"/>
      <c r="J200" s="6">
        <f t="shared" si="49"/>
        <v>8.6273596358123791E-4</v>
      </c>
      <c r="K200" s="2"/>
      <c r="L200" s="7">
        <f t="shared" si="50"/>
        <v>-510.79000000000008</v>
      </c>
      <c r="M200" s="2"/>
      <c r="N200" s="6">
        <f t="shared" si="51"/>
        <v>-0.35565133232605262</v>
      </c>
      <c r="O200" s="11"/>
      <c r="P200" s="7">
        <v>925.42</v>
      </c>
      <c r="Q200" s="2"/>
      <c r="R200" s="6">
        <f t="shared" si="52"/>
        <v>6.1411706904755084E-4</v>
      </c>
      <c r="S200" s="2"/>
      <c r="T200" s="7">
        <v>1436.21</v>
      </c>
      <c r="U200" s="2"/>
      <c r="V200" s="6">
        <f t="shared" si="53"/>
        <v>8.6273596358123791E-4</v>
      </c>
      <c r="W200" s="2"/>
      <c r="X200" s="7">
        <f t="shared" si="54"/>
        <v>-510.79000000000008</v>
      </c>
      <c r="Y200" s="2"/>
      <c r="Z200" s="6">
        <f t="shared" si="55"/>
        <v>-0.35565133232605262</v>
      </c>
    </row>
    <row r="201" spans="1:26" s="28" customFormat="1" outlineLevel="1" collapsed="1" x14ac:dyDescent="0.25">
      <c r="A201" s="27"/>
      <c r="B201" s="14" t="str">
        <f>CONCATENATE("     ","Employees' Appreciation                           ")</f>
        <v xml:space="preserve">     Employees' Appreciation                           </v>
      </c>
      <c r="C201" s="14"/>
      <c r="D201" s="1">
        <f>SUM(OSRRefD22_8x_0)</f>
        <v>503.3</v>
      </c>
      <c r="E201" s="1"/>
      <c r="F201" s="5">
        <f t="shared" si="48"/>
        <v>3.3399442507362317E-4</v>
      </c>
      <c r="G201" s="1"/>
      <c r="H201" s="1">
        <f>SUM(OSRRefH22_8x_0)</f>
        <v>455.13</v>
      </c>
      <c r="I201" s="1"/>
      <c r="J201" s="5">
        <f t="shared" si="49"/>
        <v>2.733980539786861E-4</v>
      </c>
      <c r="K201" s="1"/>
      <c r="L201" s="1">
        <f t="shared" si="50"/>
        <v>48.170000000000016</v>
      </c>
      <c r="M201" s="1"/>
      <c r="N201" s="5">
        <f t="shared" si="51"/>
        <v>0.10583789247028325</v>
      </c>
      <c r="O201" s="14"/>
      <c r="P201" s="1">
        <f>SUM(OSRRefP22_8x_0)</f>
        <v>503.3</v>
      </c>
      <c r="Q201" s="1"/>
      <c r="R201" s="5">
        <f t="shared" si="52"/>
        <v>3.3399442507362317E-4</v>
      </c>
      <c r="S201" s="1"/>
      <c r="T201" s="1">
        <f>SUM(OSRRefT22_8x_0)</f>
        <v>455.13</v>
      </c>
      <c r="U201" s="1"/>
      <c r="V201" s="5">
        <f t="shared" si="53"/>
        <v>2.733980539786861E-4</v>
      </c>
      <c r="W201" s="1"/>
      <c r="X201" s="1">
        <f t="shared" si="54"/>
        <v>48.170000000000016</v>
      </c>
      <c r="Y201" s="1"/>
      <c r="Z201" s="5">
        <f t="shared" si="55"/>
        <v>0.10583789247028325</v>
      </c>
    </row>
    <row r="202" spans="1:26" s="24" customFormat="1" hidden="1" outlineLevel="2" x14ac:dyDescent="0.25">
      <c r="A202" s="29"/>
      <c r="B202" s="11" t="str">
        <f>CONCATENATE("          ", "6277", " - ", "EMPLOYEE APPRECIATION")</f>
        <v xml:space="preserve">          6277 - EMPLOYEE APPRECIATION</v>
      </c>
      <c r="C202" s="11"/>
      <c r="D202" s="7">
        <v>503.3</v>
      </c>
      <c r="E202" s="2"/>
      <c r="F202" s="6">
        <f t="shared" si="48"/>
        <v>3.3399442507362317E-4</v>
      </c>
      <c r="G202" s="2"/>
      <c r="H202" s="7">
        <v>455.13</v>
      </c>
      <c r="I202" s="2"/>
      <c r="J202" s="6">
        <f t="shared" si="49"/>
        <v>2.733980539786861E-4</v>
      </c>
      <c r="K202" s="2"/>
      <c r="L202" s="7">
        <f t="shared" si="50"/>
        <v>48.170000000000016</v>
      </c>
      <c r="M202" s="2"/>
      <c r="N202" s="6">
        <f t="shared" si="51"/>
        <v>0.10583789247028325</v>
      </c>
      <c r="O202" s="11"/>
      <c r="P202" s="7">
        <v>503.3</v>
      </c>
      <c r="Q202" s="2"/>
      <c r="R202" s="6">
        <f t="shared" si="52"/>
        <v>3.3399442507362317E-4</v>
      </c>
      <c r="S202" s="2"/>
      <c r="T202" s="7">
        <v>455.13</v>
      </c>
      <c r="U202" s="2"/>
      <c r="V202" s="6">
        <f t="shared" si="53"/>
        <v>2.733980539786861E-4</v>
      </c>
      <c r="W202" s="2"/>
      <c r="X202" s="7">
        <f t="shared" si="54"/>
        <v>48.170000000000016</v>
      </c>
      <c r="Y202" s="2"/>
      <c r="Z202" s="6">
        <f t="shared" si="55"/>
        <v>0.10583789247028325</v>
      </c>
    </row>
    <row r="203" spans="1:26" s="28" customFormat="1" outlineLevel="1" collapsed="1" x14ac:dyDescent="0.25">
      <c r="A203" s="27"/>
      <c r="B203" s="14" t="str">
        <f>CONCATENATE("     ","Equipment Rental                                  ")</f>
        <v xml:space="preserve">     Equipment Rental                                  </v>
      </c>
      <c r="C203" s="14"/>
      <c r="D203" s="1">
        <f>SUM(OSRRefD22_9x_0)</f>
        <v>3233.01</v>
      </c>
      <c r="E203" s="1"/>
      <c r="F203" s="5">
        <f t="shared" si="48"/>
        <v>2.1454546318443761E-3</v>
      </c>
      <c r="G203" s="1"/>
      <c r="H203" s="1">
        <f>SUM(OSRRefH22_9x_0)</f>
        <v>6051.97</v>
      </c>
      <c r="I203" s="1"/>
      <c r="J203" s="5">
        <f t="shared" si="49"/>
        <v>3.6354378325695715E-3</v>
      </c>
      <c r="K203" s="1"/>
      <c r="L203" s="1">
        <f t="shared" si="50"/>
        <v>-2818.96</v>
      </c>
      <c r="M203" s="1"/>
      <c r="N203" s="5">
        <f t="shared" si="51"/>
        <v>-0.46579213049635076</v>
      </c>
      <c r="O203" s="14"/>
      <c r="P203" s="1">
        <f>SUM(OSRRefP22_9x_0)</f>
        <v>3233.01</v>
      </c>
      <c r="Q203" s="1"/>
      <c r="R203" s="5">
        <f t="shared" si="52"/>
        <v>2.1454546318443761E-3</v>
      </c>
      <c r="S203" s="1"/>
      <c r="T203" s="1">
        <f>SUM(OSRRefT22_9x_0)</f>
        <v>6051.97</v>
      </c>
      <c r="U203" s="1"/>
      <c r="V203" s="5">
        <f t="shared" si="53"/>
        <v>3.6354378325695715E-3</v>
      </c>
      <c r="W203" s="1"/>
      <c r="X203" s="1">
        <f t="shared" si="54"/>
        <v>-2818.96</v>
      </c>
      <c r="Y203" s="1"/>
      <c r="Z203" s="5">
        <f t="shared" si="55"/>
        <v>-0.46579213049635076</v>
      </c>
    </row>
    <row r="204" spans="1:26" s="24" customFormat="1" hidden="1" outlineLevel="2" x14ac:dyDescent="0.25">
      <c r="A204" s="29"/>
      <c r="B204" s="11" t="str">
        <f>CONCATENATE("          ", "6351", " - ", "EQUIPMENT RENTAL")</f>
        <v xml:space="preserve">          6351 - EQUIPMENT RENTAL</v>
      </c>
      <c r="C204" s="11"/>
      <c r="D204" s="7">
        <v>3233.01</v>
      </c>
      <c r="E204" s="2"/>
      <c r="F204" s="6">
        <f t="shared" si="48"/>
        <v>2.1454546318443761E-3</v>
      </c>
      <c r="G204" s="2"/>
      <c r="H204" s="7">
        <v>6051.97</v>
      </c>
      <c r="I204" s="2"/>
      <c r="J204" s="6">
        <f t="shared" si="49"/>
        <v>3.6354378325695715E-3</v>
      </c>
      <c r="K204" s="2"/>
      <c r="L204" s="7">
        <f t="shared" si="50"/>
        <v>-2818.96</v>
      </c>
      <c r="M204" s="2"/>
      <c r="N204" s="6">
        <f t="shared" si="51"/>
        <v>-0.46579213049635076</v>
      </c>
      <c r="O204" s="11"/>
      <c r="P204" s="7">
        <v>3233.01</v>
      </c>
      <c r="Q204" s="2"/>
      <c r="R204" s="6">
        <f t="shared" si="52"/>
        <v>2.1454546318443761E-3</v>
      </c>
      <c r="S204" s="2"/>
      <c r="T204" s="7">
        <v>6051.97</v>
      </c>
      <c r="U204" s="2"/>
      <c r="V204" s="6">
        <f t="shared" si="53"/>
        <v>3.6354378325695715E-3</v>
      </c>
      <c r="W204" s="2"/>
      <c r="X204" s="7">
        <f t="shared" si="54"/>
        <v>-2818.96</v>
      </c>
      <c r="Y204" s="2"/>
      <c r="Z204" s="6">
        <f t="shared" si="55"/>
        <v>-0.46579213049635076</v>
      </c>
    </row>
    <row r="205" spans="1:26" s="28" customFormat="1" outlineLevel="1" collapsed="1" x14ac:dyDescent="0.25">
      <c r="A205" s="27"/>
      <c r="B205" s="14" t="str">
        <f>CONCATENATE("     ","Freight out/Postage                               ")</f>
        <v xml:space="preserve">     Freight out/Postage                               </v>
      </c>
      <c r="C205" s="14"/>
      <c r="D205" s="1">
        <f>SUM(OSRRefD22_10x_0)</f>
        <v>-2160.1400000000003</v>
      </c>
      <c r="E205" s="1"/>
      <c r="F205" s="5">
        <f t="shared" si="48"/>
        <v>-1.43348841124287E-3</v>
      </c>
      <c r="G205" s="1"/>
      <c r="H205" s="1">
        <f>SUM(OSRRefH22_10x_0)</f>
        <v>99.25</v>
      </c>
      <c r="I205" s="1"/>
      <c r="J205" s="5">
        <f t="shared" si="49"/>
        <v>5.9619794031122096E-5</v>
      </c>
      <c r="K205" s="1"/>
      <c r="L205" s="1">
        <f t="shared" si="50"/>
        <v>-2259.3900000000003</v>
      </c>
      <c r="M205" s="1"/>
      <c r="N205" s="5">
        <f t="shared" si="51"/>
        <v>-22.764634760705292</v>
      </c>
      <c r="O205" s="14"/>
      <c r="P205" s="1">
        <f>SUM(OSRRefP22_10x_0)</f>
        <v>-2160.1400000000003</v>
      </c>
      <c r="Q205" s="1"/>
      <c r="R205" s="5">
        <f t="shared" si="52"/>
        <v>-1.43348841124287E-3</v>
      </c>
      <c r="S205" s="1"/>
      <c r="T205" s="1">
        <f>SUM(OSRRefT22_10x_0)</f>
        <v>99.25</v>
      </c>
      <c r="U205" s="1"/>
      <c r="V205" s="5">
        <f t="shared" si="53"/>
        <v>5.9619794031122096E-5</v>
      </c>
      <c r="W205" s="1"/>
      <c r="X205" s="1">
        <f t="shared" si="54"/>
        <v>-2259.3900000000003</v>
      </c>
      <c r="Y205" s="1"/>
      <c r="Z205" s="5">
        <f t="shared" si="55"/>
        <v>-22.764634760705292</v>
      </c>
    </row>
    <row r="206" spans="1:26" s="24" customFormat="1" hidden="1" outlineLevel="2" x14ac:dyDescent="0.25">
      <c r="A206" s="29"/>
      <c r="B206" s="11" t="str">
        <f>CONCATENATE("          ", "6305", " - ", "FREIGHT OUT")</f>
        <v xml:space="preserve">          6305 - FREIGHT OUT</v>
      </c>
      <c r="C206" s="11"/>
      <c r="D206" s="7">
        <v>1489.41</v>
      </c>
      <c r="E206" s="2"/>
      <c r="F206" s="6">
        <f t="shared" si="48"/>
        <v>9.8838592618498942E-4</v>
      </c>
      <c r="G206" s="2"/>
      <c r="H206" s="7">
        <v>2626.15</v>
      </c>
      <c r="I206" s="2"/>
      <c r="J206" s="6">
        <f t="shared" si="49"/>
        <v>1.5775367465474185E-3</v>
      </c>
      <c r="K206" s="2"/>
      <c r="L206" s="7">
        <f t="shared" si="50"/>
        <v>-1136.74</v>
      </c>
      <c r="M206" s="2"/>
      <c r="N206" s="6">
        <f t="shared" si="51"/>
        <v>-0.43285417816956379</v>
      </c>
      <c r="O206" s="11"/>
      <c r="P206" s="7">
        <v>1489.41</v>
      </c>
      <c r="Q206" s="2"/>
      <c r="R206" s="6">
        <f t="shared" si="52"/>
        <v>9.8838592618498942E-4</v>
      </c>
      <c r="S206" s="2"/>
      <c r="T206" s="7">
        <v>2626.15</v>
      </c>
      <c r="U206" s="2"/>
      <c r="V206" s="6">
        <f t="shared" si="53"/>
        <v>1.5775367465474185E-3</v>
      </c>
      <c r="W206" s="2"/>
      <c r="X206" s="7">
        <f t="shared" si="54"/>
        <v>-1136.74</v>
      </c>
      <c r="Y206" s="2"/>
      <c r="Z206" s="6">
        <f t="shared" si="55"/>
        <v>-0.43285417816956379</v>
      </c>
    </row>
    <row r="207" spans="1:26" s="24" customFormat="1" hidden="1" outlineLevel="2" x14ac:dyDescent="0.25">
      <c r="A207" s="29"/>
      <c r="B207" s="11" t="str">
        <f>CONCATENATE("          ", "6307", " - ", "POSTAGE")</f>
        <v xml:space="preserve">          6307 - POSTAGE</v>
      </c>
      <c r="C207" s="11"/>
      <c r="D207" s="7">
        <v>-3649.55</v>
      </c>
      <c r="E207" s="2"/>
      <c r="F207" s="6">
        <f t="shared" si="48"/>
        <v>-2.4218743374278592E-3</v>
      </c>
      <c r="G207" s="2"/>
      <c r="H207" s="7">
        <v>-2526.9</v>
      </c>
      <c r="I207" s="2"/>
      <c r="J207" s="6">
        <f t="shared" si="49"/>
        <v>-1.5179169525162965E-3</v>
      </c>
      <c r="K207" s="2"/>
      <c r="L207" s="7">
        <f t="shared" si="50"/>
        <v>-1122.6500000000001</v>
      </c>
      <c r="M207" s="2"/>
      <c r="N207" s="6">
        <f t="shared" si="51"/>
        <v>0.44427955202026198</v>
      </c>
      <c r="O207" s="11"/>
      <c r="P207" s="7">
        <v>-3649.55</v>
      </c>
      <c r="Q207" s="2"/>
      <c r="R207" s="6">
        <f t="shared" si="52"/>
        <v>-2.4218743374278592E-3</v>
      </c>
      <c r="S207" s="2"/>
      <c r="T207" s="7">
        <v>-2526.9</v>
      </c>
      <c r="U207" s="2"/>
      <c r="V207" s="6">
        <f t="shared" si="53"/>
        <v>-1.5179169525162965E-3</v>
      </c>
      <c r="W207" s="2"/>
      <c r="X207" s="7">
        <f t="shared" si="54"/>
        <v>-1122.6500000000001</v>
      </c>
      <c r="Y207" s="2"/>
      <c r="Z207" s="6">
        <f t="shared" si="55"/>
        <v>0.44427955202026198</v>
      </c>
    </row>
    <row r="208" spans="1:26" s="28" customFormat="1" outlineLevel="1" collapsed="1" x14ac:dyDescent="0.25">
      <c r="A208" s="27"/>
      <c r="B208" s="14" t="str">
        <f>CONCATENATE("     ","General                                           ")</f>
        <v xml:space="preserve">     General                                           </v>
      </c>
      <c r="C208" s="14"/>
      <c r="D208" s="1">
        <f>SUM(OSRRefD22_11x_0)</f>
        <v>28443.89</v>
      </c>
      <c r="E208" s="1"/>
      <c r="F208" s="5">
        <f t="shared" ref="F208:F225" si="56">IF(D$12=0,0,D208/D$12)</f>
        <v>1.8875622267846968E-2</v>
      </c>
      <c r="G208" s="1"/>
      <c r="H208" s="1">
        <f>SUM(OSRRefH22_11x_0)</f>
        <v>26048.129999999997</v>
      </c>
      <c r="I208" s="1"/>
      <c r="J208" s="5">
        <f t="shared" ref="J208:J225" si="57">IF(H$12=0,0,H208/H$12)</f>
        <v>1.5647195420613522E-2</v>
      </c>
      <c r="K208" s="1"/>
      <c r="L208" s="1">
        <f t="shared" ref="L208:L225" si="58">+D208-H208</f>
        <v>2395.760000000002</v>
      </c>
      <c r="M208" s="1"/>
      <c r="N208" s="5">
        <f t="shared" ref="N208:N225" si="59">IF(H208=0,0,L208/H208)</f>
        <v>9.197435670046189E-2</v>
      </c>
      <c r="O208" s="14"/>
      <c r="P208" s="1">
        <f>SUM(OSRRefP22_11x_0)</f>
        <v>28443.89</v>
      </c>
      <c r="Q208" s="1"/>
      <c r="R208" s="5">
        <f t="shared" ref="R208:R225" si="60">IF(P$12=0,0,P208/P$12)</f>
        <v>1.8875622267846968E-2</v>
      </c>
      <c r="S208" s="1"/>
      <c r="T208" s="1">
        <f>SUM(OSRRefT22_11x_0)</f>
        <v>26048.129999999997</v>
      </c>
      <c r="U208" s="1"/>
      <c r="V208" s="5">
        <f t="shared" ref="V208:V225" si="61">IF(T$12=0,0,T208/T$12)</f>
        <v>1.5647195420613522E-2</v>
      </c>
      <c r="W208" s="1"/>
      <c r="X208" s="1">
        <f t="shared" ref="X208:X225" si="62">+P208-T208</f>
        <v>2395.760000000002</v>
      </c>
      <c r="Y208" s="1"/>
      <c r="Z208" s="5">
        <f t="shared" ref="Z208:Z225" si="63">IF(T208=0,0,X208/T208)</f>
        <v>9.197435670046189E-2</v>
      </c>
    </row>
    <row r="209" spans="1:26" s="24" customFormat="1" hidden="1" outlineLevel="2" x14ac:dyDescent="0.25">
      <c r="A209" s="29"/>
      <c r="B209" s="11" t="str">
        <f>CONCATENATE("          ", "6279", " - ", "GENERAL EXPENSE")</f>
        <v xml:space="preserve">          6279 - GENERAL EXPENSE</v>
      </c>
      <c r="C209" s="11"/>
      <c r="D209" s="7">
        <v>28443.89</v>
      </c>
      <c r="E209" s="2"/>
      <c r="F209" s="6">
        <f t="shared" si="56"/>
        <v>1.8875622267846968E-2</v>
      </c>
      <c r="G209" s="2"/>
      <c r="H209" s="7">
        <v>26048.129999999997</v>
      </c>
      <c r="I209" s="2"/>
      <c r="J209" s="6">
        <f t="shared" si="57"/>
        <v>1.5647195420613522E-2</v>
      </c>
      <c r="K209" s="2"/>
      <c r="L209" s="7">
        <f t="shared" si="58"/>
        <v>2395.760000000002</v>
      </c>
      <c r="M209" s="2"/>
      <c r="N209" s="6">
        <f t="shared" si="59"/>
        <v>9.197435670046189E-2</v>
      </c>
      <c r="O209" s="11"/>
      <c r="P209" s="7">
        <v>28443.89</v>
      </c>
      <c r="Q209" s="2"/>
      <c r="R209" s="6">
        <f t="shared" si="60"/>
        <v>1.8875622267846968E-2</v>
      </c>
      <c r="S209" s="2"/>
      <c r="T209" s="7">
        <v>26048.129999999997</v>
      </c>
      <c r="U209" s="2"/>
      <c r="V209" s="6">
        <f t="shared" si="61"/>
        <v>1.5647195420613522E-2</v>
      </c>
      <c r="W209" s="2"/>
      <c r="X209" s="7">
        <f t="shared" si="62"/>
        <v>2395.760000000002</v>
      </c>
      <c r="Y209" s="2"/>
      <c r="Z209" s="6">
        <f t="shared" si="63"/>
        <v>9.197435670046189E-2</v>
      </c>
    </row>
    <row r="210" spans="1:26" s="28" customFormat="1" outlineLevel="1" collapsed="1" x14ac:dyDescent="0.25">
      <c r="A210" s="27"/>
      <c r="B210" s="14" t="str">
        <f>CONCATENATE("     ","Insurance                                         ")</f>
        <v xml:space="preserve">     Insurance                                         </v>
      </c>
      <c r="C210" s="14"/>
      <c r="D210" s="1">
        <f>SUM(OSRRefD22_12x_0)</f>
        <v>8563.32</v>
      </c>
      <c r="E210" s="1"/>
      <c r="F210" s="5">
        <f t="shared" si="56"/>
        <v>5.6826964834521335E-3</v>
      </c>
      <c r="G210" s="1"/>
      <c r="H210" s="1">
        <f>SUM(OSRRefH22_12x_0)</f>
        <v>8064.85</v>
      </c>
      <c r="I210" s="1"/>
      <c r="J210" s="5">
        <f t="shared" si="57"/>
        <v>4.8445813188100258E-3</v>
      </c>
      <c r="K210" s="1"/>
      <c r="L210" s="1">
        <f t="shared" si="58"/>
        <v>498.46999999999935</v>
      </c>
      <c r="M210" s="1"/>
      <c r="N210" s="5">
        <f t="shared" si="59"/>
        <v>6.180772116034388E-2</v>
      </c>
      <c r="O210" s="14"/>
      <c r="P210" s="1">
        <f>SUM(OSRRefP22_12x_0)</f>
        <v>8563.32</v>
      </c>
      <c r="Q210" s="1"/>
      <c r="R210" s="5">
        <f t="shared" si="60"/>
        <v>5.6826964834521335E-3</v>
      </c>
      <c r="S210" s="1"/>
      <c r="T210" s="1">
        <f>SUM(OSRRefT22_12x_0)</f>
        <v>8064.85</v>
      </c>
      <c r="U210" s="1"/>
      <c r="V210" s="5">
        <f t="shared" si="61"/>
        <v>4.8445813188100258E-3</v>
      </c>
      <c r="W210" s="1"/>
      <c r="X210" s="1">
        <f t="shared" si="62"/>
        <v>498.46999999999935</v>
      </c>
      <c r="Y210" s="1"/>
      <c r="Z210" s="5">
        <f t="shared" si="63"/>
        <v>6.180772116034388E-2</v>
      </c>
    </row>
    <row r="211" spans="1:26" s="24" customFormat="1" hidden="1" outlineLevel="2" x14ac:dyDescent="0.25">
      <c r="A211" s="29"/>
      <c r="B211" s="11" t="str">
        <f>CONCATENATE("          ", "6314", " - ", "LIABILITY INSURANCE")</f>
        <v xml:space="preserve">          6314 - LIABILITY INSURANCE</v>
      </c>
      <c r="C211" s="11"/>
      <c r="D211" s="7">
        <v>8563.32</v>
      </c>
      <c r="E211" s="2"/>
      <c r="F211" s="6">
        <f t="shared" si="56"/>
        <v>5.6826964834521335E-3</v>
      </c>
      <c r="G211" s="2"/>
      <c r="H211" s="7">
        <v>8064.85</v>
      </c>
      <c r="I211" s="2"/>
      <c r="J211" s="6">
        <f t="shared" si="57"/>
        <v>4.8445813188100258E-3</v>
      </c>
      <c r="K211" s="2"/>
      <c r="L211" s="7">
        <f t="shared" si="58"/>
        <v>498.46999999999935</v>
      </c>
      <c r="M211" s="2"/>
      <c r="N211" s="6">
        <f t="shared" si="59"/>
        <v>6.180772116034388E-2</v>
      </c>
      <c r="O211" s="11"/>
      <c r="P211" s="7">
        <v>8563.32</v>
      </c>
      <c r="Q211" s="2"/>
      <c r="R211" s="6">
        <f t="shared" si="60"/>
        <v>5.6826964834521335E-3</v>
      </c>
      <c r="S211" s="2"/>
      <c r="T211" s="7">
        <v>8064.85</v>
      </c>
      <c r="U211" s="2"/>
      <c r="V211" s="6">
        <f t="shared" si="61"/>
        <v>4.8445813188100258E-3</v>
      </c>
      <c r="W211" s="2"/>
      <c r="X211" s="7">
        <f t="shared" si="62"/>
        <v>498.46999999999935</v>
      </c>
      <c r="Y211" s="2"/>
      <c r="Z211" s="6">
        <f t="shared" si="63"/>
        <v>6.180772116034388E-2</v>
      </c>
    </row>
    <row r="212" spans="1:26" s="28" customFormat="1" outlineLevel="1" collapsed="1" x14ac:dyDescent="0.25">
      <c r="A212" s="27"/>
      <c r="B212" s="14" t="str">
        <f>CONCATENATE("     ","Interest                                          ")</f>
        <v xml:space="preserve">     Interest                                          </v>
      </c>
      <c r="C212" s="14"/>
      <c r="D212" s="1">
        <f>SUM(OSRRefD22_13x_0)</f>
        <v>11740</v>
      </c>
      <c r="E212" s="1"/>
      <c r="F212" s="5">
        <f t="shared" si="56"/>
        <v>7.7907700186058736E-3</v>
      </c>
      <c r="G212" s="1"/>
      <c r="H212" s="1">
        <f>SUM(OSRRefH22_13x_0)</f>
        <v>12229</v>
      </c>
      <c r="I212" s="1"/>
      <c r="J212" s="5">
        <f t="shared" si="57"/>
        <v>7.3459996091344293E-3</v>
      </c>
      <c r="K212" s="1"/>
      <c r="L212" s="1">
        <f t="shared" si="58"/>
        <v>-489</v>
      </c>
      <c r="M212" s="1"/>
      <c r="N212" s="5">
        <f t="shared" si="59"/>
        <v>-3.9986916346389727E-2</v>
      </c>
      <c r="O212" s="14"/>
      <c r="P212" s="1">
        <f>SUM(OSRRefP22_13x_0)</f>
        <v>11740</v>
      </c>
      <c r="Q212" s="1"/>
      <c r="R212" s="5">
        <f t="shared" si="60"/>
        <v>7.7907700186058736E-3</v>
      </c>
      <c r="S212" s="1"/>
      <c r="T212" s="1">
        <f>SUM(OSRRefT22_13x_0)</f>
        <v>12229</v>
      </c>
      <c r="U212" s="1"/>
      <c r="V212" s="5">
        <f t="shared" si="61"/>
        <v>7.3459996091344293E-3</v>
      </c>
      <c r="W212" s="1"/>
      <c r="X212" s="1">
        <f t="shared" si="62"/>
        <v>-489</v>
      </c>
      <c r="Y212" s="1"/>
      <c r="Z212" s="5">
        <f t="shared" si="63"/>
        <v>-3.9986916346389727E-2</v>
      </c>
    </row>
    <row r="213" spans="1:26" s="24" customFormat="1" hidden="1" outlineLevel="2" x14ac:dyDescent="0.25">
      <c r="A213" s="29"/>
      <c r="B213" s="11" t="str">
        <f>CONCATENATE("          ", "6401", " - ", "INTEREST EXPENSE")</f>
        <v xml:space="preserve">          6401 - INTEREST EXPENSE</v>
      </c>
      <c r="C213" s="11"/>
      <c r="D213" s="7">
        <v>11740</v>
      </c>
      <c r="E213" s="2"/>
      <c r="F213" s="6">
        <f t="shared" si="56"/>
        <v>7.7907700186058736E-3</v>
      </c>
      <c r="G213" s="2"/>
      <c r="H213" s="7">
        <v>12229</v>
      </c>
      <c r="I213" s="2"/>
      <c r="J213" s="6">
        <f t="shared" si="57"/>
        <v>7.3459996091344293E-3</v>
      </c>
      <c r="K213" s="2"/>
      <c r="L213" s="7">
        <f t="shared" si="58"/>
        <v>-489</v>
      </c>
      <c r="M213" s="2"/>
      <c r="N213" s="6">
        <f t="shared" si="59"/>
        <v>-3.9986916346389727E-2</v>
      </c>
      <c r="O213" s="11"/>
      <c r="P213" s="7">
        <v>11740</v>
      </c>
      <c r="Q213" s="2"/>
      <c r="R213" s="6">
        <f t="shared" si="60"/>
        <v>7.7907700186058736E-3</v>
      </c>
      <c r="S213" s="2"/>
      <c r="T213" s="7">
        <v>12229</v>
      </c>
      <c r="U213" s="2"/>
      <c r="V213" s="6">
        <f t="shared" si="61"/>
        <v>7.3459996091344293E-3</v>
      </c>
      <c r="W213" s="2"/>
      <c r="X213" s="7">
        <f t="shared" si="62"/>
        <v>-489</v>
      </c>
      <c r="Y213" s="2"/>
      <c r="Z213" s="6">
        <f t="shared" si="63"/>
        <v>-3.9986916346389727E-2</v>
      </c>
    </row>
    <row r="214" spans="1:26" s="28" customFormat="1" outlineLevel="1" collapsed="1" x14ac:dyDescent="0.25">
      <c r="A214" s="27"/>
      <c r="B214" s="14" t="str">
        <f>CONCATENATE("     ","Inventory Adjustment                              ")</f>
        <v xml:space="preserve">     Inventory Adjustment                              </v>
      </c>
      <c r="C214" s="14"/>
      <c r="D214" s="1">
        <f>SUM(OSRRefD22_14x_0)</f>
        <v>4150</v>
      </c>
      <c r="E214" s="1"/>
      <c r="F214" s="5">
        <f t="shared" si="56"/>
        <v>2.7539774767644273E-3</v>
      </c>
      <c r="G214" s="1"/>
      <c r="H214" s="1">
        <f>SUM(OSRRefH22_14x_0)</f>
        <v>10000</v>
      </c>
      <c r="I214" s="1"/>
      <c r="J214" s="5">
        <f t="shared" si="57"/>
        <v>6.007032144193662E-3</v>
      </c>
      <c r="K214" s="1"/>
      <c r="L214" s="1">
        <f t="shared" si="58"/>
        <v>-5850</v>
      </c>
      <c r="M214" s="1"/>
      <c r="N214" s="5">
        <f t="shared" si="59"/>
        <v>-0.58499999999999996</v>
      </c>
      <c r="O214" s="14"/>
      <c r="P214" s="1">
        <f>SUM(OSRRefP22_14x_0)</f>
        <v>4150</v>
      </c>
      <c r="Q214" s="1"/>
      <c r="R214" s="5">
        <f t="shared" si="60"/>
        <v>2.7539774767644273E-3</v>
      </c>
      <c r="S214" s="1"/>
      <c r="T214" s="1">
        <f>SUM(OSRRefT22_14x_0)</f>
        <v>10000</v>
      </c>
      <c r="U214" s="1"/>
      <c r="V214" s="5">
        <f t="shared" si="61"/>
        <v>6.007032144193662E-3</v>
      </c>
      <c r="W214" s="1"/>
      <c r="X214" s="1">
        <f t="shared" si="62"/>
        <v>-5850</v>
      </c>
      <c r="Y214" s="1"/>
      <c r="Z214" s="5">
        <f t="shared" si="63"/>
        <v>-0.58499999999999996</v>
      </c>
    </row>
    <row r="215" spans="1:26" s="24" customFormat="1" hidden="1" outlineLevel="2" x14ac:dyDescent="0.25">
      <c r="A215" s="29"/>
      <c r="B215" s="11" t="str">
        <f>CONCATENATE("          ", "6408", " - ", "INVENTORY ADJUSTMENT")</f>
        <v xml:space="preserve">          6408 - INVENTORY ADJUSTMENT</v>
      </c>
      <c r="C215" s="11"/>
      <c r="D215" s="7">
        <v>4150</v>
      </c>
      <c r="E215" s="2"/>
      <c r="F215" s="6">
        <f t="shared" si="56"/>
        <v>2.7539774767644273E-3</v>
      </c>
      <c r="G215" s="2"/>
      <c r="H215" s="7">
        <v>10000</v>
      </c>
      <c r="I215" s="2"/>
      <c r="J215" s="6">
        <f t="shared" si="57"/>
        <v>6.007032144193662E-3</v>
      </c>
      <c r="K215" s="2"/>
      <c r="L215" s="7">
        <f t="shared" si="58"/>
        <v>-5850</v>
      </c>
      <c r="M215" s="2"/>
      <c r="N215" s="6">
        <f t="shared" si="59"/>
        <v>-0.58499999999999996</v>
      </c>
      <c r="O215" s="11"/>
      <c r="P215" s="7">
        <v>4150</v>
      </c>
      <c r="Q215" s="2"/>
      <c r="R215" s="6">
        <f t="shared" si="60"/>
        <v>2.7539774767644273E-3</v>
      </c>
      <c r="S215" s="2"/>
      <c r="T215" s="7">
        <v>10000</v>
      </c>
      <c r="U215" s="2"/>
      <c r="V215" s="6">
        <f t="shared" si="61"/>
        <v>6.007032144193662E-3</v>
      </c>
      <c r="W215" s="2"/>
      <c r="X215" s="7">
        <f t="shared" si="62"/>
        <v>-5850</v>
      </c>
      <c r="Y215" s="2"/>
      <c r="Z215" s="6">
        <f t="shared" si="63"/>
        <v>-0.58499999999999996</v>
      </c>
    </row>
    <row r="216" spans="1:26" s="28" customFormat="1" outlineLevel="1" collapsed="1" x14ac:dyDescent="0.25">
      <c r="A216" s="27"/>
      <c r="B216" s="14" t="str">
        <f>CONCATENATE("     ","Professional Services                             ")</f>
        <v xml:space="preserve">     Professional Services                             </v>
      </c>
      <c r="C216" s="14"/>
      <c r="D216" s="1">
        <f>SUM(OSRRefD22_15x_0)</f>
        <v>6158.41</v>
      </c>
      <c r="E216" s="1"/>
      <c r="F216" s="5">
        <f t="shared" si="56"/>
        <v>4.0867764898026059E-3</v>
      </c>
      <c r="G216" s="1"/>
      <c r="H216" s="1">
        <f>SUM(OSRRefH22_15x_0)</f>
        <v>8276.43</v>
      </c>
      <c r="I216" s="1"/>
      <c r="J216" s="5">
        <f t="shared" si="57"/>
        <v>4.9716781049168749E-3</v>
      </c>
      <c r="K216" s="1"/>
      <c r="L216" s="1">
        <f t="shared" si="58"/>
        <v>-2118.0200000000004</v>
      </c>
      <c r="M216" s="1"/>
      <c r="N216" s="5">
        <f t="shared" si="59"/>
        <v>-0.25590985485287743</v>
      </c>
      <c r="O216" s="14"/>
      <c r="P216" s="1">
        <f>SUM(OSRRefP22_15x_0)</f>
        <v>6158.41</v>
      </c>
      <c r="Q216" s="1"/>
      <c r="R216" s="5">
        <f t="shared" si="60"/>
        <v>4.0867764898026059E-3</v>
      </c>
      <c r="S216" s="1"/>
      <c r="T216" s="1">
        <f>SUM(OSRRefT22_15x_0)</f>
        <v>8276.43</v>
      </c>
      <c r="U216" s="1"/>
      <c r="V216" s="5">
        <f t="shared" si="61"/>
        <v>4.9716781049168749E-3</v>
      </c>
      <c r="W216" s="1"/>
      <c r="X216" s="1">
        <f t="shared" si="62"/>
        <v>-2118.0200000000004</v>
      </c>
      <c r="Y216" s="1"/>
      <c r="Z216" s="5">
        <f t="shared" si="63"/>
        <v>-0.25590985485287743</v>
      </c>
    </row>
    <row r="217" spans="1:26" s="24" customFormat="1" hidden="1" outlineLevel="2" x14ac:dyDescent="0.25">
      <c r="A217" s="29"/>
      <c r="B217" s="11" t="str">
        <f>CONCATENATE("          ", "6336", " - ", "PROFESSIONAL SERVICES")</f>
        <v xml:space="preserve">          6336 - PROFESSIONAL SERVICES</v>
      </c>
      <c r="C217" s="11"/>
      <c r="D217" s="7">
        <v>6158.41</v>
      </c>
      <c r="E217" s="2"/>
      <c r="F217" s="6">
        <f t="shared" si="56"/>
        <v>4.0867764898026059E-3</v>
      </c>
      <c r="G217" s="2"/>
      <c r="H217" s="7">
        <v>8276.43</v>
      </c>
      <c r="I217" s="2"/>
      <c r="J217" s="6">
        <f t="shared" si="57"/>
        <v>4.9716781049168749E-3</v>
      </c>
      <c r="K217" s="2"/>
      <c r="L217" s="7">
        <f t="shared" si="58"/>
        <v>-2118.0200000000004</v>
      </c>
      <c r="M217" s="2"/>
      <c r="N217" s="6">
        <f t="shared" si="59"/>
        <v>-0.25590985485287743</v>
      </c>
      <c r="O217" s="11"/>
      <c r="P217" s="7">
        <v>6158.41</v>
      </c>
      <c r="Q217" s="2"/>
      <c r="R217" s="6">
        <f t="shared" si="60"/>
        <v>4.0867764898026059E-3</v>
      </c>
      <c r="S217" s="2"/>
      <c r="T217" s="7">
        <v>8276.43</v>
      </c>
      <c r="U217" s="2"/>
      <c r="V217" s="6">
        <f t="shared" si="61"/>
        <v>4.9716781049168749E-3</v>
      </c>
      <c r="W217" s="2"/>
      <c r="X217" s="7">
        <f t="shared" si="62"/>
        <v>-2118.0200000000004</v>
      </c>
      <c r="Y217" s="2"/>
      <c r="Z217" s="6">
        <f t="shared" si="63"/>
        <v>-0.25590985485287743</v>
      </c>
    </row>
    <row r="218" spans="1:26" s="28" customFormat="1" outlineLevel="1" collapsed="1" x14ac:dyDescent="0.25">
      <c r="A218" s="27"/>
      <c r="B218" s="14" t="str">
        <f>CONCATENATE("     ","R/H Commissions                                   ")</f>
        <v xml:space="preserve">     R/H Commissions                                   </v>
      </c>
      <c r="C218" s="14"/>
      <c r="D218" s="1">
        <f>SUM(OSRRefD22_16x_0)</f>
        <v>39712.65</v>
      </c>
      <c r="E218" s="1"/>
      <c r="F218" s="5">
        <f t="shared" si="56"/>
        <v>2.6353673166898513E-2</v>
      </c>
      <c r="G218" s="1"/>
      <c r="H218" s="1">
        <f>SUM(OSRRefH22_16x_0)</f>
        <v>40465.859999999993</v>
      </c>
      <c r="I218" s="1"/>
      <c r="J218" s="5">
        <f t="shared" si="57"/>
        <v>2.4307972176244048E-2</v>
      </c>
      <c r="K218" s="1"/>
      <c r="L218" s="1">
        <f t="shared" si="58"/>
        <v>-753.20999999999185</v>
      </c>
      <c r="M218" s="1"/>
      <c r="N218" s="5">
        <f t="shared" si="59"/>
        <v>-1.8613468242117973E-2</v>
      </c>
      <c r="O218" s="14"/>
      <c r="P218" s="1">
        <f>SUM(OSRRefP22_16x_0)</f>
        <v>39712.65</v>
      </c>
      <c r="Q218" s="1"/>
      <c r="R218" s="5">
        <f t="shared" si="60"/>
        <v>2.6353673166898513E-2</v>
      </c>
      <c r="S218" s="1"/>
      <c r="T218" s="1">
        <f>SUM(OSRRefT22_16x_0)</f>
        <v>40465.859999999993</v>
      </c>
      <c r="U218" s="1"/>
      <c r="V218" s="5">
        <f t="shared" si="61"/>
        <v>2.4307972176244048E-2</v>
      </c>
      <c r="W218" s="1"/>
      <c r="X218" s="1">
        <f t="shared" si="62"/>
        <v>-753.20999999999185</v>
      </c>
      <c r="Y218" s="1"/>
      <c r="Z218" s="5">
        <f t="shared" si="63"/>
        <v>-1.8613468242117973E-2</v>
      </c>
    </row>
    <row r="219" spans="1:26" s="24" customFormat="1" hidden="1" outlineLevel="2" x14ac:dyDescent="0.25">
      <c r="A219" s="29"/>
      <c r="B219" s="11" t="str">
        <f>CONCATENATE("          ", "6387", " - ", "COMMISSION DUE HOUSING")</f>
        <v xml:space="preserve">          6387 - COMMISSION DUE HOUSING</v>
      </c>
      <c r="C219" s="11"/>
      <c r="D219" s="7">
        <v>39712.65</v>
      </c>
      <c r="E219" s="2"/>
      <c r="F219" s="6">
        <f t="shared" si="56"/>
        <v>2.6353673166898513E-2</v>
      </c>
      <c r="G219" s="2"/>
      <c r="H219" s="7">
        <v>40465.859999999993</v>
      </c>
      <c r="I219" s="2"/>
      <c r="J219" s="6">
        <f t="shared" si="57"/>
        <v>2.4307972176244048E-2</v>
      </c>
      <c r="K219" s="2"/>
      <c r="L219" s="7">
        <f t="shared" si="58"/>
        <v>-753.20999999999185</v>
      </c>
      <c r="M219" s="2"/>
      <c r="N219" s="6">
        <f t="shared" si="59"/>
        <v>-1.8613468242117973E-2</v>
      </c>
      <c r="O219" s="11"/>
      <c r="P219" s="7">
        <v>39712.65</v>
      </c>
      <c r="Q219" s="2"/>
      <c r="R219" s="6">
        <f t="shared" si="60"/>
        <v>2.6353673166898513E-2</v>
      </c>
      <c r="S219" s="2"/>
      <c r="T219" s="7">
        <v>40465.859999999993</v>
      </c>
      <c r="U219" s="2"/>
      <c r="V219" s="6">
        <f t="shared" si="61"/>
        <v>2.4307972176244048E-2</v>
      </c>
      <c r="W219" s="2"/>
      <c r="X219" s="7">
        <f t="shared" si="62"/>
        <v>-753.20999999999185</v>
      </c>
      <c r="Y219" s="2"/>
      <c r="Z219" s="6">
        <f t="shared" si="63"/>
        <v>-1.8613468242117973E-2</v>
      </c>
    </row>
    <row r="220" spans="1:26" s="28" customFormat="1" outlineLevel="1" collapsed="1" x14ac:dyDescent="0.25">
      <c r="A220" s="27"/>
      <c r="B220" s="14" t="str">
        <f>CONCATENATE("     ","Rent                                              ")</f>
        <v xml:space="preserve">     Rent                                              </v>
      </c>
      <c r="C220" s="14"/>
      <c r="D220" s="1">
        <f>SUM(OSRRefD22_17x_0)</f>
        <v>9900</v>
      </c>
      <c r="E220" s="1"/>
      <c r="F220" s="5">
        <f t="shared" si="56"/>
        <v>6.5697294024018868E-3</v>
      </c>
      <c r="G220" s="1"/>
      <c r="H220" s="1">
        <f>SUM(OSRRefH22_17x_0)</f>
        <v>10001.08</v>
      </c>
      <c r="I220" s="1"/>
      <c r="J220" s="5">
        <f t="shared" si="57"/>
        <v>6.0076809036652343E-3</v>
      </c>
      <c r="K220" s="1"/>
      <c r="L220" s="1">
        <f t="shared" si="58"/>
        <v>-101.07999999999993</v>
      </c>
      <c r="M220" s="1"/>
      <c r="N220" s="5">
        <f t="shared" si="59"/>
        <v>-1.0106908453886973E-2</v>
      </c>
      <c r="O220" s="14"/>
      <c r="P220" s="1">
        <f>SUM(OSRRefP22_17x_0)</f>
        <v>9900</v>
      </c>
      <c r="Q220" s="1"/>
      <c r="R220" s="5">
        <f t="shared" si="60"/>
        <v>6.5697294024018868E-3</v>
      </c>
      <c r="S220" s="1"/>
      <c r="T220" s="1">
        <f>SUM(OSRRefT22_17x_0)</f>
        <v>10001.08</v>
      </c>
      <c r="U220" s="1"/>
      <c r="V220" s="5">
        <f t="shared" si="61"/>
        <v>6.0076809036652343E-3</v>
      </c>
      <c r="W220" s="1"/>
      <c r="X220" s="1">
        <f t="shared" si="62"/>
        <v>-101.07999999999993</v>
      </c>
      <c r="Y220" s="1"/>
      <c r="Z220" s="5">
        <f t="shared" si="63"/>
        <v>-1.0106908453886973E-2</v>
      </c>
    </row>
    <row r="221" spans="1:26" s="24" customFormat="1" hidden="1" outlineLevel="2" x14ac:dyDescent="0.25">
      <c r="A221" s="29"/>
      <c r="B221" s="11" t="str">
        <f>CONCATENATE("          ", "6273", " - ", "RENT")</f>
        <v xml:space="preserve">          6273 - RENT</v>
      </c>
      <c r="C221" s="11"/>
      <c r="D221" s="7">
        <v>9900</v>
      </c>
      <c r="E221" s="2"/>
      <c r="F221" s="6">
        <f t="shared" si="56"/>
        <v>6.5697294024018868E-3</v>
      </c>
      <c r="G221" s="2"/>
      <c r="H221" s="7">
        <v>10001.08</v>
      </c>
      <c r="I221" s="2"/>
      <c r="J221" s="6">
        <f t="shared" si="57"/>
        <v>6.0076809036652343E-3</v>
      </c>
      <c r="K221" s="2"/>
      <c r="L221" s="7">
        <f t="shared" si="58"/>
        <v>-101.07999999999993</v>
      </c>
      <c r="M221" s="2"/>
      <c r="N221" s="6">
        <f t="shared" si="59"/>
        <v>-1.0106908453886973E-2</v>
      </c>
      <c r="O221" s="11"/>
      <c r="P221" s="7">
        <v>9900</v>
      </c>
      <c r="Q221" s="2"/>
      <c r="R221" s="6">
        <f t="shared" si="60"/>
        <v>6.5697294024018868E-3</v>
      </c>
      <c r="S221" s="2"/>
      <c r="T221" s="7">
        <v>10001.08</v>
      </c>
      <c r="U221" s="2"/>
      <c r="V221" s="6">
        <f t="shared" si="61"/>
        <v>6.0076809036652343E-3</v>
      </c>
      <c r="W221" s="2"/>
      <c r="X221" s="7">
        <f t="shared" si="62"/>
        <v>-101.07999999999993</v>
      </c>
      <c r="Y221" s="2"/>
      <c r="Z221" s="6">
        <f t="shared" si="63"/>
        <v>-1.0106908453886973E-2</v>
      </c>
    </row>
    <row r="222" spans="1:26" s="28" customFormat="1" outlineLevel="1" collapsed="1" x14ac:dyDescent="0.25">
      <c r="A222" s="27"/>
      <c r="B222" s="14" t="str">
        <f>CONCATENATE("     ","Repair and Maintenance                            ")</f>
        <v xml:space="preserve">     Repair and Maintenance                            </v>
      </c>
      <c r="C222" s="14"/>
      <c r="D222" s="1">
        <f>SUM(OSRRefD22_18x_0)</f>
        <v>50384.47</v>
      </c>
      <c r="E222" s="1"/>
      <c r="F222" s="5">
        <f t="shared" si="56"/>
        <v>3.3435589291256139E-2</v>
      </c>
      <c r="G222" s="1"/>
      <c r="H222" s="1">
        <f>SUM(OSRRefH22_18x_0)</f>
        <v>83700.479999999996</v>
      </c>
      <c r="I222" s="1"/>
      <c r="J222" s="5">
        <f t="shared" si="57"/>
        <v>5.0279147384443869E-2</v>
      </c>
      <c r="K222" s="1"/>
      <c r="L222" s="1">
        <f t="shared" si="58"/>
        <v>-33316.009999999995</v>
      </c>
      <c r="M222" s="1"/>
      <c r="N222" s="5">
        <f t="shared" si="59"/>
        <v>-0.39803845808291655</v>
      </c>
      <c r="O222" s="14"/>
      <c r="P222" s="1">
        <f>SUM(OSRRefP22_18x_0)</f>
        <v>50384.47</v>
      </c>
      <c r="Q222" s="1"/>
      <c r="R222" s="5">
        <f t="shared" si="60"/>
        <v>3.3435589291256139E-2</v>
      </c>
      <c r="S222" s="1"/>
      <c r="T222" s="1">
        <f>SUM(OSRRefT22_18x_0)</f>
        <v>83700.479999999996</v>
      </c>
      <c r="U222" s="1"/>
      <c r="V222" s="5">
        <f t="shared" si="61"/>
        <v>5.0279147384443869E-2</v>
      </c>
      <c r="W222" s="1"/>
      <c r="X222" s="1">
        <f t="shared" si="62"/>
        <v>-33316.009999999995</v>
      </c>
      <c r="Y222" s="1"/>
      <c r="Z222" s="5">
        <f t="shared" si="63"/>
        <v>-0.39803845808291655</v>
      </c>
    </row>
    <row r="223" spans="1:26" s="24" customFormat="1" hidden="1" outlineLevel="2" x14ac:dyDescent="0.25">
      <c r="A223" s="29"/>
      <c r="B223" s="11" t="str">
        <f>CONCATENATE("          ", "6371", " - ", "COMPUTER SOFTWARE MAINTENANCE")</f>
        <v xml:space="preserve">          6371 - COMPUTER SOFTWARE MAINTENANCE</v>
      </c>
      <c r="C223" s="11"/>
      <c r="D223" s="7">
        <v>601</v>
      </c>
      <c r="E223" s="2"/>
      <c r="F223" s="6">
        <f t="shared" si="56"/>
        <v>3.9882902735793272E-4</v>
      </c>
      <c r="G223" s="2"/>
      <c r="H223" s="7">
        <v>42330.579999999994</v>
      </c>
      <c r="I223" s="2"/>
      <c r="J223" s="6">
        <f t="shared" si="57"/>
        <v>2.5428115474236131E-2</v>
      </c>
      <c r="K223" s="2"/>
      <c r="L223" s="7">
        <f t="shared" si="58"/>
        <v>-41729.579999999994</v>
      </c>
      <c r="M223" s="2"/>
      <c r="N223" s="6">
        <f t="shared" si="59"/>
        <v>-0.98580222619203417</v>
      </c>
      <c r="O223" s="11"/>
      <c r="P223" s="7">
        <v>601</v>
      </c>
      <c r="Q223" s="2"/>
      <c r="R223" s="6">
        <f t="shared" si="60"/>
        <v>3.9882902735793272E-4</v>
      </c>
      <c r="S223" s="2"/>
      <c r="T223" s="7">
        <v>42330.579999999994</v>
      </c>
      <c r="U223" s="2"/>
      <c r="V223" s="6">
        <f t="shared" si="61"/>
        <v>2.5428115474236131E-2</v>
      </c>
      <c r="W223" s="2"/>
      <c r="X223" s="7">
        <f t="shared" si="62"/>
        <v>-41729.579999999994</v>
      </c>
      <c r="Y223" s="2"/>
      <c r="Z223" s="6">
        <f t="shared" si="63"/>
        <v>-0.98580222619203417</v>
      </c>
    </row>
    <row r="224" spans="1:26" s="24" customFormat="1" hidden="1" outlineLevel="2" x14ac:dyDescent="0.25">
      <c r="A224" s="29"/>
      <c r="B224" s="11" t="str">
        <f>CONCATENATE("          ", "6373", " - ", "MAINTENANCE CONTRACTS")</f>
        <v xml:space="preserve">          6373 - MAINTENANCE CONTRACTS</v>
      </c>
      <c r="C224" s="11"/>
      <c r="D224" s="7">
        <v>12516.56</v>
      </c>
      <c r="E224" s="2"/>
      <c r="F224" s="6">
        <f t="shared" si="56"/>
        <v>8.3061022473663992E-3</v>
      </c>
      <c r="G224" s="2"/>
      <c r="H224" s="7">
        <v>16975.68</v>
      </c>
      <c r="I224" s="2"/>
      <c r="J224" s="6">
        <f t="shared" si="57"/>
        <v>1.0197345542954546E-2</v>
      </c>
      <c r="K224" s="2"/>
      <c r="L224" s="7">
        <f t="shared" si="58"/>
        <v>-4459.1200000000008</v>
      </c>
      <c r="M224" s="2"/>
      <c r="N224" s="6">
        <f t="shared" si="59"/>
        <v>-0.26267695903787069</v>
      </c>
      <c r="O224" s="11"/>
      <c r="P224" s="7">
        <v>12516.56</v>
      </c>
      <c r="Q224" s="2"/>
      <c r="R224" s="6">
        <f t="shared" si="60"/>
        <v>8.3061022473663992E-3</v>
      </c>
      <c r="S224" s="2"/>
      <c r="T224" s="7">
        <v>16975.68</v>
      </c>
      <c r="U224" s="2"/>
      <c r="V224" s="6">
        <f t="shared" si="61"/>
        <v>1.0197345542954546E-2</v>
      </c>
      <c r="W224" s="2"/>
      <c r="X224" s="7">
        <f t="shared" si="62"/>
        <v>-4459.1200000000008</v>
      </c>
      <c r="Y224" s="2"/>
      <c r="Z224" s="6">
        <f t="shared" si="63"/>
        <v>-0.26267695903787069</v>
      </c>
    </row>
    <row r="225" spans="1:26" s="24" customFormat="1" hidden="1" outlineLevel="2" x14ac:dyDescent="0.25">
      <c r="A225" s="29"/>
      <c r="B225" s="11" t="str">
        <f>CONCATENATE("          ", "6375", " - ", "OUTSIDE REPAIRS &amp; MAINTENANCE")</f>
        <v xml:space="preserve">          6375 - OUTSIDE REPAIRS &amp; MAINTENANCE</v>
      </c>
      <c r="C225" s="11"/>
      <c r="D225" s="7">
        <v>37266.910000000003</v>
      </c>
      <c r="E225" s="2"/>
      <c r="F225" s="6">
        <f t="shared" si="56"/>
        <v>2.473065801653181E-2</v>
      </c>
      <c r="G225" s="2"/>
      <c r="H225" s="7">
        <v>24394.22</v>
      </c>
      <c r="I225" s="2"/>
      <c r="J225" s="6">
        <f t="shared" si="57"/>
        <v>1.4653686367253192E-2</v>
      </c>
      <c r="K225" s="2"/>
      <c r="L225" s="7">
        <f t="shared" si="58"/>
        <v>12872.690000000002</v>
      </c>
      <c r="M225" s="2"/>
      <c r="N225" s="6">
        <f t="shared" si="59"/>
        <v>0.52769426528087393</v>
      </c>
      <c r="O225" s="11"/>
      <c r="P225" s="7">
        <v>37266.910000000003</v>
      </c>
      <c r="Q225" s="2"/>
      <c r="R225" s="6">
        <f t="shared" si="60"/>
        <v>2.473065801653181E-2</v>
      </c>
      <c r="S225" s="2"/>
      <c r="T225" s="7">
        <v>24394.22</v>
      </c>
      <c r="U225" s="2"/>
      <c r="V225" s="6">
        <f t="shared" si="61"/>
        <v>1.4653686367253192E-2</v>
      </c>
      <c r="W225" s="2"/>
      <c r="X225" s="7">
        <f t="shared" si="62"/>
        <v>12872.690000000002</v>
      </c>
      <c r="Y225" s="2"/>
      <c r="Z225" s="6">
        <f t="shared" si="63"/>
        <v>0.52769426528087393</v>
      </c>
    </row>
    <row r="226" spans="1:26" s="28" customFormat="1" outlineLevel="1" collapsed="1" x14ac:dyDescent="0.25">
      <c r="A226" s="27"/>
      <c r="B226" s="14" t="str">
        <f>CONCATENATE("     ","Royalty &amp; Commissions                             ")</f>
        <v xml:space="preserve">     Royalty &amp; Commissions                             </v>
      </c>
      <c r="C226" s="14"/>
      <c r="D226" s="1">
        <f>SUM(OSRRefD22_19x_0)</f>
        <v>21944.15</v>
      </c>
      <c r="E226" s="1"/>
      <c r="F226" s="5">
        <f t="shared" ref="F226:F229" si="64">IF(D$12=0,0,D226/D$12)</f>
        <v>1.4562336107648219E-2</v>
      </c>
      <c r="G226" s="1"/>
      <c r="H226" s="1">
        <f>SUM(OSRRefH22_19x_0)</f>
        <v>22765.289999999997</v>
      </c>
      <c r="I226" s="1"/>
      <c r="J226" s="5">
        <f t="shared" ref="J226:J229" si="65">IF(H$12=0,0,H226/H$12)</f>
        <v>1.3675182880189051E-2</v>
      </c>
      <c r="K226" s="1"/>
      <c r="L226" s="1">
        <f t="shared" ref="L226:L229" si="66">+D226-H226</f>
        <v>-821.13999999999578</v>
      </c>
      <c r="M226" s="1"/>
      <c r="N226" s="5">
        <f t="shared" ref="N226:N229" si="67">IF(H226=0,0,L226/H226)</f>
        <v>-3.6069823841470762E-2</v>
      </c>
      <c r="O226" s="14"/>
      <c r="P226" s="1">
        <f>SUM(OSRRefP22_19x_0)</f>
        <v>21944.15</v>
      </c>
      <c r="Q226" s="1"/>
      <c r="R226" s="5">
        <f t="shared" ref="R226:R229" si="68">IF(P$12=0,0,P226/P$12)</f>
        <v>1.4562336107648219E-2</v>
      </c>
      <c r="S226" s="1"/>
      <c r="T226" s="1">
        <f>SUM(OSRRefT22_19x_0)</f>
        <v>22765.289999999997</v>
      </c>
      <c r="U226" s="1"/>
      <c r="V226" s="5">
        <f t="shared" ref="V226:V229" si="69">IF(T$12=0,0,T226/T$12)</f>
        <v>1.3675182880189051E-2</v>
      </c>
      <c r="W226" s="1"/>
      <c r="X226" s="1">
        <f t="shared" ref="X226:X229" si="70">+P226-T226</f>
        <v>-821.13999999999578</v>
      </c>
      <c r="Y226" s="1"/>
      <c r="Z226" s="5">
        <f t="shared" ref="Z226:Z229" si="71">IF(T226=0,0,X226/T226)</f>
        <v>-3.6069823841470762E-2</v>
      </c>
    </row>
    <row r="227" spans="1:26" s="24" customFormat="1" hidden="1" outlineLevel="2" x14ac:dyDescent="0.25">
      <c r="A227" s="29"/>
      <c r="B227" s="11" t="str">
        <f>CONCATENATE("          ", "6253", " - ", "ROYALTY DUE ATHLETICS-LRG")</f>
        <v xml:space="preserve">          6253 - ROYALTY DUE ATHLETICS-LRG</v>
      </c>
      <c r="C227" s="11"/>
      <c r="D227" s="7">
        <v>4366.95</v>
      </c>
      <c r="E227" s="2"/>
      <c r="F227" s="6">
        <f t="shared" si="64"/>
        <v>2.8979474559413048E-3</v>
      </c>
      <c r="G227" s="2"/>
      <c r="H227" s="7">
        <v>6645.39</v>
      </c>
      <c r="I227" s="2"/>
      <c r="J227" s="6">
        <f t="shared" si="65"/>
        <v>3.9919071340703124E-3</v>
      </c>
      <c r="K227" s="2"/>
      <c r="L227" s="7">
        <f t="shared" si="66"/>
        <v>-2278.4400000000005</v>
      </c>
      <c r="M227" s="2"/>
      <c r="N227" s="6">
        <f t="shared" si="67"/>
        <v>-0.34286023845101649</v>
      </c>
      <c r="O227" s="11"/>
      <c r="P227" s="7">
        <v>4366.95</v>
      </c>
      <c r="Q227" s="2"/>
      <c r="R227" s="6">
        <f t="shared" si="68"/>
        <v>2.8979474559413048E-3</v>
      </c>
      <c r="S227" s="2"/>
      <c r="T227" s="7">
        <v>6645.39</v>
      </c>
      <c r="U227" s="2"/>
      <c r="V227" s="6">
        <f t="shared" si="69"/>
        <v>3.9919071340703124E-3</v>
      </c>
      <c r="W227" s="2"/>
      <c r="X227" s="7">
        <f t="shared" si="70"/>
        <v>-2278.4400000000005</v>
      </c>
      <c r="Y227" s="2"/>
      <c r="Z227" s="6">
        <f t="shared" si="71"/>
        <v>-0.34286023845101649</v>
      </c>
    </row>
    <row r="228" spans="1:26" s="24" customFormat="1" hidden="1" outlineLevel="2" x14ac:dyDescent="0.25">
      <c r="A228" s="29"/>
      <c r="B228" s="11" t="str">
        <f>CONCATENATE("          ", "6254", " - ", "ROYALTY &amp; COMMISSIONS")</f>
        <v xml:space="preserve">          6254 - ROYALTY &amp; COMMISSIONS</v>
      </c>
      <c r="C228" s="11"/>
      <c r="D228" s="7">
        <v>14086.75</v>
      </c>
      <c r="E228" s="2"/>
      <c r="F228" s="6">
        <f t="shared" si="64"/>
        <v>9.348094511038867E-3</v>
      </c>
      <c r="G228" s="2"/>
      <c r="H228" s="7">
        <v>12420.3</v>
      </c>
      <c r="I228" s="2"/>
      <c r="J228" s="6">
        <f t="shared" si="65"/>
        <v>7.4609141340528529E-3</v>
      </c>
      <c r="K228" s="2"/>
      <c r="L228" s="7">
        <f t="shared" si="66"/>
        <v>1666.4500000000007</v>
      </c>
      <c r="M228" s="2"/>
      <c r="N228" s="6">
        <f t="shared" si="67"/>
        <v>0.13417147733951681</v>
      </c>
      <c r="O228" s="11"/>
      <c r="P228" s="7">
        <v>14086.75</v>
      </c>
      <c r="Q228" s="2"/>
      <c r="R228" s="6">
        <f t="shared" si="68"/>
        <v>9.348094511038867E-3</v>
      </c>
      <c r="S228" s="2"/>
      <c r="T228" s="7">
        <v>12420.3</v>
      </c>
      <c r="U228" s="2"/>
      <c r="V228" s="6">
        <f t="shared" si="69"/>
        <v>7.4609141340528529E-3</v>
      </c>
      <c r="W228" s="2"/>
      <c r="X228" s="7">
        <f t="shared" si="70"/>
        <v>1666.4500000000007</v>
      </c>
      <c r="Y228" s="2"/>
      <c r="Z228" s="6">
        <f t="shared" si="71"/>
        <v>0.13417147733951681</v>
      </c>
    </row>
    <row r="229" spans="1:26" s="24" customFormat="1" hidden="1" outlineLevel="2" x14ac:dyDescent="0.25">
      <c r="A229" s="29"/>
      <c r="B229" s="11" t="str">
        <f>CONCATENATE("          ", "6259", " - ", "ROYALTY &amp; COMMISSIONS")</f>
        <v xml:space="preserve">          6259 - ROYALTY &amp; COMMISSIONS</v>
      </c>
      <c r="C229" s="11"/>
      <c r="D229" s="7">
        <v>3490.45</v>
      </c>
      <c r="E229" s="2"/>
      <c r="F229" s="6">
        <f t="shared" si="64"/>
        <v>2.3162941406680466E-3</v>
      </c>
      <c r="G229" s="2"/>
      <c r="H229" s="7">
        <v>3699.6</v>
      </c>
      <c r="I229" s="2"/>
      <c r="J229" s="6">
        <f t="shared" si="65"/>
        <v>2.2223616120658871E-3</v>
      </c>
      <c r="K229" s="2"/>
      <c r="L229" s="7">
        <f t="shared" si="66"/>
        <v>-209.15000000000009</v>
      </c>
      <c r="M229" s="2"/>
      <c r="N229" s="6">
        <f t="shared" si="67"/>
        <v>-5.6533138717699237E-2</v>
      </c>
      <c r="O229" s="11"/>
      <c r="P229" s="7">
        <v>3490.45</v>
      </c>
      <c r="Q229" s="2"/>
      <c r="R229" s="6">
        <f t="shared" si="68"/>
        <v>2.3162941406680466E-3</v>
      </c>
      <c r="S229" s="2"/>
      <c r="T229" s="7">
        <v>3699.6</v>
      </c>
      <c r="U229" s="2"/>
      <c r="V229" s="6">
        <f t="shared" si="69"/>
        <v>2.2223616120658871E-3</v>
      </c>
      <c r="W229" s="2"/>
      <c r="X229" s="7">
        <f t="shared" si="70"/>
        <v>-209.15000000000009</v>
      </c>
      <c r="Y229" s="2"/>
      <c r="Z229" s="6">
        <f t="shared" si="71"/>
        <v>-5.6533138717699237E-2</v>
      </c>
    </row>
    <row r="230" spans="1:26" s="28" customFormat="1" outlineLevel="1" collapsed="1" x14ac:dyDescent="0.25">
      <c r="A230" s="27"/>
      <c r="B230" s="14" t="str">
        <f>CONCATENATE("     ","Services                                          ")</f>
        <v xml:space="preserve">     Services                                          </v>
      </c>
      <c r="C230" s="14"/>
      <c r="D230" s="1">
        <f>SUM(OSRRefD22_20x_0)</f>
        <v>47318.460000000006</v>
      </c>
      <c r="E230" s="1"/>
      <c r="F230" s="5">
        <f t="shared" ref="F230:F235" si="72">IF(D$12=0,0,D230/D$12)</f>
        <v>3.1400957367512888E-2</v>
      </c>
      <c r="G230" s="1"/>
      <c r="H230" s="1">
        <f>SUM(OSRRefH22_20x_0)</f>
        <v>38524.28</v>
      </c>
      <c r="I230" s="1"/>
      <c r="J230" s="5">
        <f t="shared" ref="J230:J235" si="73">IF(H$12=0,0,H230/H$12)</f>
        <v>2.31416588291917E-2</v>
      </c>
      <c r="K230" s="1"/>
      <c r="L230" s="1">
        <f t="shared" ref="L230:L235" si="74">+D230-H230</f>
        <v>8794.1800000000076</v>
      </c>
      <c r="M230" s="1"/>
      <c r="N230" s="5">
        <f t="shared" ref="N230:N235" si="75">IF(H230=0,0,L230/H230)</f>
        <v>0.22827629744150982</v>
      </c>
      <c r="O230" s="14"/>
      <c r="P230" s="1">
        <f>SUM(OSRRefP22_20x_0)</f>
        <v>47318.460000000006</v>
      </c>
      <c r="Q230" s="1"/>
      <c r="R230" s="5">
        <f t="shared" ref="R230:R235" si="76">IF(P$12=0,0,P230/P$12)</f>
        <v>3.1400957367512888E-2</v>
      </c>
      <c r="S230" s="1"/>
      <c r="T230" s="1">
        <f>SUM(OSRRefT22_20x_0)</f>
        <v>38524.28</v>
      </c>
      <c r="U230" s="1"/>
      <c r="V230" s="5">
        <f t="shared" ref="V230:V235" si="77">IF(T$12=0,0,T230/T$12)</f>
        <v>2.31416588291917E-2</v>
      </c>
      <c r="W230" s="1"/>
      <c r="X230" s="1">
        <f t="shared" ref="X230:X235" si="78">+P230-T230</f>
        <v>8794.1800000000076</v>
      </c>
      <c r="Y230" s="1"/>
      <c r="Z230" s="5">
        <f t="shared" ref="Z230:Z235" si="79">IF(T230=0,0,X230/T230)</f>
        <v>0.22827629744150982</v>
      </c>
    </row>
    <row r="231" spans="1:26" s="24" customFormat="1" hidden="1" outlineLevel="2" x14ac:dyDescent="0.25">
      <c r="A231" s="29"/>
      <c r="B231" s="11" t="str">
        <f>CONCATENATE("          ", "6282", " - ", "JANITORIAL/EXTERMINATOR EXPENS")</f>
        <v xml:space="preserve">          6282 - JANITORIAL/EXTERMINATOR EXPENS</v>
      </c>
      <c r="C231" s="11"/>
      <c r="D231" s="7">
        <v>3654.46</v>
      </c>
      <c r="E231" s="2"/>
      <c r="F231" s="6">
        <f t="shared" si="72"/>
        <v>2.4251326577678384E-3</v>
      </c>
      <c r="G231" s="2"/>
      <c r="H231" s="7">
        <v>3527</v>
      </c>
      <c r="I231" s="2"/>
      <c r="J231" s="6">
        <f t="shared" si="73"/>
        <v>2.1186802372571045E-3</v>
      </c>
      <c r="K231" s="2"/>
      <c r="L231" s="7">
        <f t="shared" si="74"/>
        <v>127.46000000000004</v>
      </c>
      <c r="M231" s="2"/>
      <c r="N231" s="6">
        <f t="shared" si="75"/>
        <v>3.6138361213495902E-2</v>
      </c>
      <c r="O231" s="11"/>
      <c r="P231" s="7">
        <v>3654.46</v>
      </c>
      <c r="Q231" s="2"/>
      <c r="R231" s="6">
        <f t="shared" si="76"/>
        <v>2.4251326577678384E-3</v>
      </c>
      <c r="S231" s="2"/>
      <c r="T231" s="7">
        <v>3527</v>
      </c>
      <c r="U231" s="2"/>
      <c r="V231" s="6">
        <f t="shared" si="77"/>
        <v>2.1186802372571045E-3</v>
      </c>
      <c r="W231" s="2"/>
      <c r="X231" s="7">
        <f t="shared" si="78"/>
        <v>127.46000000000004</v>
      </c>
      <c r="Y231" s="2"/>
      <c r="Z231" s="6">
        <f t="shared" si="79"/>
        <v>3.6138361213495902E-2</v>
      </c>
    </row>
    <row r="232" spans="1:26" s="24" customFormat="1" hidden="1" outlineLevel="2" x14ac:dyDescent="0.25">
      <c r="A232" s="29"/>
      <c r="B232" s="11" t="str">
        <f>CONCATENATE("          ", "6283", " - ", "PLANT SERVICE")</f>
        <v xml:space="preserve">          6283 - PLANT SERVICE</v>
      </c>
      <c r="C232" s="11"/>
      <c r="D232" s="7">
        <v>380.44</v>
      </c>
      <c r="E232" s="2"/>
      <c r="F232" s="6">
        <f t="shared" si="72"/>
        <v>2.5246341958078523E-4</v>
      </c>
      <c r="G232" s="2"/>
      <c r="H232" s="7">
        <v>349</v>
      </c>
      <c r="I232" s="2"/>
      <c r="J232" s="6">
        <f t="shared" si="73"/>
        <v>2.0964542183235879E-4</v>
      </c>
      <c r="K232" s="2"/>
      <c r="L232" s="7">
        <f t="shared" si="74"/>
        <v>31.439999999999998</v>
      </c>
      <c r="M232" s="2"/>
      <c r="N232" s="6">
        <f t="shared" si="75"/>
        <v>9.0085959885386813E-2</v>
      </c>
      <c r="O232" s="11"/>
      <c r="P232" s="7">
        <v>380.44</v>
      </c>
      <c r="Q232" s="2"/>
      <c r="R232" s="6">
        <f t="shared" si="76"/>
        <v>2.5246341958078523E-4</v>
      </c>
      <c r="S232" s="2"/>
      <c r="T232" s="7">
        <v>349</v>
      </c>
      <c r="U232" s="2"/>
      <c r="V232" s="6">
        <f t="shared" si="77"/>
        <v>2.0964542183235879E-4</v>
      </c>
      <c r="W232" s="2"/>
      <c r="X232" s="7">
        <f t="shared" si="78"/>
        <v>31.439999999999998</v>
      </c>
      <c r="Y232" s="2"/>
      <c r="Z232" s="6">
        <f t="shared" si="79"/>
        <v>9.0085959885386813E-2</v>
      </c>
    </row>
    <row r="233" spans="1:26" s="24" customFormat="1" hidden="1" outlineLevel="2" x14ac:dyDescent="0.25">
      <c r="A233" s="29"/>
      <c r="B233" s="11" t="str">
        <f>CONCATENATE("          ", "6284", " - ", "TRASH REMOVAL EXPENSE")</f>
        <v xml:space="preserve">          6284 - TRASH REMOVAL EXPENSE</v>
      </c>
      <c r="C233" s="11"/>
      <c r="D233" s="7">
        <v>4570.82</v>
      </c>
      <c r="E233" s="2"/>
      <c r="F233" s="6">
        <f t="shared" si="72"/>
        <v>3.0332374289986455E-3</v>
      </c>
      <c r="G233" s="2"/>
      <c r="H233" s="7">
        <v>3494.46</v>
      </c>
      <c r="I233" s="2"/>
      <c r="J233" s="6">
        <f t="shared" si="73"/>
        <v>2.0991333546598982E-3</v>
      </c>
      <c r="K233" s="2"/>
      <c r="L233" s="7">
        <f t="shared" si="74"/>
        <v>1076.3599999999997</v>
      </c>
      <c r="M233" s="2"/>
      <c r="N233" s="6">
        <f t="shared" si="75"/>
        <v>0.30801897861185984</v>
      </c>
      <c r="O233" s="11"/>
      <c r="P233" s="7">
        <v>4570.82</v>
      </c>
      <c r="Q233" s="2"/>
      <c r="R233" s="6">
        <f t="shared" si="76"/>
        <v>3.0332374289986455E-3</v>
      </c>
      <c r="S233" s="2"/>
      <c r="T233" s="7">
        <v>3494.46</v>
      </c>
      <c r="U233" s="2"/>
      <c r="V233" s="6">
        <f t="shared" si="77"/>
        <v>2.0991333546598982E-3</v>
      </c>
      <c r="W233" s="2"/>
      <c r="X233" s="7">
        <f t="shared" si="78"/>
        <v>1076.3599999999997</v>
      </c>
      <c r="Y233" s="2"/>
      <c r="Z233" s="6">
        <f t="shared" si="79"/>
        <v>0.30801897861185984</v>
      </c>
    </row>
    <row r="234" spans="1:26" s="24" customFormat="1" hidden="1" outlineLevel="2" x14ac:dyDescent="0.25">
      <c r="A234" s="29"/>
      <c r="B234" s="11" t="str">
        <f>CONCATENATE("          ", "6285", " - ", "JANITORIAL SERVICES")</f>
        <v xml:space="preserve">          6285 - JANITORIAL SERVICES</v>
      </c>
      <c r="C234" s="11"/>
      <c r="D234" s="7">
        <v>29975.190000000002</v>
      </c>
      <c r="E234" s="2"/>
      <c r="F234" s="6">
        <f t="shared" si="72"/>
        <v>1.9891806776321519E-2</v>
      </c>
      <c r="G234" s="2"/>
      <c r="H234" s="7">
        <v>23901.17</v>
      </c>
      <c r="I234" s="2"/>
      <c r="J234" s="6">
        <f t="shared" si="73"/>
        <v>1.435750964738372E-2</v>
      </c>
      <c r="K234" s="2"/>
      <c r="L234" s="7">
        <f t="shared" si="74"/>
        <v>6074.0200000000041</v>
      </c>
      <c r="M234" s="2"/>
      <c r="N234" s="6">
        <f t="shared" si="75"/>
        <v>0.25413065552857894</v>
      </c>
      <c r="O234" s="11"/>
      <c r="P234" s="7">
        <v>29975.190000000002</v>
      </c>
      <c r="Q234" s="2"/>
      <c r="R234" s="6">
        <f t="shared" si="76"/>
        <v>1.9891806776321519E-2</v>
      </c>
      <c r="S234" s="2"/>
      <c r="T234" s="7">
        <v>23901.17</v>
      </c>
      <c r="U234" s="2"/>
      <c r="V234" s="6">
        <f t="shared" si="77"/>
        <v>1.435750964738372E-2</v>
      </c>
      <c r="W234" s="2"/>
      <c r="X234" s="7">
        <f t="shared" si="78"/>
        <v>6074.0200000000041</v>
      </c>
      <c r="Y234" s="2"/>
      <c r="Z234" s="6">
        <f t="shared" si="79"/>
        <v>0.25413065552857894</v>
      </c>
    </row>
    <row r="235" spans="1:26" s="24" customFormat="1" hidden="1" outlineLevel="2" x14ac:dyDescent="0.25">
      <c r="A235" s="29"/>
      <c r="B235" s="11" t="str">
        <f>CONCATENATE("          ", "6286", " - ", "LAUNDRY EXPENSE")</f>
        <v xml:space="preserve">          6286 - LAUNDRY EXPENSE</v>
      </c>
      <c r="C235" s="11"/>
      <c r="D235" s="7">
        <v>8737.5499999999993</v>
      </c>
      <c r="E235" s="2"/>
      <c r="F235" s="6">
        <f t="shared" si="72"/>
        <v>5.7983170848441012E-3</v>
      </c>
      <c r="G235" s="2"/>
      <c r="H235" s="7">
        <v>7252.65</v>
      </c>
      <c r="I235" s="2"/>
      <c r="J235" s="6">
        <f t="shared" si="73"/>
        <v>4.3566901680586155E-3</v>
      </c>
      <c r="K235" s="2"/>
      <c r="L235" s="7">
        <f t="shared" si="74"/>
        <v>1484.8999999999996</v>
      </c>
      <c r="M235" s="2"/>
      <c r="N235" s="6">
        <f t="shared" si="75"/>
        <v>0.20473895748450563</v>
      </c>
      <c r="O235" s="11"/>
      <c r="P235" s="7">
        <v>8737.5499999999993</v>
      </c>
      <c r="Q235" s="2"/>
      <c r="R235" s="6">
        <f t="shared" si="76"/>
        <v>5.7983170848441012E-3</v>
      </c>
      <c r="S235" s="2"/>
      <c r="T235" s="7">
        <v>7252.65</v>
      </c>
      <c r="U235" s="2"/>
      <c r="V235" s="6">
        <f t="shared" si="77"/>
        <v>4.3566901680586155E-3</v>
      </c>
      <c r="W235" s="2"/>
      <c r="X235" s="7">
        <f t="shared" si="78"/>
        <v>1484.8999999999996</v>
      </c>
      <c r="Y235" s="2"/>
      <c r="Z235" s="6">
        <f t="shared" si="79"/>
        <v>0.20473895748450563</v>
      </c>
    </row>
    <row r="236" spans="1:26" s="28" customFormat="1" outlineLevel="1" collapsed="1" x14ac:dyDescent="0.25">
      <c r="A236" s="27"/>
      <c r="B236" s="14" t="str">
        <f>CONCATENATE("     ","Subscriptions &amp; Dues                              ")</f>
        <v xml:space="preserve">     Subscriptions &amp; Dues                              </v>
      </c>
      <c r="C236" s="14"/>
      <c r="D236" s="1">
        <f>SUM(OSRRefD22_21x_0)</f>
        <v>1032.0700000000002</v>
      </c>
      <c r="E236" s="1"/>
      <c r="F236" s="5">
        <f t="shared" ref="F236:F238" si="80">IF(D$12=0,0,D236/D$12)</f>
        <v>6.8489097215524407E-4</v>
      </c>
      <c r="G236" s="1"/>
      <c r="H236" s="1">
        <f>SUM(OSRRefH22_21x_0)</f>
        <v>842.34999999999991</v>
      </c>
      <c r="I236" s="1"/>
      <c r="J236" s="5">
        <f t="shared" ref="J236:J238" si="81">IF(H$12=0,0,H236/H$12)</f>
        <v>5.0600235266615309E-4</v>
      </c>
      <c r="K236" s="1"/>
      <c r="L236" s="1">
        <f t="shared" ref="L236:L238" si="82">+D236-H236</f>
        <v>189.72000000000025</v>
      </c>
      <c r="M236" s="1"/>
      <c r="N236" s="5">
        <f t="shared" ref="N236:N238" si="83">IF(H236=0,0,L236/H236)</f>
        <v>0.22522704339051497</v>
      </c>
      <c r="O236" s="14"/>
      <c r="P236" s="1">
        <f>SUM(OSRRefP22_21x_0)</f>
        <v>1032.0700000000002</v>
      </c>
      <c r="Q236" s="1"/>
      <c r="R236" s="5">
        <f t="shared" ref="R236:R238" si="84">IF(P$12=0,0,P236/P$12)</f>
        <v>6.8489097215524407E-4</v>
      </c>
      <c r="S236" s="1"/>
      <c r="T236" s="1">
        <f>SUM(OSRRefT22_21x_0)</f>
        <v>842.34999999999991</v>
      </c>
      <c r="U236" s="1"/>
      <c r="V236" s="5">
        <f t="shared" ref="V236:V238" si="85">IF(T$12=0,0,T236/T$12)</f>
        <v>5.0600235266615309E-4</v>
      </c>
      <c r="W236" s="1"/>
      <c r="X236" s="1">
        <f t="shared" ref="X236:X238" si="86">+P236-T236</f>
        <v>189.72000000000025</v>
      </c>
      <c r="Y236" s="1"/>
      <c r="Z236" s="5">
        <f t="shared" ref="Z236:Z238" si="87">IF(T236=0,0,X236/T236)</f>
        <v>0.22522704339051497</v>
      </c>
    </row>
    <row r="237" spans="1:26" s="24" customFormat="1" hidden="1" outlineLevel="2" x14ac:dyDescent="0.25">
      <c r="A237" s="29"/>
      <c r="B237" s="11" t="str">
        <f>CONCATENATE("          ", "6258", " - ", "MEMBERSHIP DUES")</f>
        <v xml:space="preserve">          6258 - MEMBERSHIP DUES</v>
      </c>
      <c r="C237" s="11"/>
      <c r="D237" s="7">
        <v>288.85000000000002</v>
      </c>
      <c r="E237" s="2"/>
      <c r="F237" s="6">
        <f t="shared" si="80"/>
        <v>1.9168346847310962E-4</v>
      </c>
      <c r="G237" s="2"/>
      <c r="H237" s="7">
        <v>281.8</v>
      </c>
      <c r="I237" s="2"/>
      <c r="J237" s="6">
        <f t="shared" si="81"/>
        <v>1.6927816582337741E-4</v>
      </c>
      <c r="K237" s="2"/>
      <c r="L237" s="7">
        <f t="shared" si="82"/>
        <v>7.0500000000000114</v>
      </c>
      <c r="M237" s="2"/>
      <c r="N237" s="6">
        <f t="shared" si="83"/>
        <v>2.5017743080198763E-2</v>
      </c>
      <c r="O237" s="11"/>
      <c r="P237" s="7">
        <v>288.85000000000002</v>
      </c>
      <c r="Q237" s="2"/>
      <c r="R237" s="6">
        <f t="shared" si="84"/>
        <v>1.9168346847310962E-4</v>
      </c>
      <c r="S237" s="2"/>
      <c r="T237" s="7">
        <v>281.8</v>
      </c>
      <c r="U237" s="2"/>
      <c r="V237" s="6">
        <f t="shared" si="85"/>
        <v>1.6927816582337741E-4</v>
      </c>
      <c r="W237" s="2"/>
      <c r="X237" s="7">
        <f t="shared" si="86"/>
        <v>7.0500000000000114</v>
      </c>
      <c r="Y237" s="2"/>
      <c r="Z237" s="6">
        <f t="shared" si="87"/>
        <v>2.5017743080198763E-2</v>
      </c>
    </row>
    <row r="238" spans="1:26" s="24" customFormat="1" hidden="1" outlineLevel="2" x14ac:dyDescent="0.25">
      <c r="A238" s="29"/>
      <c r="B238" s="11" t="str">
        <f>CONCATENATE("          ", "6275", " - ", "SUBSCRIPTIONS")</f>
        <v xml:space="preserve">          6275 - SUBSCRIPTIONS</v>
      </c>
      <c r="C238" s="11"/>
      <c r="D238" s="7">
        <v>743.22</v>
      </c>
      <c r="E238" s="2"/>
      <c r="F238" s="6">
        <f t="shared" si="80"/>
        <v>4.9320750368213437E-4</v>
      </c>
      <c r="G238" s="2"/>
      <c r="H238" s="7">
        <v>560.54999999999995</v>
      </c>
      <c r="I238" s="2"/>
      <c r="J238" s="6">
        <f t="shared" si="81"/>
        <v>3.3672418684277568E-4</v>
      </c>
      <c r="K238" s="2"/>
      <c r="L238" s="7">
        <f t="shared" si="82"/>
        <v>182.67000000000007</v>
      </c>
      <c r="M238" s="2"/>
      <c r="N238" s="6">
        <f t="shared" si="83"/>
        <v>0.32587637142092601</v>
      </c>
      <c r="O238" s="11"/>
      <c r="P238" s="7">
        <v>743.22</v>
      </c>
      <c r="Q238" s="2"/>
      <c r="R238" s="6">
        <f t="shared" si="84"/>
        <v>4.9320750368213437E-4</v>
      </c>
      <c r="S238" s="2"/>
      <c r="T238" s="7">
        <v>560.54999999999995</v>
      </c>
      <c r="U238" s="2"/>
      <c r="V238" s="6">
        <f t="shared" si="85"/>
        <v>3.3672418684277568E-4</v>
      </c>
      <c r="W238" s="2"/>
      <c r="X238" s="7">
        <f t="shared" si="86"/>
        <v>182.67000000000007</v>
      </c>
      <c r="Y238" s="2"/>
      <c r="Z238" s="6">
        <f t="shared" si="87"/>
        <v>0.32587637142092601</v>
      </c>
    </row>
    <row r="239" spans="1:26" s="28" customFormat="1" outlineLevel="1" collapsed="1" x14ac:dyDescent="0.25">
      <c r="A239" s="27"/>
      <c r="B239" s="14" t="str">
        <f>CONCATENATE("     ","Supplies                                          ")</f>
        <v xml:space="preserve">     Supplies                                          </v>
      </c>
      <c r="C239" s="14"/>
      <c r="D239" s="1">
        <f>SUM(OSRRefD22_22x_0)</f>
        <v>74362.23</v>
      </c>
      <c r="E239" s="1"/>
      <c r="F239" s="5">
        <f t="shared" ref="F239:F247" si="88">IF(D$12=0,0,D239/D$12)</f>
        <v>4.9347447359512284E-2</v>
      </c>
      <c r="G239" s="1"/>
      <c r="H239" s="1">
        <f>SUM(OSRRefH22_22x_0)</f>
        <v>111321.69</v>
      </c>
      <c r="I239" s="1"/>
      <c r="J239" s="5">
        <f t="shared" ref="J239:J247" si="89">IF(H$12=0,0,H239/H$12)</f>
        <v>6.6871297017596212E-2</v>
      </c>
      <c r="K239" s="1"/>
      <c r="L239" s="1">
        <f t="shared" ref="L239:L247" si="90">+D239-H239</f>
        <v>-36959.460000000006</v>
      </c>
      <c r="M239" s="1"/>
      <c r="N239" s="5">
        <f t="shared" ref="N239:N247" si="91">IF(H239=0,0,L239/H239)</f>
        <v>-0.33200591906213428</v>
      </c>
      <c r="O239" s="14"/>
      <c r="P239" s="1">
        <f>SUM(OSRRefP22_22x_0)</f>
        <v>74362.23</v>
      </c>
      <c r="Q239" s="1"/>
      <c r="R239" s="5">
        <f t="shared" ref="R239:R247" si="92">IF(P$12=0,0,P239/P$12)</f>
        <v>4.9347447359512284E-2</v>
      </c>
      <c r="S239" s="1"/>
      <c r="T239" s="1">
        <f>SUM(OSRRefT22_22x_0)</f>
        <v>111321.69</v>
      </c>
      <c r="U239" s="1"/>
      <c r="V239" s="5">
        <f t="shared" ref="V239:V247" si="93">IF(T$12=0,0,T239/T$12)</f>
        <v>6.6871297017596212E-2</v>
      </c>
      <c r="W239" s="1"/>
      <c r="X239" s="1">
        <f t="shared" ref="X239:X247" si="94">+P239-T239</f>
        <v>-36959.460000000006</v>
      </c>
      <c r="Y239" s="1"/>
      <c r="Z239" s="5">
        <f t="shared" ref="Z239:Z247" si="95">IF(T239=0,0,X239/T239)</f>
        <v>-0.33200591906213428</v>
      </c>
    </row>
    <row r="240" spans="1:26" s="24" customFormat="1" hidden="1" outlineLevel="2" x14ac:dyDescent="0.25">
      <c r="A240" s="29"/>
      <c r="B240" s="11" t="str">
        <f>CONCATENATE("          ", "6234", " - ", "EXPENDABLE SUPPLIES &amp; EQUIPMEN")</f>
        <v xml:space="preserve">          6234 - EXPENDABLE SUPPLIES &amp; EQUIPMEN</v>
      </c>
      <c r="C240" s="11"/>
      <c r="D240" s="7">
        <v>702.08</v>
      </c>
      <c r="E240" s="2"/>
      <c r="F240" s="6">
        <f t="shared" si="88"/>
        <v>4.6590662816548657E-4</v>
      </c>
      <c r="G240" s="2"/>
      <c r="H240" s="7">
        <v>2790.19</v>
      </c>
      <c r="I240" s="2"/>
      <c r="J240" s="6">
        <f t="shared" si="89"/>
        <v>1.6760761018407714E-3</v>
      </c>
      <c r="K240" s="2"/>
      <c r="L240" s="7">
        <f t="shared" si="90"/>
        <v>-2088.11</v>
      </c>
      <c r="M240" s="2"/>
      <c r="N240" s="6">
        <f t="shared" si="91"/>
        <v>-0.74837555865371175</v>
      </c>
      <c r="O240" s="11"/>
      <c r="P240" s="7">
        <v>702.08</v>
      </c>
      <c r="Q240" s="2"/>
      <c r="R240" s="6">
        <f t="shared" si="92"/>
        <v>4.6590662816548657E-4</v>
      </c>
      <c r="S240" s="2"/>
      <c r="T240" s="7">
        <v>2790.19</v>
      </c>
      <c r="U240" s="2"/>
      <c r="V240" s="6">
        <f t="shared" si="93"/>
        <v>1.6760761018407714E-3</v>
      </c>
      <c r="W240" s="2"/>
      <c r="X240" s="7">
        <f t="shared" si="94"/>
        <v>-2088.11</v>
      </c>
      <c r="Y240" s="2"/>
      <c r="Z240" s="6">
        <f t="shared" si="95"/>
        <v>-0.74837555865371175</v>
      </c>
    </row>
    <row r="241" spans="1:26" s="24" customFormat="1" hidden="1" outlineLevel="2" x14ac:dyDescent="0.25">
      <c r="A241" s="29"/>
      <c r="B241" s="11" t="str">
        <f>CONCATENATE("          ", "6237", " - ", "JANITORIAL SUPPLIES")</f>
        <v xml:space="preserve">          6237 - JANITORIAL SUPPLIES</v>
      </c>
      <c r="C241" s="11"/>
      <c r="D241" s="7">
        <v>11951.92</v>
      </c>
      <c r="E241" s="2"/>
      <c r="F241" s="6">
        <f t="shared" si="88"/>
        <v>7.9314020443591073E-3</v>
      </c>
      <c r="G241" s="2"/>
      <c r="H241" s="7">
        <v>11916.71</v>
      </c>
      <c r="I241" s="2"/>
      <c r="J241" s="6">
        <f t="shared" si="89"/>
        <v>7.1584060023034048E-3</v>
      </c>
      <c r="K241" s="2"/>
      <c r="L241" s="7">
        <f t="shared" si="90"/>
        <v>35.210000000000946</v>
      </c>
      <c r="M241" s="2"/>
      <c r="N241" s="6">
        <f t="shared" si="91"/>
        <v>2.9546745704142293E-3</v>
      </c>
      <c r="O241" s="11"/>
      <c r="P241" s="7">
        <v>11951.92</v>
      </c>
      <c r="Q241" s="2"/>
      <c r="R241" s="6">
        <f t="shared" si="92"/>
        <v>7.9314020443591073E-3</v>
      </c>
      <c r="S241" s="2"/>
      <c r="T241" s="7">
        <v>11916.71</v>
      </c>
      <c r="U241" s="2"/>
      <c r="V241" s="6">
        <f t="shared" si="93"/>
        <v>7.1584060023034048E-3</v>
      </c>
      <c r="W241" s="2"/>
      <c r="X241" s="7">
        <f t="shared" si="94"/>
        <v>35.210000000000946</v>
      </c>
      <c r="Y241" s="2"/>
      <c r="Z241" s="6">
        <f t="shared" si="95"/>
        <v>2.9546745704142293E-3</v>
      </c>
    </row>
    <row r="242" spans="1:26" s="24" customFormat="1" hidden="1" outlineLevel="2" x14ac:dyDescent="0.25">
      <c r="A242" s="29"/>
      <c r="B242" s="11" t="str">
        <f>CONCATENATE("          ", "6239", " - ", "KITCHEN SUPPLIES")</f>
        <v xml:space="preserve">          6239 - KITCHEN SUPPLIES</v>
      </c>
      <c r="C242" s="11"/>
      <c r="D242" s="7">
        <v>7252.5</v>
      </c>
      <c r="E242" s="2"/>
      <c r="F242" s="6">
        <f t="shared" si="88"/>
        <v>4.812824494032291E-3</v>
      </c>
      <c r="G242" s="2"/>
      <c r="H242" s="7">
        <v>2335.9499999999998</v>
      </c>
      <c r="I242" s="2"/>
      <c r="J242" s="6">
        <f t="shared" si="89"/>
        <v>1.4032126737229184E-3</v>
      </c>
      <c r="K242" s="2"/>
      <c r="L242" s="7">
        <f t="shared" si="90"/>
        <v>4916.55</v>
      </c>
      <c r="M242" s="2"/>
      <c r="N242" s="6">
        <f t="shared" si="91"/>
        <v>2.1047325499261547</v>
      </c>
      <c r="O242" s="11"/>
      <c r="P242" s="7">
        <v>7252.5</v>
      </c>
      <c r="Q242" s="2"/>
      <c r="R242" s="6">
        <f t="shared" si="92"/>
        <v>4.812824494032291E-3</v>
      </c>
      <c r="S242" s="2"/>
      <c r="T242" s="7">
        <v>2335.9499999999998</v>
      </c>
      <c r="U242" s="2"/>
      <c r="V242" s="6">
        <f t="shared" si="93"/>
        <v>1.4032126737229184E-3</v>
      </c>
      <c r="W242" s="2"/>
      <c r="X242" s="7">
        <f t="shared" si="94"/>
        <v>4916.55</v>
      </c>
      <c r="Y242" s="2"/>
      <c r="Z242" s="6">
        <f t="shared" si="95"/>
        <v>2.1047325499261547</v>
      </c>
    </row>
    <row r="243" spans="1:26" s="24" customFormat="1" hidden="1" outlineLevel="2" x14ac:dyDescent="0.25">
      <c r="A243" s="29"/>
      <c r="B243" s="11" t="str">
        <f>CONCATENATE("          ", "6241", " - ", "OFFICE EXPENSE")</f>
        <v xml:space="preserve">          6241 - OFFICE EXPENSE</v>
      </c>
      <c r="C243" s="11"/>
      <c r="D243" s="7">
        <v>40775.32</v>
      </c>
      <c r="E243" s="2"/>
      <c r="F243" s="6">
        <f t="shared" si="88"/>
        <v>2.7058870575388454E-2</v>
      </c>
      <c r="G243" s="2"/>
      <c r="H243" s="7">
        <v>46159.19</v>
      </c>
      <c r="I243" s="2"/>
      <c r="J243" s="6">
        <f t="shared" si="89"/>
        <v>2.7727973807994265E-2</v>
      </c>
      <c r="K243" s="2"/>
      <c r="L243" s="7">
        <f t="shared" si="90"/>
        <v>-5383.8700000000026</v>
      </c>
      <c r="M243" s="2"/>
      <c r="N243" s="6">
        <f t="shared" si="91"/>
        <v>-0.11663701204462215</v>
      </c>
      <c r="O243" s="11"/>
      <c r="P243" s="7">
        <v>40775.32</v>
      </c>
      <c r="Q243" s="2"/>
      <c r="R243" s="6">
        <f t="shared" si="92"/>
        <v>2.7058870575388454E-2</v>
      </c>
      <c r="S243" s="2"/>
      <c r="T243" s="7">
        <v>46159.19</v>
      </c>
      <c r="U243" s="2"/>
      <c r="V243" s="6">
        <f t="shared" si="93"/>
        <v>2.7727973807994265E-2</v>
      </c>
      <c r="W243" s="2"/>
      <c r="X243" s="7">
        <f t="shared" si="94"/>
        <v>-5383.8700000000026</v>
      </c>
      <c r="Y243" s="2"/>
      <c r="Z243" s="6">
        <f t="shared" si="95"/>
        <v>-0.11663701204462215</v>
      </c>
    </row>
    <row r="244" spans="1:26" s="24" customFormat="1" hidden="1" outlineLevel="2" x14ac:dyDescent="0.25">
      <c r="A244" s="29"/>
      <c r="B244" s="11" t="str">
        <f>CONCATENATE("          ", "6243", " - ", "PAPER SUPPLIES")</f>
        <v xml:space="preserve">          6243 - PAPER SUPPLIES</v>
      </c>
      <c r="C244" s="11"/>
      <c r="D244" s="7">
        <v>8596.7800000000007</v>
      </c>
      <c r="E244" s="2"/>
      <c r="F244" s="6">
        <f t="shared" si="88"/>
        <v>5.7049008416141913E-3</v>
      </c>
      <c r="G244" s="2"/>
      <c r="H244" s="7">
        <v>9428.33</v>
      </c>
      <c r="I244" s="2"/>
      <c r="J244" s="6">
        <f t="shared" si="89"/>
        <v>5.6636281376065429E-3</v>
      </c>
      <c r="K244" s="2"/>
      <c r="L244" s="7">
        <f t="shared" si="90"/>
        <v>-831.54999999999927</v>
      </c>
      <c r="M244" s="2"/>
      <c r="N244" s="6">
        <f t="shared" si="91"/>
        <v>-8.8196955346280762E-2</v>
      </c>
      <c r="O244" s="11"/>
      <c r="P244" s="7">
        <v>8596.7800000000007</v>
      </c>
      <c r="Q244" s="2"/>
      <c r="R244" s="6">
        <f t="shared" si="92"/>
        <v>5.7049008416141913E-3</v>
      </c>
      <c r="S244" s="2"/>
      <c r="T244" s="7">
        <v>9428.33</v>
      </c>
      <c r="U244" s="2"/>
      <c r="V244" s="6">
        <f t="shared" si="93"/>
        <v>5.6636281376065429E-3</v>
      </c>
      <c r="W244" s="2"/>
      <c r="X244" s="7">
        <f t="shared" si="94"/>
        <v>-831.54999999999927</v>
      </c>
      <c r="Y244" s="2"/>
      <c r="Z244" s="6">
        <f t="shared" si="95"/>
        <v>-8.8196955346280762E-2</v>
      </c>
    </row>
    <row r="245" spans="1:26" s="24" customFormat="1" hidden="1" outlineLevel="2" x14ac:dyDescent="0.25">
      <c r="A245" s="29"/>
      <c r="B245" s="11" t="str">
        <f>CONCATENATE("          ", "6245", " - ", "PRINTING")</f>
        <v xml:space="preserve">          6245 - PRINTING</v>
      </c>
      <c r="C245" s="11"/>
      <c r="D245" s="7">
        <v>137.76</v>
      </c>
      <c r="E245" s="2"/>
      <c r="F245" s="6">
        <f t="shared" si="88"/>
        <v>9.141878004796807E-5</v>
      </c>
      <c r="G245" s="2"/>
      <c r="H245" s="7">
        <v>1616.85</v>
      </c>
      <c r="I245" s="2"/>
      <c r="J245" s="6">
        <f t="shared" si="89"/>
        <v>9.7124699223395216E-4</v>
      </c>
      <c r="K245" s="2"/>
      <c r="L245" s="7">
        <f t="shared" si="90"/>
        <v>-1479.09</v>
      </c>
      <c r="M245" s="2"/>
      <c r="N245" s="6">
        <f t="shared" si="91"/>
        <v>-0.91479729102885243</v>
      </c>
      <c r="O245" s="11"/>
      <c r="P245" s="7">
        <v>137.76</v>
      </c>
      <c r="Q245" s="2"/>
      <c r="R245" s="6">
        <f t="shared" si="92"/>
        <v>9.141878004796807E-5</v>
      </c>
      <c r="S245" s="2"/>
      <c r="T245" s="7">
        <v>1616.85</v>
      </c>
      <c r="U245" s="2"/>
      <c r="V245" s="6">
        <f t="shared" si="93"/>
        <v>9.7124699223395216E-4</v>
      </c>
      <c r="W245" s="2"/>
      <c r="X245" s="7">
        <f t="shared" si="94"/>
        <v>-1479.09</v>
      </c>
      <c r="Y245" s="2"/>
      <c r="Z245" s="6">
        <f t="shared" si="95"/>
        <v>-0.91479729102885243</v>
      </c>
    </row>
    <row r="246" spans="1:26" s="24" customFormat="1" hidden="1" outlineLevel="2" x14ac:dyDescent="0.25">
      <c r="A246" s="29"/>
      <c r="B246" s="11" t="str">
        <f>CONCATENATE("          ", "6247", " - ", "STORE SUPPLIES")</f>
        <v xml:space="preserve">          6247 - STORE SUPPLIES</v>
      </c>
      <c r="C246" s="11"/>
      <c r="D246" s="7">
        <v>9935.7800000000007</v>
      </c>
      <c r="E246" s="2"/>
      <c r="F246" s="6">
        <f t="shared" si="88"/>
        <v>6.5934733335148103E-3</v>
      </c>
      <c r="G246" s="2"/>
      <c r="H246" s="7">
        <v>24626.38</v>
      </c>
      <c r="I246" s="2"/>
      <c r="J246" s="6">
        <f t="shared" si="89"/>
        <v>1.4793145625512791E-2</v>
      </c>
      <c r="K246" s="2"/>
      <c r="L246" s="7">
        <f t="shared" si="90"/>
        <v>-14690.6</v>
      </c>
      <c r="M246" s="2"/>
      <c r="N246" s="6">
        <f t="shared" si="91"/>
        <v>-0.59653915841467564</v>
      </c>
      <c r="O246" s="11"/>
      <c r="P246" s="7">
        <v>9935.7800000000007</v>
      </c>
      <c r="Q246" s="2"/>
      <c r="R246" s="6">
        <f t="shared" si="92"/>
        <v>6.5934733335148103E-3</v>
      </c>
      <c r="S246" s="2"/>
      <c r="T246" s="7">
        <v>24626.38</v>
      </c>
      <c r="U246" s="2"/>
      <c r="V246" s="6">
        <f t="shared" si="93"/>
        <v>1.4793145625512791E-2</v>
      </c>
      <c r="W246" s="2"/>
      <c r="X246" s="7">
        <f t="shared" si="94"/>
        <v>-14690.6</v>
      </c>
      <c r="Y246" s="2"/>
      <c r="Z246" s="6">
        <f t="shared" si="95"/>
        <v>-0.59653915841467564</v>
      </c>
    </row>
    <row r="247" spans="1:26" s="24" customFormat="1" hidden="1" outlineLevel="2" x14ac:dyDescent="0.25">
      <c r="A247" s="29"/>
      <c r="B247" s="11" t="str">
        <f>CONCATENATE("          ", "6248", " - ", "UNIFORMS")</f>
        <v xml:space="preserve">          6248 - UNIFORMS</v>
      </c>
      <c r="C247" s="11"/>
      <c r="D247" s="7">
        <v>-4989.91</v>
      </c>
      <c r="E247" s="2"/>
      <c r="F247" s="6">
        <f t="shared" si="88"/>
        <v>-3.3113493376100197E-3</v>
      </c>
      <c r="G247" s="2"/>
      <c r="H247" s="7">
        <v>12448.09</v>
      </c>
      <c r="I247" s="2"/>
      <c r="J247" s="6">
        <f t="shared" si="89"/>
        <v>7.4776076763815678E-3</v>
      </c>
      <c r="K247" s="2"/>
      <c r="L247" s="7">
        <f t="shared" si="90"/>
        <v>-17438</v>
      </c>
      <c r="M247" s="2"/>
      <c r="N247" s="6">
        <f t="shared" si="91"/>
        <v>-1.4008574809468761</v>
      </c>
      <c r="O247" s="11"/>
      <c r="P247" s="7">
        <v>-4989.91</v>
      </c>
      <c r="Q247" s="2"/>
      <c r="R247" s="6">
        <f t="shared" si="92"/>
        <v>-3.3113493376100197E-3</v>
      </c>
      <c r="S247" s="2"/>
      <c r="T247" s="7">
        <v>12448.09</v>
      </c>
      <c r="U247" s="2"/>
      <c r="V247" s="6">
        <f t="shared" si="93"/>
        <v>7.4776076763815678E-3</v>
      </c>
      <c r="W247" s="2"/>
      <c r="X247" s="7">
        <f t="shared" si="94"/>
        <v>-17438</v>
      </c>
      <c r="Y247" s="2"/>
      <c r="Z247" s="6">
        <f t="shared" si="95"/>
        <v>-1.4008574809468761</v>
      </c>
    </row>
    <row r="248" spans="1:26" s="28" customFormat="1" outlineLevel="1" collapsed="1" x14ac:dyDescent="0.25">
      <c r="A248" s="27"/>
      <c r="B248" s="14" t="str">
        <f>CONCATENATE("     ","Telephone/Data Lines                              ")</f>
        <v xml:space="preserve">     Telephone/Data Lines                              </v>
      </c>
      <c r="C248" s="14"/>
      <c r="D248" s="1">
        <f>SUM(OSRRefD22_23x_0)</f>
        <v>2693.77</v>
      </c>
      <c r="E248" s="1"/>
      <c r="F248" s="5">
        <f t="shared" ref="F248:F250" si="96">IF(D$12=0,0,D248/D$12)</f>
        <v>1.7876100982129424E-3</v>
      </c>
      <c r="G248" s="1"/>
      <c r="H248" s="1">
        <f>SUM(OSRRefH22_23x_0)</f>
        <v>4724.08</v>
      </c>
      <c r="I248" s="1"/>
      <c r="J248" s="5">
        <f t="shared" ref="J248:J250" si="97">IF(H$12=0,0,H248/H$12)</f>
        <v>2.8377700411742392E-3</v>
      </c>
      <c r="K248" s="1"/>
      <c r="L248" s="1">
        <f t="shared" ref="L248:L250" si="98">+D248-H248</f>
        <v>-2030.31</v>
      </c>
      <c r="M248" s="1"/>
      <c r="N248" s="5">
        <f t="shared" ref="N248:N250" si="99">IF(H248=0,0,L248/H248)</f>
        <v>-0.42977891991668221</v>
      </c>
      <c r="O248" s="14"/>
      <c r="P248" s="1">
        <f>SUM(OSRRefP22_23x_0)</f>
        <v>2693.77</v>
      </c>
      <c r="Q248" s="1"/>
      <c r="R248" s="5">
        <f t="shared" ref="R248:R250" si="100">IF(P$12=0,0,P248/P$12)</f>
        <v>1.7876100982129424E-3</v>
      </c>
      <c r="S248" s="1"/>
      <c r="T248" s="1">
        <f>SUM(OSRRefT22_23x_0)</f>
        <v>4724.08</v>
      </c>
      <c r="U248" s="1"/>
      <c r="V248" s="5">
        <f t="shared" ref="V248:V250" si="101">IF(T$12=0,0,T248/T$12)</f>
        <v>2.8377700411742392E-3</v>
      </c>
      <c r="W248" s="1"/>
      <c r="X248" s="1">
        <f t="shared" ref="X248:X250" si="102">+P248-T248</f>
        <v>-2030.31</v>
      </c>
      <c r="Y248" s="1"/>
      <c r="Z248" s="5">
        <f t="shared" ref="Z248:Z250" si="103">IF(T248=0,0,X248/T248)</f>
        <v>-0.42977891991668221</v>
      </c>
    </row>
    <row r="249" spans="1:26" s="24" customFormat="1" hidden="1" outlineLevel="2" x14ac:dyDescent="0.25">
      <c r="A249" s="29"/>
      <c r="B249" s="11" t="str">
        <f>CONCATENATE("          ", "6303", " - ", "DATA PHONE LINES")</f>
        <v xml:space="preserve">          6303 - DATA PHONE LINES</v>
      </c>
      <c r="C249" s="11"/>
      <c r="D249" s="7">
        <v>295</v>
      </c>
      <c r="E249" s="2"/>
      <c r="F249" s="6">
        <f t="shared" si="96"/>
        <v>1.9576466401096532E-4</v>
      </c>
      <c r="G249" s="2"/>
      <c r="H249" s="7"/>
      <c r="I249" s="2"/>
      <c r="J249" s="6">
        <f t="shared" si="97"/>
        <v>0</v>
      </c>
      <c r="K249" s="2"/>
      <c r="L249" s="7">
        <f t="shared" si="98"/>
        <v>295</v>
      </c>
      <c r="M249" s="2"/>
      <c r="N249" s="6">
        <f t="shared" si="99"/>
        <v>0</v>
      </c>
      <c r="O249" s="11"/>
      <c r="P249" s="7">
        <v>295</v>
      </c>
      <c r="Q249" s="2"/>
      <c r="R249" s="6">
        <f t="shared" si="100"/>
        <v>1.9576466401096532E-4</v>
      </c>
      <c r="S249" s="2"/>
      <c r="T249" s="7"/>
      <c r="U249" s="2"/>
      <c r="V249" s="6">
        <f t="shared" si="101"/>
        <v>0</v>
      </c>
      <c r="W249" s="2"/>
      <c r="X249" s="7">
        <f t="shared" si="102"/>
        <v>295</v>
      </c>
      <c r="Y249" s="2"/>
      <c r="Z249" s="6">
        <f t="shared" si="103"/>
        <v>0</v>
      </c>
    </row>
    <row r="250" spans="1:26" s="24" customFormat="1" hidden="1" outlineLevel="2" x14ac:dyDescent="0.25">
      <c r="A250" s="29"/>
      <c r="B250" s="11" t="str">
        <f>CONCATENATE("          ", "6309", " - ", "TELEPHONE")</f>
        <v xml:space="preserve">          6309 - TELEPHONE</v>
      </c>
      <c r="C250" s="11"/>
      <c r="D250" s="7">
        <v>2398.77</v>
      </c>
      <c r="E250" s="2"/>
      <c r="F250" s="6">
        <f t="shared" si="96"/>
        <v>1.591845434201977E-3</v>
      </c>
      <c r="G250" s="2"/>
      <c r="H250" s="7">
        <v>4724.08</v>
      </c>
      <c r="I250" s="2"/>
      <c r="J250" s="6">
        <f t="shared" si="97"/>
        <v>2.8377700411742392E-3</v>
      </c>
      <c r="K250" s="2"/>
      <c r="L250" s="7">
        <f t="shared" si="98"/>
        <v>-2325.31</v>
      </c>
      <c r="M250" s="2"/>
      <c r="N250" s="6">
        <f t="shared" si="99"/>
        <v>-0.49222494115256304</v>
      </c>
      <c r="O250" s="11"/>
      <c r="P250" s="7">
        <v>2398.77</v>
      </c>
      <c r="Q250" s="2"/>
      <c r="R250" s="6">
        <f t="shared" si="100"/>
        <v>1.591845434201977E-3</v>
      </c>
      <c r="S250" s="2"/>
      <c r="T250" s="7">
        <v>4724.08</v>
      </c>
      <c r="U250" s="2"/>
      <c r="V250" s="6">
        <f t="shared" si="101"/>
        <v>2.8377700411742392E-3</v>
      </c>
      <c r="W250" s="2"/>
      <c r="X250" s="7">
        <f t="shared" si="102"/>
        <v>-2325.31</v>
      </c>
      <c r="Y250" s="2"/>
      <c r="Z250" s="6">
        <f t="shared" si="103"/>
        <v>-0.49222494115256304</v>
      </c>
    </row>
    <row r="251" spans="1:26" s="28" customFormat="1" outlineLevel="1" collapsed="1" x14ac:dyDescent="0.25">
      <c r="A251" s="27"/>
      <c r="B251" s="14" t="str">
        <f>CONCATENATE("     ","Training                                          ")</f>
        <v xml:space="preserve">     Training                                          </v>
      </c>
      <c r="C251" s="14"/>
      <c r="D251" s="1">
        <f>SUM(OSRRefD22_24x_0)</f>
        <v>4866.8900000000003</v>
      </c>
      <c r="E251" s="1"/>
      <c r="F251" s="5">
        <f t="shared" ref="F251:F256" si="104">IF(D$12=0,0,D251/D$12)</f>
        <v>3.229712154672295E-3</v>
      </c>
      <c r="G251" s="1"/>
      <c r="H251" s="1">
        <f>SUM(OSRRefH22_24x_0)</f>
        <v>4981.1899999999996</v>
      </c>
      <c r="I251" s="1"/>
      <c r="J251" s="5">
        <f t="shared" ref="J251:J256" si="105">IF(H$12=0,0,H251/H$12)</f>
        <v>2.9922168446336024E-3</v>
      </c>
      <c r="K251" s="1"/>
      <c r="L251" s="1">
        <f t="shared" ref="L251:L256" si="106">+D251-H251</f>
        <v>-114.29999999999927</v>
      </c>
      <c r="M251" s="1"/>
      <c r="N251" s="5">
        <f t="shared" ref="N251:N256" si="107">IF(H251=0,0,L251/H251)</f>
        <v>-2.2946324071155544E-2</v>
      </c>
      <c r="O251" s="14"/>
      <c r="P251" s="1">
        <f>SUM(OSRRefP22_24x_0)</f>
        <v>4866.8900000000003</v>
      </c>
      <c r="Q251" s="1"/>
      <c r="R251" s="5">
        <f t="shared" ref="R251:R256" si="108">IF(P$12=0,0,P251/P$12)</f>
        <v>3.229712154672295E-3</v>
      </c>
      <c r="S251" s="1"/>
      <c r="T251" s="1">
        <f>SUM(OSRRefT22_24x_0)</f>
        <v>4981.1899999999996</v>
      </c>
      <c r="U251" s="1"/>
      <c r="V251" s="5">
        <f t="shared" ref="V251:V256" si="109">IF(T$12=0,0,T251/T$12)</f>
        <v>2.9922168446336024E-3</v>
      </c>
      <c r="W251" s="1"/>
      <c r="X251" s="1">
        <f t="shared" ref="X251:X256" si="110">+P251-T251</f>
        <v>-114.29999999999927</v>
      </c>
      <c r="Y251" s="1"/>
      <c r="Z251" s="5">
        <f t="shared" ref="Z251:Z256" si="111">IF(T251=0,0,X251/T251)</f>
        <v>-2.2946324071155544E-2</v>
      </c>
    </row>
    <row r="252" spans="1:26" s="24" customFormat="1" hidden="1" outlineLevel="2" x14ac:dyDescent="0.25">
      <c r="A252" s="29"/>
      <c r="B252" s="11" t="str">
        <f>CONCATENATE("          ", "6376", " - ", "TRAINING")</f>
        <v xml:space="preserve">          6376 - TRAINING</v>
      </c>
      <c r="C252" s="11"/>
      <c r="D252" s="7">
        <v>4866.8900000000003</v>
      </c>
      <c r="E252" s="2"/>
      <c r="F252" s="6">
        <f t="shared" si="104"/>
        <v>3.229712154672295E-3</v>
      </c>
      <c r="G252" s="2"/>
      <c r="H252" s="7">
        <v>4981.1899999999996</v>
      </c>
      <c r="I252" s="2"/>
      <c r="J252" s="6">
        <f t="shared" si="105"/>
        <v>2.9922168446336024E-3</v>
      </c>
      <c r="K252" s="2"/>
      <c r="L252" s="7">
        <f t="shared" si="106"/>
        <v>-114.29999999999927</v>
      </c>
      <c r="M252" s="2"/>
      <c r="N252" s="6">
        <f t="shared" si="107"/>
        <v>-2.2946324071155544E-2</v>
      </c>
      <c r="O252" s="11"/>
      <c r="P252" s="7">
        <v>4866.8900000000003</v>
      </c>
      <c r="Q252" s="2"/>
      <c r="R252" s="6">
        <f t="shared" si="108"/>
        <v>3.229712154672295E-3</v>
      </c>
      <c r="S252" s="2"/>
      <c r="T252" s="7">
        <v>4981.1899999999996</v>
      </c>
      <c r="U252" s="2"/>
      <c r="V252" s="6">
        <f t="shared" si="109"/>
        <v>2.9922168446336024E-3</v>
      </c>
      <c r="W252" s="2"/>
      <c r="X252" s="7">
        <f t="shared" si="110"/>
        <v>-114.29999999999927</v>
      </c>
      <c r="Y252" s="2"/>
      <c r="Z252" s="6">
        <f t="shared" si="111"/>
        <v>-2.2946324071155544E-2</v>
      </c>
    </row>
    <row r="253" spans="1:26" s="28" customFormat="1" outlineLevel="1" collapsed="1" x14ac:dyDescent="0.25">
      <c r="A253" s="27"/>
      <c r="B253" s="14" t="str">
        <f>CONCATENATE("     ","Travel                                            ")</f>
        <v xml:space="preserve">     Travel                                            </v>
      </c>
      <c r="C253" s="14"/>
      <c r="D253" s="1">
        <f>SUM(OSRRefD22_25x_0)</f>
        <v>2554.5099999999998</v>
      </c>
      <c r="E253" s="1"/>
      <c r="F253" s="5">
        <f t="shared" si="104"/>
        <v>1.6951959046191557E-3</v>
      </c>
      <c r="G253" s="1"/>
      <c r="H253" s="1">
        <f>SUM(OSRRefH22_25x_0)</f>
        <v>2594.41</v>
      </c>
      <c r="I253" s="1"/>
      <c r="J253" s="5">
        <f t="shared" si="105"/>
        <v>1.5584704265217478E-3</v>
      </c>
      <c r="K253" s="1"/>
      <c r="L253" s="1">
        <f t="shared" si="106"/>
        <v>-39.900000000000091</v>
      </c>
      <c r="M253" s="1"/>
      <c r="N253" s="5">
        <f t="shared" si="107"/>
        <v>-1.5379219167363714E-2</v>
      </c>
      <c r="O253" s="14"/>
      <c r="P253" s="1">
        <f>SUM(OSRRefP22_25x_0)</f>
        <v>2554.5099999999998</v>
      </c>
      <c r="Q253" s="1"/>
      <c r="R253" s="5">
        <f t="shared" si="108"/>
        <v>1.6951959046191557E-3</v>
      </c>
      <c r="S253" s="1"/>
      <c r="T253" s="1">
        <f>SUM(OSRRefT22_25x_0)</f>
        <v>2594.41</v>
      </c>
      <c r="U253" s="1"/>
      <c r="V253" s="5">
        <f t="shared" si="109"/>
        <v>1.5584704265217478E-3</v>
      </c>
      <c r="W253" s="1"/>
      <c r="X253" s="1">
        <f t="shared" si="110"/>
        <v>-39.900000000000091</v>
      </c>
      <c r="Y253" s="1"/>
      <c r="Z253" s="5">
        <f t="shared" si="111"/>
        <v>-1.5379219167363714E-2</v>
      </c>
    </row>
    <row r="254" spans="1:26" s="24" customFormat="1" hidden="1" outlineLevel="2" x14ac:dyDescent="0.25">
      <c r="A254" s="29"/>
      <c r="B254" s="11" t="str">
        <f>CONCATENATE("          ", "6292", " - ", "TRAVEL/CONFERENCE")</f>
        <v xml:space="preserve">          6292 - TRAVEL/CONFERENCE</v>
      </c>
      <c r="C254" s="11"/>
      <c r="D254" s="7">
        <v>2224.2199999999998</v>
      </c>
      <c r="E254" s="2"/>
      <c r="F254" s="6">
        <f t="shared" si="104"/>
        <v>1.4760124779202347E-3</v>
      </c>
      <c r="G254" s="2"/>
      <c r="H254" s="7">
        <v>1087.04</v>
      </c>
      <c r="I254" s="2"/>
      <c r="J254" s="6">
        <f t="shared" si="105"/>
        <v>6.5298842220242782E-4</v>
      </c>
      <c r="K254" s="2"/>
      <c r="L254" s="7">
        <f t="shared" si="106"/>
        <v>1137.1799999999998</v>
      </c>
      <c r="M254" s="2"/>
      <c r="N254" s="6">
        <f t="shared" si="107"/>
        <v>1.0461252575802178</v>
      </c>
      <c r="O254" s="11"/>
      <c r="P254" s="7">
        <v>2224.2199999999998</v>
      </c>
      <c r="Q254" s="2"/>
      <c r="R254" s="6">
        <f t="shared" si="108"/>
        <v>1.4760124779202347E-3</v>
      </c>
      <c r="S254" s="2"/>
      <c r="T254" s="7">
        <v>1087.04</v>
      </c>
      <c r="U254" s="2"/>
      <c r="V254" s="6">
        <f t="shared" si="109"/>
        <v>6.5298842220242782E-4</v>
      </c>
      <c r="W254" s="2"/>
      <c r="X254" s="7">
        <f t="shared" si="110"/>
        <v>1137.1799999999998</v>
      </c>
      <c r="Y254" s="2"/>
      <c r="Z254" s="6">
        <f t="shared" si="111"/>
        <v>1.0461252575802178</v>
      </c>
    </row>
    <row r="255" spans="1:26" s="24" customFormat="1" hidden="1" outlineLevel="2" x14ac:dyDescent="0.25">
      <c r="A255" s="29"/>
      <c r="B255" s="11" t="str">
        <f>CONCATENATE("          ", "6294", " - ", "TRAVEL OPERATIONAL")</f>
        <v xml:space="preserve">          6294 - TRAVEL OPERATIONAL</v>
      </c>
      <c r="C255" s="11"/>
      <c r="D255" s="7">
        <v>45.49</v>
      </c>
      <c r="E255" s="2"/>
      <c r="F255" s="6">
        <f t="shared" si="104"/>
        <v>3.0187574799521396E-5</v>
      </c>
      <c r="G255" s="2"/>
      <c r="H255" s="7">
        <v>1413.96</v>
      </c>
      <c r="I255" s="2"/>
      <c r="J255" s="6">
        <f t="shared" si="105"/>
        <v>8.4937031706040702E-4</v>
      </c>
      <c r="K255" s="2"/>
      <c r="L255" s="7">
        <f t="shared" si="106"/>
        <v>-1368.47</v>
      </c>
      <c r="M255" s="2"/>
      <c r="N255" s="6">
        <f t="shared" si="107"/>
        <v>-0.96782794421341478</v>
      </c>
      <c r="O255" s="11"/>
      <c r="P255" s="7">
        <v>45.49</v>
      </c>
      <c r="Q255" s="2"/>
      <c r="R255" s="6">
        <f t="shared" si="108"/>
        <v>3.0187574799521396E-5</v>
      </c>
      <c r="S255" s="2"/>
      <c r="T255" s="7">
        <v>1413.96</v>
      </c>
      <c r="U255" s="2"/>
      <c r="V255" s="6">
        <f t="shared" si="109"/>
        <v>8.4937031706040702E-4</v>
      </c>
      <c r="W255" s="2"/>
      <c r="X255" s="7">
        <f t="shared" si="110"/>
        <v>-1368.47</v>
      </c>
      <c r="Y255" s="2"/>
      <c r="Z255" s="6">
        <f t="shared" si="111"/>
        <v>-0.96782794421341478</v>
      </c>
    </row>
    <row r="256" spans="1:26" s="24" customFormat="1" hidden="1" outlineLevel="2" x14ac:dyDescent="0.25">
      <c r="A256" s="29"/>
      <c r="B256" s="11" t="str">
        <f>CONCATENATE("          ", "6298", " - ", "VEHICLE MILEAGE")</f>
        <v xml:space="preserve">          6298 - VEHICLE MILEAGE</v>
      </c>
      <c r="C256" s="11"/>
      <c r="D256" s="7">
        <v>284.8</v>
      </c>
      <c r="E256" s="2"/>
      <c r="F256" s="6">
        <f t="shared" si="104"/>
        <v>1.8899585189939973E-4</v>
      </c>
      <c r="G256" s="2"/>
      <c r="H256" s="7">
        <v>93.41</v>
      </c>
      <c r="I256" s="2"/>
      <c r="J256" s="6">
        <f t="shared" si="105"/>
        <v>5.6111687258912993E-5</v>
      </c>
      <c r="K256" s="2"/>
      <c r="L256" s="7">
        <f t="shared" si="106"/>
        <v>191.39000000000001</v>
      </c>
      <c r="M256" s="2"/>
      <c r="N256" s="6">
        <f t="shared" si="107"/>
        <v>2.0489240980623062</v>
      </c>
      <c r="O256" s="11"/>
      <c r="P256" s="7">
        <v>284.8</v>
      </c>
      <c r="Q256" s="2"/>
      <c r="R256" s="6">
        <f t="shared" si="108"/>
        <v>1.8899585189939973E-4</v>
      </c>
      <c r="S256" s="2"/>
      <c r="T256" s="7">
        <v>93.41</v>
      </c>
      <c r="U256" s="2"/>
      <c r="V256" s="6">
        <f t="shared" si="109"/>
        <v>5.6111687258912993E-5</v>
      </c>
      <c r="W256" s="2"/>
      <c r="X256" s="7">
        <f t="shared" si="110"/>
        <v>191.39000000000001</v>
      </c>
      <c r="Y256" s="2"/>
      <c r="Z256" s="6">
        <f t="shared" si="111"/>
        <v>2.0489240980623062</v>
      </c>
    </row>
    <row r="257" spans="1:26" s="28" customFormat="1" outlineLevel="1" collapsed="1" x14ac:dyDescent="0.25">
      <c r="A257" s="27"/>
      <c r="B257" s="14" t="str">
        <f>CONCATENATE("     ","Utilities                                         ")</f>
        <v xml:space="preserve">     Utilities                                         </v>
      </c>
      <c r="C257" s="14"/>
      <c r="D257" s="1">
        <f>SUM(OSRRefD22_26x_0)</f>
        <v>20286</v>
      </c>
      <c r="E257" s="1"/>
      <c r="F257" s="5">
        <f t="shared" ref="F257:F258" si="112">IF(D$12=0,0,D257/D$12)</f>
        <v>1.3461972793648956E-2</v>
      </c>
      <c r="G257" s="1"/>
      <c r="H257" s="1">
        <f>SUM(OSRRefH22_26x_0)</f>
        <v>22505.25</v>
      </c>
      <c r="I257" s="1"/>
      <c r="J257" s="5">
        <f t="shared" ref="J257:J258" si="113">IF(H$12=0,0,H257/H$12)</f>
        <v>1.351897601631144E-2</v>
      </c>
      <c r="K257" s="1"/>
      <c r="L257" s="1">
        <f t="shared" ref="L257:L258" si="114">+D257-H257</f>
        <v>-2219.25</v>
      </c>
      <c r="M257" s="1"/>
      <c r="N257" s="5">
        <f t="shared" ref="N257:N258" si="115">IF(H257=0,0,L257/H257)</f>
        <v>-9.8610324257673215E-2</v>
      </c>
      <c r="O257" s="14"/>
      <c r="P257" s="1">
        <f>SUM(OSRRefP22_26x_0)</f>
        <v>20286</v>
      </c>
      <c r="Q257" s="1"/>
      <c r="R257" s="5">
        <f t="shared" ref="R257:R258" si="116">IF(P$12=0,0,P257/P$12)</f>
        <v>1.3461972793648956E-2</v>
      </c>
      <c r="S257" s="1"/>
      <c r="T257" s="1">
        <f>SUM(OSRRefT22_26x_0)</f>
        <v>22505.25</v>
      </c>
      <c r="U257" s="1"/>
      <c r="V257" s="5">
        <f t="shared" ref="V257:V258" si="117">IF(T$12=0,0,T257/T$12)</f>
        <v>1.351897601631144E-2</v>
      </c>
      <c r="W257" s="1"/>
      <c r="X257" s="1">
        <f t="shared" ref="X257:X258" si="118">+P257-T257</f>
        <v>-2219.25</v>
      </c>
      <c r="Y257" s="1"/>
      <c r="Z257" s="5">
        <f t="shared" ref="Z257:Z258" si="119">IF(T257=0,0,X257/T257)</f>
        <v>-9.8610324257673215E-2</v>
      </c>
    </row>
    <row r="258" spans="1:26" s="24" customFormat="1" hidden="1" outlineLevel="2" x14ac:dyDescent="0.25">
      <c r="A258" s="29"/>
      <c r="B258" s="11" t="str">
        <f>CONCATENATE("          ", "6274", " - ", "UTILITIES")</f>
        <v xml:space="preserve">          6274 - UTILITIES</v>
      </c>
      <c r="C258" s="11"/>
      <c r="D258" s="7">
        <v>20286</v>
      </c>
      <c r="E258" s="2"/>
      <c r="F258" s="6">
        <f t="shared" si="112"/>
        <v>1.3461972793648956E-2</v>
      </c>
      <c r="G258" s="2"/>
      <c r="H258" s="7">
        <v>22505.25</v>
      </c>
      <c r="I258" s="2"/>
      <c r="J258" s="6">
        <f t="shared" si="113"/>
        <v>1.351897601631144E-2</v>
      </c>
      <c r="K258" s="2"/>
      <c r="L258" s="7">
        <f t="shared" si="114"/>
        <v>-2219.25</v>
      </c>
      <c r="M258" s="2"/>
      <c r="N258" s="6">
        <f t="shared" si="115"/>
        <v>-9.8610324257673215E-2</v>
      </c>
      <c r="O258" s="11"/>
      <c r="P258" s="7">
        <v>20286</v>
      </c>
      <c r="Q258" s="2"/>
      <c r="R258" s="6">
        <f t="shared" si="116"/>
        <v>1.3461972793648956E-2</v>
      </c>
      <c r="S258" s="2"/>
      <c r="T258" s="7">
        <v>22505.25</v>
      </c>
      <c r="U258" s="2"/>
      <c r="V258" s="6">
        <f t="shared" si="117"/>
        <v>1.351897601631144E-2</v>
      </c>
      <c r="W258" s="2"/>
      <c r="X258" s="7">
        <f t="shared" si="118"/>
        <v>-2219.25</v>
      </c>
      <c r="Y258" s="2"/>
      <c r="Z258" s="6">
        <f t="shared" si="119"/>
        <v>-9.8610324257673215E-2</v>
      </c>
    </row>
    <row r="259" spans="1:26" s="54" customFormat="1" x14ac:dyDescent="0.25">
      <c r="A259" s="37"/>
      <c r="B259" s="37"/>
      <c r="C259" s="37"/>
      <c r="D259" s="1"/>
      <c r="E259" s="1"/>
      <c r="F259" s="5"/>
      <c r="G259" s="1"/>
      <c r="H259" s="1"/>
      <c r="I259" s="1"/>
      <c r="J259" s="5"/>
      <c r="K259" s="1"/>
      <c r="L259" s="1"/>
      <c r="M259" s="1"/>
      <c r="N259" s="5"/>
      <c r="O259" s="37"/>
      <c r="P259" s="1"/>
      <c r="Q259" s="1"/>
      <c r="R259" s="5"/>
      <c r="S259" s="1"/>
      <c r="T259" s="1"/>
      <c r="U259" s="1"/>
      <c r="V259" s="5"/>
      <c r="W259" s="1"/>
      <c r="X259" s="1"/>
      <c r="Y259" s="1"/>
      <c r="Z259" s="5"/>
    </row>
    <row r="260" spans="1:26" s="23" customFormat="1" collapsed="1" x14ac:dyDescent="0.25">
      <c r="A260" s="10"/>
      <c r="B260" s="26" t="s">
        <v>0</v>
      </c>
      <c r="C260" s="10"/>
      <c r="D260" s="4">
        <f>SUM(OSRRefD25x_0)</f>
        <v>122669.41</v>
      </c>
      <c r="E260" s="4"/>
      <c r="F260" s="12">
        <f t="shared" ref="F260:F269" si="120">IF(D$12=0,0,D260/D$12)</f>
        <v>8.1404528247706262E-2</v>
      </c>
      <c r="G260" s="4"/>
      <c r="H260" s="4">
        <f>SUM(OSRRefH25x_0)</f>
        <v>98798.74</v>
      </c>
      <c r="I260" s="4"/>
      <c r="J260" s="12">
        <f t="shared" ref="J260:J269" si="121">IF(H$12=0,0,H260/H$12)</f>
        <v>5.9348720698583213E-2</v>
      </c>
      <c r="K260" s="4"/>
      <c r="L260" s="4">
        <f t="shared" ref="L260:L269" si="122">+D260-H260</f>
        <v>23870.67</v>
      </c>
      <c r="M260" s="4"/>
      <c r="N260" s="12">
        <f t="shared" ref="N260:N269" si="123">IF(H260=0,0,L260/H260)</f>
        <v>0.2416090529089743</v>
      </c>
      <c r="O260" s="10"/>
      <c r="P260" s="4">
        <f>SUM(OSRRefP25x_0)</f>
        <v>122669.41</v>
      </c>
      <c r="Q260" s="4"/>
      <c r="R260" s="12">
        <f t="shared" ref="R260:R269" si="124">IF(P$12=0,0,P260/P$12)</f>
        <v>8.1404528247706262E-2</v>
      </c>
      <c r="S260" s="4"/>
      <c r="T260" s="4">
        <f>SUM(OSRRefT25x_0)</f>
        <v>98798.74</v>
      </c>
      <c r="U260" s="4"/>
      <c r="V260" s="12">
        <f t="shared" ref="V260:V269" si="125">IF(T$12=0,0,T260/T$12)</f>
        <v>5.9348720698583213E-2</v>
      </c>
      <c r="W260" s="4"/>
      <c r="X260" s="4">
        <f t="shared" ref="X260:X269" si="126">+P260-T260</f>
        <v>23870.67</v>
      </c>
      <c r="Y260" s="4"/>
      <c r="Z260" s="12">
        <f t="shared" ref="Z260:Z269" si="127">IF(T260=0,0,X260/T260)</f>
        <v>0.2416090529089743</v>
      </c>
    </row>
    <row r="261" spans="1:26" s="24" customFormat="1" hidden="1" outlineLevel="1" x14ac:dyDescent="0.25">
      <c r="A261" s="50"/>
      <c r="B261" s="11" t="str">
        <f>CONCATENATE("          ", "4098", " - ", "TAXABLE SALES-GRAD RENTALS")</f>
        <v xml:space="preserve">          4098 - TAXABLE SALES-GRAD RENTALS</v>
      </c>
      <c r="C261" s="11"/>
      <c r="D261" s="2">
        <f>--74.7</f>
        <v>74.7</v>
      </c>
      <c r="E261" s="2"/>
      <c r="F261" s="22">
        <f t="shared" si="120"/>
        <v>4.9571594581759692E-5</v>
      </c>
      <c r="G261" s="2"/>
      <c r="H261" s="2">
        <f>0</f>
        <v>0</v>
      </c>
      <c r="I261" s="2"/>
      <c r="J261" s="22">
        <f t="shared" si="121"/>
        <v>0</v>
      </c>
      <c r="K261" s="2"/>
      <c r="L261" s="2">
        <f t="shared" si="122"/>
        <v>74.7</v>
      </c>
      <c r="M261" s="2"/>
      <c r="N261" s="22">
        <f t="shared" si="123"/>
        <v>0</v>
      </c>
      <c r="O261" s="11"/>
      <c r="P261" s="2">
        <f>--74.7</f>
        <v>74.7</v>
      </c>
      <c r="Q261" s="2"/>
      <c r="R261" s="22">
        <f t="shared" si="124"/>
        <v>4.9571594581759692E-5</v>
      </c>
      <c r="S261" s="2"/>
      <c r="T261" s="2">
        <f>0</f>
        <v>0</v>
      </c>
      <c r="U261" s="2"/>
      <c r="V261" s="22">
        <f t="shared" si="125"/>
        <v>0</v>
      </c>
      <c r="W261" s="2"/>
      <c r="X261" s="2">
        <f t="shared" si="126"/>
        <v>74.7</v>
      </c>
      <c r="Y261" s="2"/>
      <c r="Z261" s="22">
        <f t="shared" si="127"/>
        <v>0</v>
      </c>
    </row>
    <row r="262" spans="1:26" s="24" customFormat="1" hidden="1" outlineLevel="1" x14ac:dyDescent="0.25">
      <c r="A262" s="50"/>
      <c r="B262" s="11" t="str">
        <f>CONCATENATE("          ", "4187", " - ", "NON-TAXABLE SALES-COMPUTER REP")</f>
        <v xml:space="preserve">          4187 - NON-TAXABLE SALES-COMPUTER REP</v>
      </c>
      <c r="C262" s="11"/>
      <c r="D262" s="2">
        <f>--781.89</f>
        <v>781.89</v>
      </c>
      <c r="E262" s="2"/>
      <c r="F262" s="22">
        <f t="shared" si="120"/>
        <v>5.1886926489333441E-4</v>
      </c>
      <c r="G262" s="2"/>
      <c r="H262" s="2">
        <f>--314.73</f>
        <v>314.73</v>
      </c>
      <c r="I262" s="2"/>
      <c r="J262" s="22">
        <f t="shared" si="121"/>
        <v>1.8905932267420712E-4</v>
      </c>
      <c r="K262" s="2"/>
      <c r="L262" s="2">
        <f t="shared" si="122"/>
        <v>467.15999999999997</v>
      </c>
      <c r="M262" s="2"/>
      <c r="N262" s="22">
        <f t="shared" si="123"/>
        <v>1.4843198932418262</v>
      </c>
      <c r="O262" s="11"/>
      <c r="P262" s="2">
        <f>--781.89</f>
        <v>781.89</v>
      </c>
      <c r="Q262" s="2"/>
      <c r="R262" s="22">
        <f t="shared" si="124"/>
        <v>5.1886926489333441E-4</v>
      </c>
      <c r="S262" s="2"/>
      <c r="T262" s="2">
        <f>--314.73</f>
        <v>314.73</v>
      </c>
      <c r="U262" s="2"/>
      <c r="V262" s="22">
        <f t="shared" si="125"/>
        <v>1.8905932267420712E-4</v>
      </c>
      <c r="W262" s="2"/>
      <c r="X262" s="2">
        <f t="shared" si="126"/>
        <v>467.15999999999997</v>
      </c>
      <c r="Y262" s="2"/>
      <c r="Z262" s="22">
        <f t="shared" si="127"/>
        <v>1.4843198932418262</v>
      </c>
    </row>
    <row r="263" spans="1:26" s="24" customFormat="1" hidden="1" outlineLevel="1" x14ac:dyDescent="0.25">
      <c r="A263" s="50"/>
      <c r="B263" s="11" t="str">
        <f>CONCATENATE("          ", "4198", " - ", "NON-TAXABLE SALES-GRAD RENTALS")</f>
        <v xml:space="preserve">          4198 - NON-TAXABLE SALES-GRAD RENTALS</v>
      </c>
      <c r="C263" s="11"/>
      <c r="D263" s="2">
        <f>--255</f>
        <v>255</v>
      </c>
      <c r="E263" s="2"/>
      <c r="F263" s="22">
        <f t="shared" si="120"/>
        <v>1.692203027891395E-4</v>
      </c>
      <c r="G263" s="2"/>
      <c r="H263" s="2">
        <f>--345</f>
        <v>345</v>
      </c>
      <c r="I263" s="2"/>
      <c r="J263" s="22">
        <f t="shared" si="121"/>
        <v>2.0724260897468134E-4</v>
      </c>
      <c r="K263" s="2"/>
      <c r="L263" s="2">
        <f t="shared" si="122"/>
        <v>-90</v>
      </c>
      <c r="M263" s="2"/>
      <c r="N263" s="22">
        <f t="shared" si="123"/>
        <v>-0.2608695652173913</v>
      </c>
      <c r="O263" s="11"/>
      <c r="P263" s="2">
        <f>--255</f>
        <v>255</v>
      </c>
      <c r="Q263" s="2"/>
      <c r="R263" s="22">
        <f t="shared" si="124"/>
        <v>1.692203027891395E-4</v>
      </c>
      <c r="S263" s="2"/>
      <c r="T263" s="2">
        <f>--345</f>
        <v>345</v>
      </c>
      <c r="U263" s="2"/>
      <c r="V263" s="22">
        <f t="shared" si="125"/>
        <v>2.0724260897468134E-4</v>
      </c>
      <c r="W263" s="2"/>
      <c r="X263" s="2">
        <f t="shared" si="126"/>
        <v>-90</v>
      </c>
      <c r="Y263" s="2"/>
      <c r="Z263" s="22">
        <f t="shared" si="127"/>
        <v>-0.2608695652173913</v>
      </c>
    </row>
    <row r="264" spans="1:26" s="24" customFormat="1" hidden="1" outlineLevel="1" x14ac:dyDescent="0.25">
      <c r="A264" s="50"/>
      <c r="B264" s="11" t="str">
        <f>CONCATENATE("          ", "4387", " - ", "SALES RETURN NON TAXABLE-COMPU")</f>
        <v xml:space="preserve">          4387 - SALES RETURN NON TAXABLE-COMPU</v>
      </c>
      <c r="C264" s="11"/>
      <c r="D264" s="2">
        <f>-630.8</f>
        <v>-630.79999999999995</v>
      </c>
      <c r="E264" s="2"/>
      <c r="F264" s="22">
        <f t="shared" si="120"/>
        <v>-4.1860457646819289E-4</v>
      </c>
      <c r="G264" s="2"/>
      <c r="H264" s="2">
        <f>0</f>
        <v>0</v>
      </c>
      <c r="I264" s="2"/>
      <c r="J264" s="22">
        <f t="shared" si="121"/>
        <v>0</v>
      </c>
      <c r="K264" s="2"/>
      <c r="L264" s="2">
        <f t="shared" si="122"/>
        <v>-630.79999999999995</v>
      </c>
      <c r="M264" s="2"/>
      <c r="N264" s="22">
        <f t="shared" si="123"/>
        <v>0</v>
      </c>
      <c r="O264" s="11"/>
      <c r="P264" s="2">
        <f>-630.8</f>
        <v>-630.79999999999995</v>
      </c>
      <c r="Q264" s="2"/>
      <c r="R264" s="22">
        <f t="shared" si="124"/>
        <v>-4.1860457646819289E-4</v>
      </c>
      <c r="S264" s="2"/>
      <c r="T264" s="2">
        <f>0</f>
        <v>0</v>
      </c>
      <c r="U264" s="2"/>
      <c r="V264" s="22">
        <f t="shared" si="125"/>
        <v>0</v>
      </c>
      <c r="W264" s="2"/>
      <c r="X264" s="2">
        <f t="shared" si="126"/>
        <v>-630.79999999999995</v>
      </c>
      <c r="Y264" s="2"/>
      <c r="Z264" s="22">
        <f t="shared" si="127"/>
        <v>0</v>
      </c>
    </row>
    <row r="265" spans="1:26" s="24" customFormat="1" hidden="1" outlineLevel="1" x14ac:dyDescent="0.25">
      <c r="A265" s="50"/>
      <c r="B265" s="11" t="str">
        <f>CONCATENATE("          ", "9150", " - ", "MISC. INCOME")</f>
        <v xml:space="preserve">          9150 - MISC. INCOME</v>
      </c>
      <c r="C265" s="11"/>
      <c r="D265" s="2">
        <f>--112609.96</f>
        <v>112609.96</v>
      </c>
      <c r="E265" s="2"/>
      <c r="F265" s="22">
        <f t="shared" si="120"/>
        <v>7.4728986385383875E-2</v>
      </c>
      <c r="G265" s="2"/>
      <c r="H265" s="2">
        <f>--84527.49</f>
        <v>84527.49</v>
      </c>
      <c r="I265" s="2"/>
      <c r="J265" s="22">
        <f t="shared" si="121"/>
        <v>5.0775934949800837E-2</v>
      </c>
      <c r="K265" s="2"/>
      <c r="L265" s="2">
        <f t="shared" si="122"/>
        <v>28082.47</v>
      </c>
      <c r="M265" s="2"/>
      <c r="N265" s="22">
        <f t="shared" si="123"/>
        <v>0.33222884058192192</v>
      </c>
      <c r="O265" s="11"/>
      <c r="P265" s="2">
        <f>--112609.96</f>
        <v>112609.96</v>
      </c>
      <c r="Q265" s="2"/>
      <c r="R265" s="22">
        <f t="shared" si="124"/>
        <v>7.4728986385383875E-2</v>
      </c>
      <c r="S265" s="2"/>
      <c r="T265" s="2">
        <f>--84527.49</f>
        <v>84527.49</v>
      </c>
      <c r="U265" s="2"/>
      <c r="V265" s="22">
        <f t="shared" si="125"/>
        <v>5.0775934949800837E-2</v>
      </c>
      <c r="W265" s="2"/>
      <c r="X265" s="2">
        <f t="shared" si="126"/>
        <v>28082.47</v>
      </c>
      <c r="Y265" s="2"/>
      <c r="Z265" s="22">
        <f t="shared" si="127"/>
        <v>0.33222884058192192</v>
      </c>
    </row>
    <row r="266" spans="1:26" s="24" customFormat="1" hidden="1" outlineLevel="1" x14ac:dyDescent="0.25">
      <c r="A266" s="50"/>
      <c r="B266" s="11" t="str">
        <f>CONCATENATE("          ", "9151", " - ", "MISC. INCOME")</f>
        <v xml:space="preserve">          9151 - MISC. INCOME</v>
      </c>
      <c r="C266" s="11"/>
      <c r="D266" s="2">
        <f>-94.49</f>
        <v>-94.49</v>
      </c>
      <c r="E266" s="2"/>
      <c r="F266" s="22">
        <f t="shared" si="120"/>
        <v>-6.2704417296258002E-5</v>
      </c>
      <c r="G266" s="2"/>
      <c r="H266" s="2">
        <f>--259.36</f>
        <v>259.36</v>
      </c>
      <c r="I266" s="2"/>
      <c r="J266" s="22">
        <f t="shared" si="121"/>
        <v>1.5579838569180682E-4</v>
      </c>
      <c r="K266" s="2"/>
      <c r="L266" s="2">
        <f t="shared" si="122"/>
        <v>-353.85</v>
      </c>
      <c r="M266" s="2"/>
      <c r="N266" s="22">
        <f t="shared" si="123"/>
        <v>-1.3643198642813079</v>
      </c>
      <c r="O266" s="11"/>
      <c r="P266" s="2">
        <f>-94.49</f>
        <v>-94.49</v>
      </c>
      <c r="Q266" s="2"/>
      <c r="R266" s="22">
        <f t="shared" si="124"/>
        <v>-6.2704417296258002E-5</v>
      </c>
      <c r="S266" s="2"/>
      <c r="T266" s="2">
        <f>--259.36</f>
        <v>259.36</v>
      </c>
      <c r="U266" s="2"/>
      <c r="V266" s="22">
        <f t="shared" si="125"/>
        <v>1.5579838569180682E-4</v>
      </c>
      <c r="W266" s="2"/>
      <c r="X266" s="2">
        <f t="shared" si="126"/>
        <v>-353.85</v>
      </c>
      <c r="Y266" s="2"/>
      <c r="Z266" s="22">
        <f t="shared" si="127"/>
        <v>-1.3643198642813079</v>
      </c>
    </row>
    <row r="267" spans="1:26" s="24" customFormat="1" hidden="1" outlineLevel="1" x14ac:dyDescent="0.25">
      <c r="A267" s="50"/>
      <c r="B267" s="11" t="str">
        <f>CONCATENATE("          ", "9152", " - ", "MISC. INCOME")</f>
        <v xml:space="preserve">          9152 - MISC. INCOME</v>
      </c>
      <c r="C267" s="11"/>
      <c r="D267" s="2">
        <f>0</f>
        <v>0</v>
      </c>
      <c r="E267" s="2"/>
      <c r="F267" s="22">
        <f t="shared" si="120"/>
        <v>0</v>
      </c>
      <c r="G267" s="2"/>
      <c r="H267" s="2">
        <f>--772.34</f>
        <v>772.34</v>
      </c>
      <c r="I267" s="2"/>
      <c r="J267" s="22">
        <f t="shared" si="121"/>
        <v>4.6394712062465331E-4</v>
      </c>
      <c r="K267" s="2"/>
      <c r="L267" s="2">
        <f t="shared" si="122"/>
        <v>-772.34</v>
      </c>
      <c r="M267" s="2"/>
      <c r="N267" s="22">
        <f t="shared" si="123"/>
        <v>-1</v>
      </c>
      <c r="O267" s="11"/>
      <c r="P267" s="2">
        <f>0</f>
        <v>0</v>
      </c>
      <c r="Q267" s="2"/>
      <c r="R267" s="22">
        <f t="shared" si="124"/>
        <v>0</v>
      </c>
      <c r="S267" s="2"/>
      <c r="T267" s="2">
        <f>--772.34</f>
        <v>772.34</v>
      </c>
      <c r="U267" s="2"/>
      <c r="V267" s="22">
        <f t="shared" si="125"/>
        <v>4.6394712062465331E-4</v>
      </c>
      <c r="W267" s="2"/>
      <c r="X267" s="2">
        <f t="shared" si="126"/>
        <v>-772.34</v>
      </c>
      <c r="Y267" s="2"/>
      <c r="Z267" s="22">
        <f t="shared" si="127"/>
        <v>-1</v>
      </c>
    </row>
    <row r="268" spans="1:26" s="24" customFormat="1" hidden="1" outlineLevel="1" x14ac:dyDescent="0.25">
      <c r="A268" s="50"/>
      <c r="B268" s="11" t="str">
        <f>CONCATENATE("          ", "9160", " - ", "MISC. INCOME")</f>
        <v xml:space="preserve">          9160 - MISC. INCOME</v>
      </c>
      <c r="C268" s="11"/>
      <c r="D268" s="2">
        <f>--5992.1</f>
        <v>5992.1</v>
      </c>
      <c r="E268" s="2"/>
      <c r="F268" s="22">
        <f t="shared" si="120"/>
        <v>3.9764116719325599E-3</v>
      </c>
      <c r="G268" s="2"/>
      <c r="H268" s="2">
        <f>--10460.99</f>
        <v>10460.99</v>
      </c>
      <c r="I268" s="2"/>
      <c r="J268" s="22">
        <f t="shared" si="121"/>
        <v>6.2839503190088453E-3</v>
      </c>
      <c r="K268" s="2"/>
      <c r="L268" s="2">
        <f t="shared" si="122"/>
        <v>-4468.8899999999994</v>
      </c>
      <c r="M268" s="2"/>
      <c r="N268" s="22">
        <f t="shared" si="123"/>
        <v>-0.42719570518660277</v>
      </c>
      <c r="O268" s="11"/>
      <c r="P268" s="2">
        <f>--5992.1</f>
        <v>5992.1</v>
      </c>
      <c r="Q268" s="2"/>
      <c r="R268" s="22">
        <f t="shared" si="124"/>
        <v>3.9764116719325599E-3</v>
      </c>
      <c r="S268" s="2"/>
      <c r="T268" s="2">
        <f>--10460.99</f>
        <v>10460.99</v>
      </c>
      <c r="U268" s="2"/>
      <c r="V268" s="22">
        <f t="shared" si="125"/>
        <v>6.2839503190088453E-3</v>
      </c>
      <c r="W268" s="2"/>
      <c r="X268" s="2">
        <f t="shared" si="126"/>
        <v>-4468.8899999999994</v>
      </c>
      <c r="Y268" s="2"/>
      <c r="Z268" s="22">
        <f t="shared" si="127"/>
        <v>-0.42719570518660277</v>
      </c>
    </row>
    <row r="269" spans="1:26" s="24" customFormat="1" hidden="1" outlineLevel="1" x14ac:dyDescent="0.25">
      <c r="A269" s="50"/>
      <c r="B269" s="11" t="str">
        <f>CONCATENATE("          ", "9165", " - ", "OTHER INCOME")</f>
        <v xml:space="preserve">          9165 - OTHER INCOME</v>
      </c>
      <c r="C269" s="11"/>
      <c r="D269" s="2">
        <f>--3681.05</f>
        <v>3681.05</v>
      </c>
      <c r="E269" s="2"/>
      <c r="F269" s="22">
        <f t="shared" si="120"/>
        <v>2.4427780218900471E-3</v>
      </c>
      <c r="G269" s="2"/>
      <c r="H269" s="2">
        <f>--2118.83</f>
        <v>2118.83</v>
      </c>
      <c r="I269" s="2"/>
      <c r="J269" s="22">
        <f t="shared" si="121"/>
        <v>1.2727879918081855E-3</v>
      </c>
      <c r="K269" s="2"/>
      <c r="L269" s="2">
        <f t="shared" si="122"/>
        <v>1562.2200000000003</v>
      </c>
      <c r="M269" s="2"/>
      <c r="N269" s="22">
        <f t="shared" si="123"/>
        <v>0.73730313427693606</v>
      </c>
      <c r="O269" s="11"/>
      <c r="P269" s="2">
        <f>--3681.05</f>
        <v>3681.05</v>
      </c>
      <c r="Q269" s="2"/>
      <c r="R269" s="22">
        <f t="shared" si="124"/>
        <v>2.4427780218900471E-3</v>
      </c>
      <c r="S269" s="2"/>
      <c r="T269" s="2">
        <f>--2118.83</f>
        <v>2118.83</v>
      </c>
      <c r="U269" s="2"/>
      <c r="V269" s="22">
        <f t="shared" si="125"/>
        <v>1.2727879918081855E-3</v>
      </c>
      <c r="W269" s="2"/>
      <c r="X269" s="2">
        <f t="shared" si="126"/>
        <v>1562.2200000000003</v>
      </c>
      <c r="Y269" s="2"/>
      <c r="Z269" s="22">
        <f t="shared" si="127"/>
        <v>0.73730313427693606</v>
      </c>
    </row>
    <row r="270" spans="1:26" x14ac:dyDescent="0.25">
      <c r="A270" s="9"/>
      <c r="B270" s="10"/>
      <c r="C270" s="10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O270" s="10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x14ac:dyDescent="0.25">
      <c r="A271" s="10"/>
      <c r="B271" s="25" t="s">
        <v>3</v>
      </c>
      <c r="C271" s="25"/>
      <c r="D271" s="21">
        <f>+D165-D167+D260</f>
        <v>-472616.02000000025</v>
      </c>
      <c r="E271" s="13"/>
      <c r="F271" s="20">
        <f>IF(D$12=0,0,D271/D$12)</f>
        <v>-0.31363225885254137</v>
      </c>
      <c r="G271" s="13"/>
      <c r="H271" s="21">
        <f>+H165-H167+H260</f>
        <v>-337468.83999999927</v>
      </c>
      <c r="I271" s="13"/>
      <c r="J271" s="20">
        <f>IF(H$12=0,0,H271/H$12)</f>
        <v>-0.20271861695437435</v>
      </c>
      <c r="K271" s="16"/>
      <c r="L271" s="21">
        <f>+D271-H271</f>
        <v>-135147.18000000098</v>
      </c>
      <c r="M271" s="16"/>
      <c r="N271" s="20">
        <f>IF(H271=0,0,L271/H271)</f>
        <v>0.40047306293523655</v>
      </c>
      <c r="O271" s="26"/>
      <c r="P271" s="21">
        <f>+P165-P167+P260</f>
        <v>-472616.02000000025</v>
      </c>
      <c r="Q271" s="13"/>
      <c r="R271" s="20">
        <f>IF(P$12=0,0,P271/P$12)</f>
        <v>-0.31363225885254137</v>
      </c>
      <c r="S271" s="13"/>
      <c r="T271" s="21">
        <f>+T165-T167+T260</f>
        <v>-337468.83999999927</v>
      </c>
      <c r="U271" s="13"/>
      <c r="V271" s="20">
        <f>IF(T$12=0,0,T271/T$12)</f>
        <v>-0.20271861695437435</v>
      </c>
      <c r="W271" s="16"/>
      <c r="X271" s="21">
        <f>+P271-T271</f>
        <v>-135147.18000000098</v>
      </c>
      <c r="Y271" s="16"/>
      <c r="Z271" s="20">
        <f>IF(T271=0,0,X271/T271)</f>
        <v>0.40047306293523655</v>
      </c>
    </row>
    <row r="272" spans="1:26" x14ac:dyDescent="0.25">
      <c r="A272" s="9"/>
      <c r="B272" s="10"/>
      <c r="C272" s="9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x14ac:dyDescent="0.25">
      <c r="A273" s="51"/>
      <c r="B273" s="10" t="s">
        <v>13</v>
      </c>
      <c r="C273" s="10"/>
      <c r="D273" s="4">
        <v>313331.27</v>
      </c>
      <c r="E273" s="4"/>
      <c r="F273" s="12">
        <f>IF(D$12=0,0,D273/D$12)</f>
        <v>0.20792946032433579</v>
      </c>
      <c r="G273" s="4"/>
      <c r="H273" s="4">
        <v>341767.18</v>
      </c>
      <c r="I273" s="4"/>
      <c r="J273" s="12">
        <f>IF(H$12=0,0,H273/H$12)</f>
        <v>0.2053006436090421</v>
      </c>
      <c r="K273" s="4"/>
      <c r="L273" s="4">
        <f>+D273-H273</f>
        <v>-28435.909999999974</v>
      </c>
      <c r="M273" s="4"/>
      <c r="N273" s="12">
        <f>IF(H273=0,0,L273/H273)</f>
        <v>-8.3202576678076512E-2</v>
      </c>
      <c r="O273" s="10"/>
      <c r="P273" s="4">
        <v>313331.27</v>
      </c>
      <c r="Q273" s="4"/>
      <c r="R273" s="12">
        <f>IF(P$12=0,0,P273/P$12)</f>
        <v>0.20792946032433579</v>
      </c>
      <c r="S273" s="4"/>
      <c r="T273" s="4">
        <v>341767.18</v>
      </c>
      <c r="U273" s="4"/>
      <c r="V273" s="12">
        <f>IF(T$12=0,0,T273/T$12)</f>
        <v>0.2053006436090421</v>
      </c>
      <c r="W273" s="4"/>
      <c r="X273" s="4">
        <f>+P273-T273</f>
        <v>-28435.909999999974</v>
      </c>
      <c r="Y273" s="4"/>
      <c r="Z273" s="12">
        <f>IF(T273=0,0,X273/T273)</f>
        <v>-8.3202576678076512E-2</v>
      </c>
    </row>
    <row r="274" spans="1:26" x14ac:dyDescent="0.25">
      <c r="A274" s="9"/>
      <c r="B274" s="10"/>
      <c r="C274" s="10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O274" s="10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ht="15.75" thickBot="1" x14ac:dyDescent="0.3">
      <c r="A275" s="10"/>
      <c r="B275" s="25" t="s">
        <v>4</v>
      </c>
      <c r="C275" s="25"/>
      <c r="D275" s="33">
        <f>+D271-D273</f>
        <v>-785947.29000000027</v>
      </c>
      <c r="E275" s="13"/>
      <c r="F275" s="34">
        <f>IF(D$12=0,0,D275/D$12)</f>
        <v>-0.52156171917687721</v>
      </c>
      <c r="G275" s="13"/>
      <c r="H275" s="33">
        <f>+H271-H273</f>
        <v>-679236.01999999932</v>
      </c>
      <c r="I275" s="13"/>
      <c r="J275" s="34">
        <f>IF(H$12=0,0,H275/H$12)</f>
        <v>-0.40801926056341647</v>
      </c>
      <c r="K275" s="16"/>
      <c r="L275" s="33">
        <f>D275-H275</f>
        <v>-106711.27000000095</v>
      </c>
      <c r="M275" s="16"/>
      <c r="N275" s="34">
        <f>IF(H275=0,0,L275/H275)</f>
        <v>0.15710484552924778</v>
      </c>
      <c r="O275" s="26"/>
      <c r="P275" s="33">
        <f>+P271-P273</f>
        <v>-785947.29000000027</v>
      </c>
      <c r="Q275" s="13"/>
      <c r="R275" s="34">
        <f>IF(P$12=0,0,P275/P$12)</f>
        <v>-0.52156171917687721</v>
      </c>
      <c r="S275" s="13"/>
      <c r="T275" s="33">
        <f>+T271-T273</f>
        <v>-679236.01999999932</v>
      </c>
      <c r="U275" s="13"/>
      <c r="V275" s="34">
        <f>IF(T$12=0,0,T275/T$12)</f>
        <v>-0.40801926056341647</v>
      </c>
      <c r="W275" s="16"/>
      <c r="X275" s="33">
        <f>P275-T275</f>
        <v>-106711.27000000095</v>
      </c>
      <c r="Y275" s="16"/>
      <c r="Z275" s="34">
        <f>IF(T275=0,0,X275/T275)</f>
        <v>0.15710484552924778</v>
      </c>
    </row>
    <row r="276" spans="1:26" ht="15.75" thickTop="1" x14ac:dyDescent="0.25">
      <c r="A276" s="9"/>
      <c r="B276" s="9"/>
      <c r="C276" s="9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x14ac:dyDescent="0.25">
      <c r="A277" s="51"/>
      <c r="B277" s="10" t="s">
        <v>2</v>
      </c>
      <c r="C277" s="10"/>
      <c r="D277" s="4">
        <f>--29008.14</f>
        <v>29008.14</v>
      </c>
      <c r="E277" s="4"/>
      <c r="F277" s="12">
        <f t="shared" ref="F277:F278" si="128">IF(D$12=0,0,D277/D$12)</f>
        <v>1.9250063663332349E-2</v>
      </c>
      <c r="G277" s="4"/>
      <c r="H277" s="4">
        <f>--171740.65</f>
        <v>171740.65</v>
      </c>
      <c r="I277" s="4"/>
      <c r="J277" s="12">
        <f t="shared" ref="J277:J278" si="129">IF(H$12=0,0,H277/H$12)</f>
        <v>0.10316516050147131</v>
      </c>
      <c r="K277" s="4"/>
      <c r="L277" s="4">
        <f t="shared" ref="L277:L278" si="130">+D277-H277</f>
        <v>-142732.51</v>
      </c>
      <c r="M277" s="4"/>
      <c r="N277" s="12">
        <f t="shared" ref="N277:N278" si="131">IF(H277=0,0,L277/H277)</f>
        <v>-0.83109333754122872</v>
      </c>
      <c r="O277" s="10"/>
      <c r="P277" s="4">
        <f>--29008.14</f>
        <v>29008.14</v>
      </c>
      <c r="Q277" s="4"/>
      <c r="R277" s="12">
        <f t="shared" ref="R277:R278" si="132">IF(P$12=0,0,P277/P$12)</f>
        <v>1.9250063663332349E-2</v>
      </c>
      <c r="S277" s="4"/>
      <c r="T277" s="4">
        <f>--171740.65</f>
        <v>171740.65</v>
      </c>
      <c r="U277" s="4"/>
      <c r="V277" s="12">
        <f t="shared" ref="V277:V278" si="133">IF(T$12=0,0,T277/T$12)</f>
        <v>0.10316516050147131</v>
      </c>
      <c r="W277" s="4"/>
      <c r="X277" s="4">
        <f t="shared" ref="X277:X278" si="134">+P277-T277</f>
        <v>-142732.51</v>
      </c>
      <c r="Y277" s="4"/>
      <c r="Z277" s="12">
        <f t="shared" ref="Z277:Z278" si="135">IF(T277=0,0,X277/T277)</f>
        <v>-0.83109333754122872</v>
      </c>
    </row>
    <row r="278" spans="1:26" s="23" customFormat="1" x14ac:dyDescent="0.25">
      <c r="A278" s="51"/>
      <c r="B278" s="10" t="s">
        <v>1</v>
      </c>
      <c r="C278" s="10"/>
      <c r="D278" s="4">
        <f>--16534.29</f>
        <v>16534.29</v>
      </c>
      <c r="E278" s="4"/>
      <c r="F278" s="12">
        <f t="shared" si="128"/>
        <v>1.0972304157660555E-2</v>
      </c>
      <c r="G278" s="4"/>
      <c r="H278" s="4">
        <f>--16448.11</f>
        <v>16448.11</v>
      </c>
      <c r="I278" s="4"/>
      <c r="J278" s="12">
        <f t="shared" si="129"/>
        <v>9.8804325481233208E-3</v>
      </c>
      <c r="K278" s="4"/>
      <c r="L278" s="4">
        <f t="shared" si="130"/>
        <v>86.180000000000291</v>
      </c>
      <c r="M278" s="4"/>
      <c r="N278" s="12">
        <f t="shared" si="131"/>
        <v>5.2395077610740866E-3</v>
      </c>
      <c r="O278" s="10"/>
      <c r="P278" s="4">
        <f>--16534.29</f>
        <v>16534.29</v>
      </c>
      <c r="Q278" s="4"/>
      <c r="R278" s="12">
        <f t="shared" si="132"/>
        <v>1.0972304157660555E-2</v>
      </c>
      <c r="S278" s="4"/>
      <c r="T278" s="4">
        <f>--16448.11</f>
        <v>16448.11</v>
      </c>
      <c r="U278" s="4"/>
      <c r="V278" s="12">
        <f t="shared" si="133"/>
        <v>9.8804325481233208E-3</v>
      </c>
      <c r="W278" s="4"/>
      <c r="X278" s="4">
        <f t="shared" si="134"/>
        <v>86.180000000000291</v>
      </c>
      <c r="Y278" s="4"/>
      <c r="Z278" s="12">
        <f t="shared" si="135"/>
        <v>5.2395077610740866E-3</v>
      </c>
    </row>
    <row r="279" spans="1:26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ht="15.75" thickBot="1" x14ac:dyDescent="0.3">
      <c r="A280" s="10"/>
      <c r="B280" s="25" t="s">
        <v>5</v>
      </c>
      <c r="C280" s="25"/>
      <c r="D280" s="31">
        <f>SUM(D275:D279)</f>
        <v>-740404.86000000022</v>
      </c>
      <c r="E280" s="13"/>
      <c r="F280" s="30">
        <f>IF(D$12=0,0,D280/D$12)</f>
        <v>-0.49133935135588425</v>
      </c>
      <c r="G280" s="13"/>
      <c r="H280" s="31">
        <f>SUM(H275:H279)</f>
        <v>-491047.25999999931</v>
      </c>
      <c r="I280" s="13"/>
      <c r="J280" s="30">
        <f>IF(H$12=0,0,H280/H$12)</f>
        <v>-0.29497366751382181</v>
      </c>
      <c r="K280" s="16"/>
      <c r="L280" s="31">
        <f>+D280-H280</f>
        <v>-249357.60000000091</v>
      </c>
      <c r="M280" s="16"/>
      <c r="N280" s="30">
        <f>IF(H280=0,0,L280/H280)</f>
        <v>0.50780774135671025</v>
      </c>
      <c r="O280" s="26"/>
      <c r="P280" s="31">
        <f>SUM(P275:P279)</f>
        <v>-740404.86000000022</v>
      </c>
      <c r="Q280" s="13"/>
      <c r="R280" s="30">
        <f>IF(P$12=0,0,P280/P$12)</f>
        <v>-0.49133935135588425</v>
      </c>
      <c r="S280" s="13"/>
      <c r="T280" s="31">
        <f>SUM(T275:T279)</f>
        <v>-491047.25999999931</v>
      </c>
      <c r="U280" s="13"/>
      <c r="V280" s="30">
        <f>IF(T$12=0,0,T280/T$12)</f>
        <v>-0.29497366751382181</v>
      </c>
      <c r="W280" s="16"/>
      <c r="X280" s="31">
        <f>+P280-T280</f>
        <v>-249357.60000000091</v>
      </c>
      <c r="Y280" s="16"/>
      <c r="Z280" s="30">
        <f>IF(T280=0,0,X280/T280)</f>
        <v>0.50780774135671025</v>
      </c>
    </row>
    <row r="281" spans="1:26" ht="15.75" thickTop="1" x14ac:dyDescent="0.25">
      <c r="A281" s="9"/>
      <c r="C281" s="9"/>
      <c r="D281" s="18"/>
      <c r="E281" s="18"/>
      <c r="G281" s="18"/>
      <c r="H281" s="18"/>
      <c r="I281" s="18"/>
      <c r="J281" s="43"/>
      <c r="K281" s="18"/>
      <c r="L281" s="18"/>
      <c r="M281" s="18"/>
      <c r="P281" s="18"/>
      <c r="Q281" s="18"/>
      <c r="R281" s="43"/>
      <c r="S281" s="18"/>
      <c r="T281" s="18"/>
      <c r="U281" s="18"/>
      <c r="V281" s="43"/>
      <c r="W281" s="18"/>
      <c r="X281" s="18"/>
    </row>
    <row r="282" spans="1:26" x14ac:dyDescent="0.25">
      <c r="A282" s="9"/>
      <c r="B282" s="56">
        <v>43726.681173842589</v>
      </c>
      <c r="D282" s="18"/>
      <c r="E282" s="18"/>
      <c r="G282" s="18"/>
      <c r="H282" s="18"/>
      <c r="I282" s="18"/>
      <c r="J282" s="43"/>
      <c r="K282" s="18"/>
      <c r="L282" s="18"/>
      <c r="M282" s="18"/>
      <c r="P282" s="18"/>
      <c r="Q282" s="18"/>
      <c r="R282" s="43"/>
      <c r="S282" s="18"/>
      <c r="T282" s="18"/>
      <c r="U282" s="18"/>
      <c r="V282" s="43"/>
      <c r="W282" s="18"/>
      <c r="X282" s="18"/>
    </row>
    <row r="283" spans="1:26" x14ac:dyDescent="0.25">
      <c r="A283" s="9"/>
      <c r="B283" s="53" t="s">
        <v>313</v>
      </c>
      <c r="D283" s="18"/>
      <c r="E283" s="18"/>
      <c r="G283" s="18"/>
      <c r="H283" s="18"/>
      <c r="I283" s="18"/>
      <c r="J283" s="43"/>
      <c r="K283" s="18"/>
      <c r="L283" s="18"/>
      <c r="M283" s="18"/>
      <c r="P283" s="18"/>
      <c r="Q283" s="18"/>
      <c r="R283" s="43"/>
      <c r="S283" s="18"/>
      <c r="T283" s="18"/>
      <c r="U283" s="18"/>
      <c r="V283" s="43"/>
      <c r="W283" s="18"/>
      <c r="X283" s="18"/>
    </row>
    <row r="284" spans="1:26" x14ac:dyDescent="0.25">
      <c r="A284" s="9"/>
      <c r="B284" s="59"/>
      <c r="D284" s="18"/>
      <c r="E284" s="18"/>
      <c r="G284" s="18"/>
      <c r="H284" s="18"/>
      <c r="I284" s="18"/>
      <c r="J284" s="43"/>
      <c r="K284" s="18"/>
      <c r="L284" s="18"/>
      <c r="M284" s="18"/>
      <c r="P284" s="18"/>
      <c r="Q284" s="18"/>
      <c r="R284" s="43"/>
      <c r="S284" s="18"/>
      <c r="T284" s="18"/>
      <c r="U284" s="18"/>
      <c r="V284" s="43"/>
      <c r="W284" s="18"/>
      <c r="X284" s="18"/>
    </row>
    <row r="285" spans="1:26" x14ac:dyDescent="0.25">
      <c r="D285" s="18"/>
      <c r="E285" s="18"/>
      <c r="G285" s="18"/>
      <c r="H285" s="18"/>
      <c r="I285" s="18"/>
      <c r="J285" s="43"/>
      <c r="K285" s="18"/>
      <c r="L285" s="18"/>
      <c r="M285" s="18"/>
      <c r="P285" s="18"/>
      <c r="Q285" s="18"/>
      <c r="R285" s="43"/>
      <c r="S285" s="18"/>
      <c r="T285" s="18"/>
      <c r="U285" s="18"/>
      <c r="V285" s="43"/>
      <c r="W285" s="18"/>
      <c r="X28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299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299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300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300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296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296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310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310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297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54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6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--29008.14</f>
        <v>29008.14</v>
      </c>
      <c r="E28" s="4"/>
      <c r="F28" s="12">
        <f t="shared" ref="F28:F29" si="0">IF(D$12=0,0,D28/D$12)</f>
        <v>0</v>
      </c>
      <c r="G28" s="4"/>
      <c r="H28" s="4">
        <f>--171740.65</f>
        <v>171740.65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-142732.51</v>
      </c>
      <c r="M28" s="4"/>
      <c r="N28" s="12">
        <f t="shared" ref="N28:N29" si="3">IF(H28=0,0,L28/H28)</f>
        <v>-0.83109333754122872</v>
      </c>
      <c r="O28" s="10"/>
      <c r="P28" s="4">
        <f>--29008.14</f>
        <v>29008.14</v>
      </c>
      <c r="Q28" s="4"/>
      <c r="R28" s="12">
        <f t="shared" ref="R28:R29" si="4">IF(P$12=0,0,P28/P$12)</f>
        <v>0</v>
      </c>
      <c r="S28" s="4"/>
      <c r="T28" s="4">
        <f>--171740.65</f>
        <v>171740.65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-142732.51</v>
      </c>
      <c r="Y28" s="4"/>
      <c r="Z28" s="12">
        <f t="shared" ref="Z28:Z29" si="7">IF(T28=0,0,X28/T28)</f>
        <v>-0.83109333754122872</v>
      </c>
    </row>
    <row r="29" spans="1:26" s="23" customFormat="1" x14ac:dyDescent="0.25">
      <c r="A29" s="51"/>
      <c r="B29" s="10" t="s">
        <v>1</v>
      </c>
      <c r="C29" s="10"/>
      <c r="D29" s="4">
        <f>--16534.29</f>
        <v>16534.29</v>
      </c>
      <c r="E29" s="4"/>
      <c r="F29" s="12">
        <f t="shared" si="0"/>
        <v>0</v>
      </c>
      <c r="G29" s="4"/>
      <c r="H29" s="4">
        <f>--16448.11</f>
        <v>16448.11</v>
      </c>
      <c r="I29" s="4"/>
      <c r="J29" s="12">
        <f t="shared" si="1"/>
        <v>0</v>
      </c>
      <c r="K29" s="4"/>
      <c r="L29" s="4">
        <f t="shared" si="2"/>
        <v>86.180000000000291</v>
      </c>
      <c r="M29" s="4"/>
      <c r="N29" s="12">
        <f t="shared" si="3"/>
        <v>5.2395077610740866E-3</v>
      </c>
      <c r="O29" s="10"/>
      <c r="P29" s="4">
        <f>--16534.29</f>
        <v>16534.29</v>
      </c>
      <c r="Q29" s="4"/>
      <c r="R29" s="12">
        <f t="shared" si="4"/>
        <v>0</v>
      </c>
      <c r="S29" s="4"/>
      <c r="T29" s="4">
        <f>--16448.11</f>
        <v>16448.11</v>
      </c>
      <c r="U29" s="4"/>
      <c r="V29" s="12">
        <f t="shared" si="5"/>
        <v>0</v>
      </c>
      <c r="W29" s="4"/>
      <c r="X29" s="4">
        <f t="shared" si="6"/>
        <v>86.180000000000291</v>
      </c>
      <c r="Y29" s="4"/>
      <c r="Z29" s="12">
        <f t="shared" si="7"/>
        <v>5.2395077610740866E-3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1">
        <f>SUM(D26:D30)</f>
        <v>45542.43</v>
      </c>
      <c r="E31" s="13"/>
      <c r="F31" s="30">
        <f>IF(D$12=0,0,D31/D$12)</f>
        <v>0</v>
      </c>
      <c r="G31" s="13"/>
      <c r="H31" s="31">
        <f>SUM(H26:H30)</f>
        <v>188188.76</v>
      </c>
      <c r="I31" s="13"/>
      <c r="J31" s="30">
        <f>IF(H$12=0,0,H31/H$12)</f>
        <v>0</v>
      </c>
      <c r="K31" s="16"/>
      <c r="L31" s="31">
        <f>+D31-H31</f>
        <v>-142646.33000000002</v>
      </c>
      <c r="M31" s="16"/>
      <c r="N31" s="30">
        <f>IF(H31=0,0,L31/H31)</f>
        <v>-0.75799601421466412</v>
      </c>
      <c r="O31" s="26"/>
      <c r="P31" s="31">
        <f>SUM(P26:P30)</f>
        <v>45542.43</v>
      </c>
      <c r="Q31" s="13"/>
      <c r="R31" s="30">
        <f>IF(P$12=0,0,P31/P$12)</f>
        <v>0</v>
      </c>
      <c r="S31" s="13"/>
      <c r="T31" s="31">
        <f>SUM(T26:T30)</f>
        <v>188188.76</v>
      </c>
      <c r="U31" s="13"/>
      <c r="V31" s="30">
        <f>IF(T$12=0,0,T31/T$12)</f>
        <v>0</v>
      </c>
      <c r="W31" s="16"/>
      <c r="X31" s="31">
        <f>+P31-T31</f>
        <v>-142646.33000000002</v>
      </c>
      <c r="Y31" s="16"/>
      <c r="Z31" s="30">
        <f>IF(T31=0,0,X31/T31)</f>
        <v>-0.75799601421466412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43726.681219907405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54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6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--29008.14</f>
        <v>29008.14</v>
      </c>
      <c r="E28" s="4"/>
      <c r="F28" s="12">
        <f t="shared" ref="F28:F29" si="0">IF(D$12=0,0,D28/D$12)</f>
        <v>0</v>
      </c>
      <c r="G28" s="4"/>
      <c r="H28" s="4">
        <f>--171740.65</f>
        <v>171740.65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-142732.51</v>
      </c>
      <c r="M28" s="4"/>
      <c r="N28" s="12">
        <f t="shared" ref="N28:N29" si="3">IF(H28=0,0,L28/H28)</f>
        <v>-0.83109333754122872</v>
      </c>
      <c r="O28" s="10"/>
      <c r="P28" s="4">
        <f>--29008.14</f>
        <v>29008.14</v>
      </c>
      <c r="Q28" s="4"/>
      <c r="R28" s="12">
        <f t="shared" ref="R28:R29" si="4">IF(P$12=0,0,P28/P$12)</f>
        <v>0</v>
      </c>
      <c r="S28" s="4"/>
      <c r="T28" s="4">
        <f>--171740.65</f>
        <v>171740.65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-142732.51</v>
      </c>
      <c r="Y28" s="4"/>
      <c r="Z28" s="12">
        <f t="shared" ref="Z28:Z29" si="7">IF(T28=0,0,X28/T28)</f>
        <v>-0.83109333754122872</v>
      </c>
    </row>
    <row r="29" spans="1:26" s="23" customFormat="1" x14ac:dyDescent="0.25">
      <c r="A29" s="51"/>
      <c r="B29" s="10" t="s">
        <v>1</v>
      </c>
      <c r="C29" s="10"/>
      <c r="D29" s="4">
        <f>--16534.29</f>
        <v>16534.29</v>
      </c>
      <c r="E29" s="4"/>
      <c r="F29" s="12">
        <f t="shared" si="0"/>
        <v>0</v>
      </c>
      <c r="G29" s="4"/>
      <c r="H29" s="4">
        <f>--16448.11</f>
        <v>16448.11</v>
      </c>
      <c r="I29" s="4"/>
      <c r="J29" s="12">
        <f t="shared" si="1"/>
        <v>0</v>
      </c>
      <c r="K29" s="4"/>
      <c r="L29" s="4">
        <f t="shared" si="2"/>
        <v>86.180000000000291</v>
      </c>
      <c r="M29" s="4"/>
      <c r="N29" s="12">
        <f t="shared" si="3"/>
        <v>5.2395077610740866E-3</v>
      </c>
      <c r="O29" s="10"/>
      <c r="P29" s="4">
        <f>--16534.29</f>
        <v>16534.29</v>
      </c>
      <c r="Q29" s="4"/>
      <c r="R29" s="12">
        <f t="shared" si="4"/>
        <v>0</v>
      </c>
      <c r="S29" s="4"/>
      <c r="T29" s="4">
        <f>--16448.11</f>
        <v>16448.11</v>
      </c>
      <c r="U29" s="4"/>
      <c r="V29" s="12">
        <f t="shared" si="5"/>
        <v>0</v>
      </c>
      <c r="W29" s="4"/>
      <c r="X29" s="4">
        <f t="shared" si="6"/>
        <v>86.180000000000291</v>
      </c>
      <c r="Y29" s="4"/>
      <c r="Z29" s="12">
        <f t="shared" si="7"/>
        <v>5.2395077610740866E-3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1">
        <f>SUM(D26:D30)</f>
        <v>45542.43</v>
      </c>
      <c r="E31" s="13"/>
      <c r="F31" s="30">
        <f>IF(D$12=0,0,D31/D$12)</f>
        <v>0</v>
      </c>
      <c r="G31" s="13"/>
      <c r="H31" s="31">
        <f>SUM(H26:H30)</f>
        <v>188188.76</v>
      </c>
      <c r="I31" s="13"/>
      <c r="J31" s="30">
        <f>IF(H$12=0,0,H31/H$12)</f>
        <v>0</v>
      </c>
      <c r="K31" s="16"/>
      <c r="L31" s="31">
        <f>+D31-H31</f>
        <v>-142646.33000000002</v>
      </c>
      <c r="M31" s="16"/>
      <c r="N31" s="30">
        <f>IF(H31=0,0,L31/H31)</f>
        <v>-0.75799601421466412</v>
      </c>
      <c r="O31" s="26"/>
      <c r="P31" s="31">
        <f>SUM(P26:P30)</f>
        <v>45542.43</v>
      </c>
      <c r="Q31" s="13"/>
      <c r="R31" s="30">
        <f>IF(P$12=0,0,P31/P$12)</f>
        <v>0</v>
      </c>
      <c r="S31" s="13"/>
      <c r="T31" s="31">
        <f>SUM(T26:T30)</f>
        <v>188188.76</v>
      </c>
      <c r="U31" s="13"/>
      <c r="V31" s="30">
        <f>IF(T$12=0,0,T31/T$12)</f>
        <v>0</v>
      </c>
      <c r="W31" s="16"/>
      <c r="X31" s="31">
        <f>+P31-T31</f>
        <v>-142646.33000000002</v>
      </c>
      <c r="Y31" s="16"/>
      <c r="Z31" s="30">
        <f>IF(T31=0,0,X31/T31)</f>
        <v>-0.75799601421466412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43726.681591631947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295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298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313331.27</v>
      </c>
      <c r="E18" s="19"/>
      <c r="F18" s="35">
        <f t="shared" ref="F18:F29" si="0">IF(D$12=0,0,D18/D$12)</f>
        <v>0</v>
      </c>
      <c r="G18" s="19"/>
      <c r="H18" s="19">
        <f>SUM(OSRRefH22x_0)</f>
        <v>341767.18000000005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-28435.910000000033</v>
      </c>
      <c r="M18" s="4"/>
      <c r="N18" s="35">
        <f t="shared" ref="N18:N29" si="3">IF(H18=0,0,L18/H18)</f>
        <v>-8.3202576678076665E-2</v>
      </c>
      <c r="O18" s="10"/>
      <c r="P18" s="19">
        <f>SUM(OSRRefP22x_0)</f>
        <v>313331.27</v>
      </c>
      <c r="Q18" s="19"/>
      <c r="R18" s="35">
        <f t="shared" ref="R18:R29" si="4">IF(P$12=0,0,P18/P$12)</f>
        <v>0</v>
      </c>
      <c r="S18" s="19"/>
      <c r="T18" s="19">
        <f>SUM(OSRRefT22x_0)</f>
        <v>341767.18000000005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-28435.910000000033</v>
      </c>
      <c r="Y18" s="4"/>
      <c r="Z18" s="35">
        <f t="shared" ref="Z18:Z29" si="7">IF(T18=0,0,X18/T18)</f>
        <v>-8.3202576678076665E-2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102861.30000000002</v>
      </c>
      <c r="E19" s="1"/>
      <c r="F19" s="5">
        <f t="shared" si="0"/>
        <v>0</v>
      </c>
      <c r="G19" s="1"/>
      <c r="H19" s="1">
        <f>SUM(OSRRefH22_0x_0)</f>
        <v>93482.650000000009</v>
      </c>
      <c r="I19" s="1"/>
      <c r="J19" s="5">
        <f t="shared" si="1"/>
        <v>0</v>
      </c>
      <c r="K19" s="1"/>
      <c r="L19" s="1">
        <f t="shared" si="2"/>
        <v>9378.6500000000087</v>
      </c>
      <c r="M19" s="1"/>
      <c r="N19" s="5">
        <f t="shared" si="3"/>
        <v>0.10032503357574916</v>
      </c>
      <c r="O19" s="14"/>
      <c r="P19" s="1">
        <f>SUM(OSRRefP22_0x_0)</f>
        <v>102861.30000000002</v>
      </c>
      <c r="Q19" s="1"/>
      <c r="R19" s="5">
        <f t="shared" si="4"/>
        <v>0</v>
      </c>
      <c r="S19" s="1"/>
      <c r="T19" s="1">
        <f>SUM(OSRRefT22_0x_0)</f>
        <v>93482.650000000009</v>
      </c>
      <c r="U19" s="1"/>
      <c r="V19" s="5">
        <f t="shared" si="5"/>
        <v>0</v>
      </c>
      <c r="W19" s="1"/>
      <c r="X19" s="1">
        <f t="shared" si="6"/>
        <v>9378.6500000000087</v>
      </c>
      <c r="Y19" s="1"/>
      <c r="Z19" s="5">
        <f t="shared" si="7"/>
        <v>0.10032503357574916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9536.74</v>
      </c>
      <c r="E20" s="2"/>
      <c r="F20" s="6">
        <f t="shared" si="0"/>
        <v>0</v>
      </c>
      <c r="G20" s="2"/>
      <c r="H20" s="7">
        <v>9443.76</v>
      </c>
      <c r="I20" s="2"/>
      <c r="J20" s="6">
        <f t="shared" si="1"/>
        <v>0</v>
      </c>
      <c r="K20" s="2"/>
      <c r="L20" s="7">
        <f t="shared" si="2"/>
        <v>92.979999999999563</v>
      </c>
      <c r="M20" s="2"/>
      <c r="N20" s="6">
        <f t="shared" si="3"/>
        <v>9.8456546968579851E-3</v>
      </c>
      <c r="O20" s="11"/>
      <c r="P20" s="7">
        <v>9536.74</v>
      </c>
      <c r="Q20" s="2"/>
      <c r="R20" s="6">
        <f t="shared" si="4"/>
        <v>0</v>
      </c>
      <c r="S20" s="2"/>
      <c r="T20" s="7">
        <v>9443.76</v>
      </c>
      <c r="U20" s="2"/>
      <c r="V20" s="6">
        <f t="shared" si="5"/>
        <v>0</v>
      </c>
      <c r="W20" s="2"/>
      <c r="X20" s="7">
        <f t="shared" si="6"/>
        <v>92.979999999999563</v>
      </c>
      <c r="Y20" s="2"/>
      <c r="Z20" s="6">
        <f t="shared" si="7"/>
        <v>9.8456546968579851E-3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680.76</v>
      </c>
      <c r="E21" s="2"/>
      <c r="F21" s="6">
        <f t="shared" si="0"/>
        <v>0</v>
      </c>
      <c r="G21" s="2"/>
      <c r="H21" s="7">
        <v>789.29</v>
      </c>
      <c r="I21" s="2"/>
      <c r="J21" s="6">
        <f t="shared" si="1"/>
        <v>0</v>
      </c>
      <c r="K21" s="2"/>
      <c r="L21" s="7">
        <f t="shared" si="2"/>
        <v>-108.52999999999997</v>
      </c>
      <c r="M21" s="2"/>
      <c r="N21" s="6">
        <f t="shared" si="3"/>
        <v>-0.13750332577379668</v>
      </c>
      <c r="O21" s="11"/>
      <c r="P21" s="7">
        <v>680.76</v>
      </c>
      <c r="Q21" s="2"/>
      <c r="R21" s="6">
        <f t="shared" si="4"/>
        <v>0</v>
      </c>
      <c r="S21" s="2"/>
      <c r="T21" s="7">
        <v>789.29</v>
      </c>
      <c r="U21" s="2"/>
      <c r="V21" s="6">
        <f t="shared" si="5"/>
        <v>0</v>
      </c>
      <c r="W21" s="2"/>
      <c r="X21" s="7">
        <f t="shared" si="6"/>
        <v>-108.52999999999997</v>
      </c>
      <c r="Y21" s="2"/>
      <c r="Z21" s="6">
        <f t="shared" si="7"/>
        <v>-0.13750332577379668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22703.31</v>
      </c>
      <c r="E22" s="2"/>
      <c r="F22" s="6">
        <f t="shared" si="0"/>
        <v>0</v>
      </c>
      <c r="G22" s="2"/>
      <c r="H22" s="7">
        <v>10469.049999999999</v>
      </c>
      <c r="I22" s="2"/>
      <c r="J22" s="6">
        <f t="shared" si="1"/>
        <v>0</v>
      </c>
      <c r="K22" s="2"/>
      <c r="L22" s="7">
        <f t="shared" si="2"/>
        <v>12234.260000000002</v>
      </c>
      <c r="M22" s="2"/>
      <c r="N22" s="6">
        <f t="shared" si="3"/>
        <v>1.1686122427536407</v>
      </c>
      <c r="O22" s="11"/>
      <c r="P22" s="7">
        <v>22703.31</v>
      </c>
      <c r="Q22" s="2"/>
      <c r="R22" s="6">
        <f t="shared" si="4"/>
        <v>0</v>
      </c>
      <c r="S22" s="2"/>
      <c r="T22" s="7">
        <v>10469.049999999999</v>
      </c>
      <c r="U22" s="2"/>
      <c r="V22" s="6">
        <f t="shared" si="5"/>
        <v>0</v>
      </c>
      <c r="W22" s="2"/>
      <c r="X22" s="7">
        <f t="shared" si="6"/>
        <v>12234.260000000002</v>
      </c>
      <c r="Y22" s="2"/>
      <c r="Z22" s="6">
        <f t="shared" si="7"/>
        <v>1.1686122427536407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317.29000000000002</v>
      </c>
      <c r="E23" s="2"/>
      <c r="F23" s="6">
        <f t="shared" si="0"/>
        <v>0</v>
      </c>
      <c r="G23" s="2"/>
      <c r="H23" s="7">
        <v>460.32</v>
      </c>
      <c r="I23" s="2"/>
      <c r="J23" s="6">
        <f t="shared" si="1"/>
        <v>0</v>
      </c>
      <c r="K23" s="2"/>
      <c r="L23" s="7">
        <f t="shared" si="2"/>
        <v>-143.02999999999997</v>
      </c>
      <c r="M23" s="2"/>
      <c r="N23" s="6">
        <f t="shared" si="3"/>
        <v>-0.31071863051790055</v>
      </c>
      <c r="O23" s="11"/>
      <c r="P23" s="7">
        <v>317.29000000000002</v>
      </c>
      <c r="Q23" s="2"/>
      <c r="R23" s="6">
        <f t="shared" si="4"/>
        <v>0</v>
      </c>
      <c r="S23" s="2"/>
      <c r="T23" s="7">
        <v>460.32</v>
      </c>
      <c r="U23" s="2"/>
      <c r="V23" s="6">
        <f t="shared" si="5"/>
        <v>0</v>
      </c>
      <c r="W23" s="2"/>
      <c r="X23" s="7">
        <f t="shared" si="6"/>
        <v>-143.02999999999997</v>
      </c>
      <c r="Y23" s="2"/>
      <c r="Z23" s="6">
        <f t="shared" si="7"/>
        <v>-0.31071863051790055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8066.48</v>
      </c>
      <c r="E24" s="2"/>
      <c r="F24" s="6">
        <f t="shared" si="0"/>
        <v>0</v>
      </c>
      <c r="G24" s="2"/>
      <c r="H24" s="7">
        <v>11531.26</v>
      </c>
      <c r="I24" s="2"/>
      <c r="J24" s="6">
        <f t="shared" si="1"/>
        <v>0</v>
      </c>
      <c r="K24" s="2"/>
      <c r="L24" s="7">
        <f t="shared" si="2"/>
        <v>-3464.7800000000007</v>
      </c>
      <c r="M24" s="2"/>
      <c r="N24" s="6">
        <f t="shared" si="3"/>
        <v>-0.30046846571840374</v>
      </c>
      <c r="O24" s="11"/>
      <c r="P24" s="7">
        <v>8066.48</v>
      </c>
      <c r="Q24" s="2"/>
      <c r="R24" s="6">
        <f t="shared" si="4"/>
        <v>0</v>
      </c>
      <c r="S24" s="2"/>
      <c r="T24" s="7">
        <v>11531.26</v>
      </c>
      <c r="U24" s="2"/>
      <c r="V24" s="6">
        <f t="shared" si="5"/>
        <v>0</v>
      </c>
      <c r="W24" s="2"/>
      <c r="X24" s="7">
        <f t="shared" si="6"/>
        <v>-3464.7800000000007</v>
      </c>
      <c r="Y24" s="2"/>
      <c r="Z24" s="6">
        <f t="shared" si="7"/>
        <v>-0.30046846571840374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632.32000000000005</v>
      </c>
      <c r="E25" s="2"/>
      <c r="F25" s="6">
        <f t="shared" si="0"/>
        <v>0</v>
      </c>
      <c r="G25" s="2"/>
      <c r="H25" s="7">
        <v>218.24</v>
      </c>
      <c r="I25" s="2"/>
      <c r="J25" s="6">
        <f t="shared" si="1"/>
        <v>0</v>
      </c>
      <c r="K25" s="2"/>
      <c r="L25" s="7">
        <f t="shared" si="2"/>
        <v>414.08000000000004</v>
      </c>
      <c r="M25" s="2"/>
      <c r="N25" s="6">
        <f t="shared" si="3"/>
        <v>1.8973607038123168</v>
      </c>
      <c r="O25" s="11"/>
      <c r="P25" s="7">
        <v>632.32000000000005</v>
      </c>
      <c r="Q25" s="2"/>
      <c r="R25" s="6">
        <f t="shared" si="4"/>
        <v>0</v>
      </c>
      <c r="S25" s="2"/>
      <c r="T25" s="7">
        <v>218.24</v>
      </c>
      <c r="U25" s="2"/>
      <c r="V25" s="6">
        <f t="shared" si="5"/>
        <v>0</v>
      </c>
      <c r="W25" s="2"/>
      <c r="X25" s="7">
        <f t="shared" si="6"/>
        <v>414.08000000000004</v>
      </c>
      <c r="Y25" s="2"/>
      <c r="Z25" s="6">
        <f t="shared" si="7"/>
        <v>1.8973607038123168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14722.95</v>
      </c>
      <c r="E26" s="2"/>
      <c r="F26" s="6">
        <f t="shared" si="0"/>
        <v>0</v>
      </c>
      <c r="G26" s="2"/>
      <c r="H26" s="7">
        <v>12297.12</v>
      </c>
      <c r="I26" s="2"/>
      <c r="J26" s="6">
        <f t="shared" si="1"/>
        <v>0</v>
      </c>
      <c r="K26" s="2"/>
      <c r="L26" s="7">
        <f t="shared" si="2"/>
        <v>2425.83</v>
      </c>
      <c r="M26" s="2"/>
      <c r="N26" s="6">
        <f t="shared" si="3"/>
        <v>0.1972681408329755</v>
      </c>
      <c r="O26" s="11"/>
      <c r="P26" s="7">
        <v>14722.95</v>
      </c>
      <c r="Q26" s="2"/>
      <c r="R26" s="6">
        <f t="shared" si="4"/>
        <v>0</v>
      </c>
      <c r="S26" s="2"/>
      <c r="T26" s="7">
        <v>12297.12</v>
      </c>
      <c r="U26" s="2"/>
      <c r="V26" s="6">
        <f t="shared" si="5"/>
        <v>0</v>
      </c>
      <c r="W26" s="2"/>
      <c r="X26" s="7">
        <f t="shared" si="6"/>
        <v>2425.83</v>
      </c>
      <c r="Y26" s="2"/>
      <c r="Z26" s="6">
        <f t="shared" si="7"/>
        <v>0.1972681408329755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15044.3</v>
      </c>
      <c r="E27" s="2"/>
      <c r="F27" s="6">
        <f t="shared" si="0"/>
        <v>0</v>
      </c>
      <c r="G27" s="2"/>
      <c r="H27" s="7">
        <v>13166.88</v>
      </c>
      <c r="I27" s="2"/>
      <c r="J27" s="6">
        <f t="shared" si="1"/>
        <v>0</v>
      </c>
      <c r="K27" s="2"/>
      <c r="L27" s="7">
        <f t="shared" si="2"/>
        <v>1877.42</v>
      </c>
      <c r="M27" s="2"/>
      <c r="N27" s="6">
        <f t="shared" si="3"/>
        <v>0.14258655049639704</v>
      </c>
      <c r="O27" s="11"/>
      <c r="P27" s="7">
        <v>15044.3</v>
      </c>
      <c r="Q27" s="2"/>
      <c r="R27" s="6">
        <f t="shared" si="4"/>
        <v>0</v>
      </c>
      <c r="S27" s="2"/>
      <c r="T27" s="7">
        <v>13166.88</v>
      </c>
      <c r="U27" s="2"/>
      <c r="V27" s="6">
        <f t="shared" si="5"/>
        <v>0</v>
      </c>
      <c r="W27" s="2"/>
      <c r="X27" s="7">
        <f t="shared" si="6"/>
        <v>1877.42</v>
      </c>
      <c r="Y27" s="2"/>
      <c r="Z27" s="6">
        <f t="shared" si="7"/>
        <v>0.14258655049639704</v>
      </c>
    </row>
    <row r="28" spans="1:26" s="24" customFormat="1" hidden="1" outlineLevel="2" x14ac:dyDescent="0.25">
      <c r="A28" s="29"/>
      <c r="B28" s="11" t="str">
        <f>CONCATENATE("          ", "6120", " - ", "RETIREES HEALTH INSURANCE")</f>
        <v xml:space="preserve">          6120 - RETIREES HEALTH INSURANCE</v>
      </c>
      <c r="C28" s="11"/>
      <c r="D28" s="7">
        <v>28870.880000000001</v>
      </c>
      <c r="E28" s="2"/>
      <c r="F28" s="6">
        <f t="shared" si="0"/>
        <v>0</v>
      </c>
      <c r="G28" s="2"/>
      <c r="H28" s="7">
        <v>32597.350000000002</v>
      </c>
      <c r="I28" s="2"/>
      <c r="J28" s="6">
        <f t="shared" si="1"/>
        <v>0</v>
      </c>
      <c r="K28" s="2"/>
      <c r="L28" s="7">
        <f t="shared" si="2"/>
        <v>-3726.4700000000012</v>
      </c>
      <c r="M28" s="2"/>
      <c r="N28" s="6">
        <f t="shared" si="3"/>
        <v>-0.11431818844169851</v>
      </c>
      <c r="O28" s="11"/>
      <c r="P28" s="7">
        <v>28870.880000000001</v>
      </c>
      <c r="Q28" s="2"/>
      <c r="R28" s="6">
        <f t="shared" si="4"/>
        <v>0</v>
      </c>
      <c r="S28" s="2"/>
      <c r="T28" s="7">
        <v>32597.350000000002</v>
      </c>
      <c r="U28" s="2"/>
      <c r="V28" s="6">
        <f t="shared" si="5"/>
        <v>0</v>
      </c>
      <c r="W28" s="2"/>
      <c r="X28" s="7">
        <f t="shared" si="6"/>
        <v>-3726.4700000000012</v>
      </c>
      <c r="Y28" s="2"/>
      <c r="Z28" s="6">
        <f t="shared" si="7"/>
        <v>-0.11431818844169851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2286.27</v>
      </c>
      <c r="E29" s="2"/>
      <c r="F29" s="6">
        <f t="shared" si="0"/>
        <v>0</v>
      </c>
      <c r="G29" s="2"/>
      <c r="H29" s="7">
        <v>2509.38</v>
      </c>
      <c r="I29" s="2"/>
      <c r="J29" s="6">
        <f t="shared" si="1"/>
        <v>0</v>
      </c>
      <c r="K29" s="2"/>
      <c r="L29" s="7">
        <f t="shared" si="2"/>
        <v>-223.11000000000013</v>
      </c>
      <c r="M29" s="2"/>
      <c r="N29" s="6">
        <f t="shared" si="3"/>
        <v>-8.8910408148626399E-2</v>
      </c>
      <c r="O29" s="11"/>
      <c r="P29" s="7">
        <v>2286.27</v>
      </c>
      <c r="Q29" s="2"/>
      <c r="R29" s="6">
        <f t="shared" si="4"/>
        <v>0</v>
      </c>
      <c r="S29" s="2"/>
      <c r="T29" s="7">
        <v>2509.38</v>
      </c>
      <c r="U29" s="2"/>
      <c r="V29" s="6">
        <f t="shared" si="5"/>
        <v>0</v>
      </c>
      <c r="W29" s="2"/>
      <c r="X29" s="7">
        <f t="shared" si="6"/>
        <v>-223.11000000000013</v>
      </c>
      <c r="Y29" s="2"/>
      <c r="Z29" s="6">
        <f t="shared" si="7"/>
        <v>-8.8910408148626399E-2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141355.81</v>
      </c>
      <c r="E30" s="1"/>
      <c r="F30" s="5">
        <f t="shared" ref="F30:F37" si="8">IF(D$12=0,0,D30/D$12)</f>
        <v>0</v>
      </c>
      <c r="G30" s="1"/>
      <c r="H30" s="1">
        <f>SUM(OSRRefH22_1x_0)</f>
        <v>140860.32</v>
      </c>
      <c r="I30" s="1"/>
      <c r="J30" s="5">
        <f t="shared" ref="J30:J37" si="9">IF(H$12=0,0,H30/H$12)</f>
        <v>0</v>
      </c>
      <c r="K30" s="1"/>
      <c r="L30" s="1">
        <f t="shared" ref="L30:L37" si="10">+D30-H30</f>
        <v>495.48999999999069</v>
      </c>
      <c r="M30" s="1"/>
      <c r="N30" s="5">
        <f t="shared" ref="N30:N37" si="11">IF(H30=0,0,L30/H30)</f>
        <v>3.5175981426138368E-3</v>
      </c>
      <c r="O30" s="14"/>
      <c r="P30" s="1">
        <f>SUM(OSRRefP22_1x_0)</f>
        <v>141355.81</v>
      </c>
      <c r="Q30" s="1"/>
      <c r="R30" s="5">
        <f t="shared" ref="R30:R37" si="12">IF(P$12=0,0,P30/P$12)</f>
        <v>0</v>
      </c>
      <c r="S30" s="1"/>
      <c r="T30" s="1">
        <f>SUM(OSRRefT22_1x_0)</f>
        <v>140860.32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495.48999999999069</v>
      </c>
      <c r="Y30" s="1"/>
      <c r="Z30" s="5">
        <f t="shared" ref="Z30:Z37" si="15">IF(T30=0,0,X30/T30)</f>
        <v>3.5175981426138368E-3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39603.08</v>
      </c>
      <c r="E31" s="2"/>
      <c r="F31" s="6">
        <f t="shared" si="8"/>
        <v>0</v>
      </c>
      <c r="G31" s="2"/>
      <c r="H31" s="7">
        <v>44212.1</v>
      </c>
      <c r="I31" s="2"/>
      <c r="J31" s="6">
        <f t="shared" si="9"/>
        <v>0</v>
      </c>
      <c r="K31" s="2"/>
      <c r="L31" s="7">
        <f t="shared" si="10"/>
        <v>-4609.0199999999968</v>
      </c>
      <c r="M31" s="2"/>
      <c r="N31" s="6">
        <f t="shared" si="11"/>
        <v>-0.10424793212717778</v>
      </c>
      <c r="O31" s="11"/>
      <c r="P31" s="7">
        <v>39603.08</v>
      </c>
      <c r="Q31" s="2"/>
      <c r="R31" s="6">
        <f t="shared" si="12"/>
        <v>0</v>
      </c>
      <c r="S31" s="2"/>
      <c r="T31" s="7">
        <v>44212.1</v>
      </c>
      <c r="U31" s="2"/>
      <c r="V31" s="6">
        <f t="shared" si="13"/>
        <v>0</v>
      </c>
      <c r="W31" s="2"/>
      <c r="X31" s="7">
        <f t="shared" si="14"/>
        <v>-4609.0199999999968</v>
      </c>
      <c r="Y31" s="2"/>
      <c r="Z31" s="6">
        <f t="shared" si="15"/>
        <v>-0.10424793212717778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51553.97</v>
      </c>
      <c r="E32" s="2"/>
      <c r="F32" s="6">
        <f t="shared" si="8"/>
        <v>0</v>
      </c>
      <c r="G32" s="2"/>
      <c r="H32" s="7">
        <v>53789.57</v>
      </c>
      <c r="I32" s="2"/>
      <c r="J32" s="6">
        <f t="shared" si="9"/>
        <v>0</v>
      </c>
      <c r="K32" s="2"/>
      <c r="L32" s="7">
        <f t="shared" si="10"/>
        <v>-2235.5999999999985</v>
      </c>
      <c r="M32" s="2"/>
      <c r="N32" s="6">
        <f t="shared" si="11"/>
        <v>-4.1561960803925345E-2</v>
      </c>
      <c r="O32" s="11"/>
      <c r="P32" s="7">
        <v>51553.97</v>
      </c>
      <c r="Q32" s="2"/>
      <c r="R32" s="6">
        <f t="shared" si="12"/>
        <v>0</v>
      </c>
      <c r="S32" s="2"/>
      <c r="T32" s="7">
        <v>53789.57</v>
      </c>
      <c r="U32" s="2"/>
      <c r="V32" s="6">
        <f t="shared" si="13"/>
        <v>0</v>
      </c>
      <c r="W32" s="2"/>
      <c r="X32" s="7">
        <f t="shared" si="14"/>
        <v>-2235.5999999999985</v>
      </c>
      <c r="Y32" s="2"/>
      <c r="Z32" s="6">
        <f t="shared" si="15"/>
        <v>-4.1561960803925345E-2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20265.27</v>
      </c>
      <c r="E33" s="2"/>
      <c r="F33" s="6">
        <f t="shared" si="8"/>
        <v>0</v>
      </c>
      <c r="G33" s="2"/>
      <c r="H33" s="7">
        <v>15644.7</v>
      </c>
      <c r="I33" s="2"/>
      <c r="J33" s="6">
        <f t="shared" si="9"/>
        <v>0</v>
      </c>
      <c r="K33" s="2"/>
      <c r="L33" s="7">
        <f t="shared" si="10"/>
        <v>4620.57</v>
      </c>
      <c r="M33" s="2"/>
      <c r="N33" s="6">
        <f t="shared" si="11"/>
        <v>0.29534411014592798</v>
      </c>
      <c r="O33" s="11"/>
      <c r="P33" s="7">
        <v>20265.27</v>
      </c>
      <c r="Q33" s="2"/>
      <c r="R33" s="6">
        <f t="shared" si="12"/>
        <v>0</v>
      </c>
      <c r="S33" s="2"/>
      <c r="T33" s="7">
        <v>15644.7</v>
      </c>
      <c r="U33" s="2"/>
      <c r="V33" s="6">
        <f t="shared" si="13"/>
        <v>0</v>
      </c>
      <c r="W33" s="2"/>
      <c r="X33" s="7">
        <f t="shared" si="14"/>
        <v>4620.57</v>
      </c>
      <c r="Y33" s="2"/>
      <c r="Z33" s="6">
        <f t="shared" si="15"/>
        <v>0.29534411014592798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8356.0300000000007</v>
      </c>
      <c r="E34" s="2"/>
      <c r="F34" s="6">
        <f t="shared" si="8"/>
        <v>0</v>
      </c>
      <c r="G34" s="2"/>
      <c r="H34" s="7">
        <v>5830.94</v>
      </c>
      <c r="I34" s="2"/>
      <c r="J34" s="6">
        <f t="shared" si="9"/>
        <v>0</v>
      </c>
      <c r="K34" s="2"/>
      <c r="L34" s="7">
        <f t="shared" si="10"/>
        <v>2525.0900000000011</v>
      </c>
      <c r="M34" s="2"/>
      <c r="N34" s="6">
        <f t="shared" si="11"/>
        <v>0.43305024575797407</v>
      </c>
      <c r="O34" s="11"/>
      <c r="P34" s="7">
        <v>8356.0300000000007</v>
      </c>
      <c r="Q34" s="2"/>
      <c r="R34" s="6">
        <f t="shared" si="12"/>
        <v>0</v>
      </c>
      <c r="S34" s="2"/>
      <c r="T34" s="7">
        <v>5830.94</v>
      </c>
      <c r="U34" s="2"/>
      <c r="V34" s="6">
        <f t="shared" si="13"/>
        <v>0</v>
      </c>
      <c r="W34" s="2"/>
      <c r="X34" s="7">
        <f t="shared" si="14"/>
        <v>2525.0900000000011</v>
      </c>
      <c r="Y34" s="2"/>
      <c r="Z34" s="6">
        <f t="shared" si="15"/>
        <v>0.43305024575797407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708.75</v>
      </c>
      <c r="E35" s="2"/>
      <c r="F35" s="6">
        <f t="shared" si="8"/>
        <v>0</v>
      </c>
      <c r="G35" s="2"/>
      <c r="H35" s="7">
        <v>247.86</v>
      </c>
      <c r="I35" s="2"/>
      <c r="J35" s="6">
        <f t="shared" si="9"/>
        <v>0</v>
      </c>
      <c r="K35" s="2"/>
      <c r="L35" s="7">
        <f t="shared" si="10"/>
        <v>460.89</v>
      </c>
      <c r="M35" s="2"/>
      <c r="N35" s="6">
        <f t="shared" si="11"/>
        <v>1.8594771241830064</v>
      </c>
      <c r="O35" s="11"/>
      <c r="P35" s="7">
        <v>708.75</v>
      </c>
      <c r="Q35" s="2"/>
      <c r="R35" s="6">
        <f t="shared" si="12"/>
        <v>0</v>
      </c>
      <c r="S35" s="2"/>
      <c r="T35" s="7">
        <v>247.86</v>
      </c>
      <c r="U35" s="2"/>
      <c r="V35" s="6">
        <f t="shared" si="13"/>
        <v>0</v>
      </c>
      <c r="W35" s="2"/>
      <c r="X35" s="7">
        <f t="shared" si="14"/>
        <v>460.89</v>
      </c>
      <c r="Y35" s="2"/>
      <c r="Z35" s="6">
        <f t="shared" si="15"/>
        <v>1.8594771241830064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18926.21</v>
      </c>
      <c r="E36" s="2"/>
      <c r="F36" s="6">
        <f t="shared" si="8"/>
        <v>0</v>
      </c>
      <c r="G36" s="2"/>
      <c r="H36" s="7">
        <v>21135.15</v>
      </c>
      <c r="I36" s="2"/>
      <c r="J36" s="6">
        <f t="shared" si="9"/>
        <v>0</v>
      </c>
      <c r="K36" s="2"/>
      <c r="L36" s="7">
        <f t="shared" si="10"/>
        <v>-2208.9400000000023</v>
      </c>
      <c r="M36" s="2"/>
      <c r="N36" s="6">
        <f t="shared" si="11"/>
        <v>-0.10451499043063343</v>
      </c>
      <c r="O36" s="11"/>
      <c r="P36" s="7">
        <v>18926.21</v>
      </c>
      <c r="Q36" s="2"/>
      <c r="R36" s="6">
        <f t="shared" si="12"/>
        <v>0</v>
      </c>
      <c r="S36" s="2"/>
      <c r="T36" s="7">
        <v>21135.15</v>
      </c>
      <c r="U36" s="2"/>
      <c r="V36" s="6">
        <f t="shared" si="13"/>
        <v>0</v>
      </c>
      <c r="W36" s="2"/>
      <c r="X36" s="7">
        <f t="shared" si="14"/>
        <v>-2208.9400000000023</v>
      </c>
      <c r="Y36" s="2"/>
      <c r="Z36" s="6">
        <f t="shared" si="15"/>
        <v>-0.10451499043063343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1942.5</v>
      </c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1942.5</v>
      </c>
      <c r="M37" s="2"/>
      <c r="N37" s="6">
        <f t="shared" si="11"/>
        <v>0</v>
      </c>
      <c r="O37" s="11"/>
      <c r="P37" s="7">
        <v>1942.5</v>
      </c>
      <c r="Q37" s="2"/>
      <c r="R37" s="6">
        <f t="shared" si="12"/>
        <v>0</v>
      </c>
      <c r="S37" s="2"/>
      <c r="T37" s="7"/>
      <c r="U37" s="2"/>
      <c r="V37" s="6">
        <f t="shared" si="13"/>
        <v>0</v>
      </c>
      <c r="W37" s="2"/>
      <c r="X37" s="7">
        <f t="shared" si="14"/>
        <v>1942.5</v>
      </c>
      <c r="Y37" s="2"/>
      <c r="Z37" s="6">
        <f t="shared" si="15"/>
        <v>0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-969.74</v>
      </c>
      <c r="E38" s="1"/>
      <c r="F38" s="5">
        <f t="shared" ref="F38:F46" si="16">IF(D$12=0,0,D38/D$12)</f>
        <v>0</v>
      </c>
      <c r="G38" s="1"/>
      <c r="H38" s="1">
        <f>SUM(OSRRefH22_2x_0)</f>
        <v>853.46</v>
      </c>
      <c r="I38" s="1"/>
      <c r="J38" s="5">
        <f t="shared" ref="J38:J46" si="17">IF(H$12=0,0,H38/H$12)</f>
        <v>0</v>
      </c>
      <c r="K38" s="1"/>
      <c r="L38" s="1">
        <f t="shared" ref="L38:L46" si="18">+D38-H38</f>
        <v>-1823.2</v>
      </c>
      <c r="M38" s="1"/>
      <c r="N38" s="5">
        <f t="shared" ref="N38:N46" si="19">IF(H38=0,0,L38/H38)</f>
        <v>-2.1362454010732783</v>
      </c>
      <c r="O38" s="14"/>
      <c r="P38" s="1">
        <f>SUM(OSRRefP22_2x_0)</f>
        <v>-969.74</v>
      </c>
      <c r="Q38" s="1"/>
      <c r="R38" s="5">
        <f t="shared" ref="R38:R46" si="20">IF(P$12=0,0,P38/P$12)</f>
        <v>0</v>
      </c>
      <c r="S38" s="1"/>
      <c r="T38" s="1">
        <f>SUM(OSRRefT22_2x_0)</f>
        <v>853.46</v>
      </c>
      <c r="U38" s="1"/>
      <c r="V38" s="5">
        <f t="shared" ref="V38:V46" si="21">IF(T$12=0,0,T38/T$12)</f>
        <v>0</v>
      </c>
      <c r="W38" s="1"/>
      <c r="X38" s="1">
        <f t="shared" ref="X38:X46" si="22">+P38-T38</f>
        <v>-1823.2</v>
      </c>
      <c r="Y38" s="1"/>
      <c r="Z38" s="5">
        <f t="shared" ref="Z38:Z46" si="23">IF(T38=0,0,X38/T38)</f>
        <v>-2.1362454010732783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-969.74</v>
      </c>
      <c r="E39" s="2"/>
      <c r="F39" s="6">
        <f t="shared" si="16"/>
        <v>0</v>
      </c>
      <c r="G39" s="2"/>
      <c r="H39" s="7">
        <v>853.46</v>
      </c>
      <c r="I39" s="2"/>
      <c r="J39" s="6">
        <f t="shared" si="17"/>
        <v>0</v>
      </c>
      <c r="K39" s="2"/>
      <c r="L39" s="7">
        <f t="shared" si="18"/>
        <v>-1823.2</v>
      </c>
      <c r="M39" s="2"/>
      <c r="N39" s="6">
        <f t="shared" si="19"/>
        <v>-2.1362454010732783</v>
      </c>
      <c r="O39" s="11"/>
      <c r="P39" s="7">
        <v>-969.74</v>
      </c>
      <c r="Q39" s="2"/>
      <c r="R39" s="6">
        <f t="shared" si="20"/>
        <v>0</v>
      </c>
      <c r="S39" s="2"/>
      <c r="T39" s="7">
        <v>853.46</v>
      </c>
      <c r="U39" s="2"/>
      <c r="V39" s="6">
        <f t="shared" si="21"/>
        <v>0</v>
      </c>
      <c r="W39" s="2"/>
      <c r="X39" s="7">
        <f t="shared" si="22"/>
        <v>-1823.2</v>
      </c>
      <c r="Y39" s="2"/>
      <c r="Z39" s="6">
        <f t="shared" si="23"/>
        <v>-2.1362454010732783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826.39</v>
      </c>
      <c r="E40" s="1"/>
      <c r="F40" s="5">
        <f t="shared" si="16"/>
        <v>0</v>
      </c>
      <c r="G40" s="1"/>
      <c r="H40" s="1">
        <f>SUM(OSRRefH22_3x_0)</f>
        <v>813.74</v>
      </c>
      <c r="I40" s="1"/>
      <c r="J40" s="5">
        <f t="shared" si="17"/>
        <v>0</v>
      </c>
      <c r="K40" s="1"/>
      <c r="L40" s="1">
        <f t="shared" si="18"/>
        <v>12.649999999999977</v>
      </c>
      <c r="M40" s="1"/>
      <c r="N40" s="5">
        <f t="shared" si="19"/>
        <v>1.5545505935556784E-2</v>
      </c>
      <c r="O40" s="14"/>
      <c r="P40" s="1">
        <f>SUM(OSRRefP22_3x_0)</f>
        <v>826.39</v>
      </c>
      <c r="Q40" s="1"/>
      <c r="R40" s="5">
        <f t="shared" si="20"/>
        <v>0</v>
      </c>
      <c r="S40" s="1"/>
      <c r="T40" s="1">
        <f>SUM(OSRRefT22_3x_0)</f>
        <v>813.74</v>
      </c>
      <c r="U40" s="1"/>
      <c r="V40" s="5">
        <f t="shared" si="21"/>
        <v>0</v>
      </c>
      <c r="W40" s="1"/>
      <c r="X40" s="1">
        <f t="shared" si="22"/>
        <v>12.649999999999977</v>
      </c>
      <c r="Y40" s="1"/>
      <c r="Z40" s="5">
        <f t="shared" si="23"/>
        <v>1.5545505935556784E-2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>
        <v>826.39</v>
      </c>
      <c r="E41" s="2"/>
      <c r="F41" s="6">
        <f t="shared" si="16"/>
        <v>0</v>
      </c>
      <c r="G41" s="2"/>
      <c r="H41" s="7">
        <v>813.74</v>
      </c>
      <c r="I41" s="2"/>
      <c r="J41" s="6">
        <f t="shared" si="17"/>
        <v>0</v>
      </c>
      <c r="K41" s="2"/>
      <c r="L41" s="7">
        <f t="shared" si="18"/>
        <v>12.649999999999977</v>
      </c>
      <c r="M41" s="2"/>
      <c r="N41" s="6">
        <f t="shared" si="19"/>
        <v>1.5545505935556784E-2</v>
      </c>
      <c r="O41" s="11"/>
      <c r="P41" s="7">
        <v>826.39</v>
      </c>
      <c r="Q41" s="2"/>
      <c r="R41" s="6">
        <f t="shared" si="20"/>
        <v>0</v>
      </c>
      <c r="S41" s="2"/>
      <c r="T41" s="7">
        <v>813.74</v>
      </c>
      <c r="U41" s="2"/>
      <c r="V41" s="6">
        <f t="shared" si="21"/>
        <v>0</v>
      </c>
      <c r="W41" s="2"/>
      <c r="X41" s="7">
        <f t="shared" si="22"/>
        <v>12.649999999999977</v>
      </c>
      <c r="Y41" s="2"/>
      <c r="Z41" s="6">
        <f t="shared" si="23"/>
        <v>1.5545505935556784E-2</v>
      </c>
    </row>
    <row r="42" spans="1:26" s="28" customFormat="1" outlineLevel="1" collapsed="1" x14ac:dyDescent="0.25">
      <c r="A42" s="27"/>
      <c r="B42" s="14" t="str">
        <f>CONCATENATE("     ","Board                                             ")</f>
        <v xml:space="preserve">     Board                                             </v>
      </c>
      <c r="C42" s="14"/>
      <c r="D42" s="1">
        <f>SUM(OSRRefD22_4x_0)</f>
        <v>2425.4</v>
      </c>
      <c r="E42" s="1"/>
      <c r="F42" s="5">
        <f t="shared" si="16"/>
        <v>0</v>
      </c>
      <c r="G42" s="1"/>
      <c r="H42" s="1">
        <f>SUM(OSRRefH22_4x_0)</f>
        <v>2196</v>
      </c>
      <c r="I42" s="1"/>
      <c r="J42" s="5">
        <f t="shared" si="17"/>
        <v>0</v>
      </c>
      <c r="K42" s="1"/>
      <c r="L42" s="1">
        <f t="shared" si="18"/>
        <v>229.40000000000009</v>
      </c>
      <c r="M42" s="1"/>
      <c r="N42" s="5">
        <f t="shared" si="19"/>
        <v>0.10446265938069221</v>
      </c>
      <c r="O42" s="14"/>
      <c r="P42" s="1">
        <f>SUM(OSRRefP22_4x_0)</f>
        <v>2425.4</v>
      </c>
      <c r="Q42" s="1"/>
      <c r="R42" s="5">
        <f t="shared" si="20"/>
        <v>0</v>
      </c>
      <c r="S42" s="1"/>
      <c r="T42" s="1">
        <f>SUM(OSRRefT22_4x_0)</f>
        <v>2196</v>
      </c>
      <c r="U42" s="1"/>
      <c r="V42" s="5">
        <f t="shared" si="21"/>
        <v>0</v>
      </c>
      <c r="W42" s="1"/>
      <c r="X42" s="1">
        <f t="shared" si="22"/>
        <v>229.40000000000009</v>
      </c>
      <c r="Y42" s="1"/>
      <c r="Z42" s="5">
        <f t="shared" si="23"/>
        <v>0.10446265938069221</v>
      </c>
    </row>
    <row r="43" spans="1:26" s="24" customFormat="1" hidden="1" outlineLevel="2" x14ac:dyDescent="0.25">
      <c r="A43" s="29"/>
      <c r="B43" s="11" t="str">
        <f>CONCATENATE("          ", "6397", " - ", "BOARD EXPENSES")</f>
        <v xml:space="preserve">          6397 - BOARD EXPENSES</v>
      </c>
      <c r="C43" s="11"/>
      <c r="D43" s="7">
        <v>2425.4</v>
      </c>
      <c r="E43" s="2"/>
      <c r="F43" s="6">
        <f t="shared" si="16"/>
        <v>0</v>
      </c>
      <c r="G43" s="2"/>
      <c r="H43" s="7">
        <v>2196</v>
      </c>
      <c r="I43" s="2"/>
      <c r="J43" s="6">
        <f t="shared" si="17"/>
        <v>0</v>
      </c>
      <c r="K43" s="2"/>
      <c r="L43" s="7">
        <f t="shared" si="18"/>
        <v>229.40000000000009</v>
      </c>
      <c r="M43" s="2"/>
      <c r="N43" s="6">
        <f t="shared" si="19"/>
        <v>0.10446265938069221</v>
      </c>
      <c r="O43" s="11"/>
      <c r="P43" s="7">
        <v>2425.4</v>
      </c>
      <c r="Q43" s="2"/>
      <c r="R43" s="6">
        <f t="shared" si="20"/>
        <v>0</v>
      </c>
      <c r="S43" s="2"/>
      <c r="T43" s="7">
        <v>2196</v>
      </c>
      <c r="U43" s="2"/>
      <c r="V43" s="6">
        <f t="shared" si="21"/>
        <v>0</v>
      </c>
      <c r="W43" s="2"/>
      <c r="X43" s="7">
        <f t="shared" si="22"/>
        <v>229.40000000000009</v>
      </c>
      <c r="Y43" s="2"/>
      <c r="Z43" s="6">
        <f t="shared" si="23"/>
        <v>0.10446265938069221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8599.93</v>
      </c>
      <c r="E44" s="1"/>
      <c r="F44" s="5">
        <f t="shared" si="16"/>
        <v>0</v>
      </c>
      <c r="G44" s="1"/>
      <c r="H44" s="1">
        <f>SUM(OSRRefH22_5x_0)</f>
        <v>10293.85</v>
      </c>
      <c r="I44" s="1"/>
      <c r="J44" s="5">
        <f t="shared" si="17"/>
        <v>0</v>
      </c>
      <c r="K44" s="1"/>
      <c r="L44" s="1">
        <f t="shared" si="18"/>
        <v>-1693.92</v>
      </c>
      <c r="M44" s="1"/>
      <c r="N44" s="5">
        <f t="shared" si="19"/>
        <v>-0.16455650704061162</v>
      </c>
      <c r="O44" s="14"/>
      <c r="P44" s="1">
        <f>SUM(OSRRefP22_5x_0)</f>
        <v>8599.93</v>
      </c>
      <c r="Q44" s="1"/>
      <c r="R44" s="5">
        <f t="shared" si="20"/>
        <v>0</v>
      </c>
      <c r="S44" s="1"/>
      <c r="T44" s="1">
        <f>SUM(OSRRefT22_5x_0)</f>
        <v>10293.85</v>
      </c>
      <c r="U44" s="1"/>
      <c r="V44" s="5">
        <f t="shared" si="21"/>
        <v>0</v>
      </c>
      <c r="W44" s="1"/>
      <c r="X44" s="1">
        <f t="shared" si="22"/>
        <v>-1693.92</v>
      </c>
      <c r="Y44" s="1"/>
      <c r="Z44" s="5">
        <f t="shared" si="23"/>
        <v>-0.16455650704061162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8599.93</v>
      </c>
      <c r="E45" s="2"/>
      <c r="F45" s="6">
        <f t="shared" si="16"/>
        <v>0</v>
      </c>
      <c r="G45" s="2"/>
      <c r="H45" s="7">
        <v>9971.81</v>
      </c>
      <c r="I45" s="2"/>
      <c r="J45" s="6">
        <f t="shared" si="17"/>
        <v>0</v>
      </c>
      <c r="K45" s="2"/>
      <c r="L45" s="7">
        <f t="shared" si="18"/>
        <v>-1371.8799999999992</v>
      </c>
      <c r="M45" s="2"/>
      <c r="N45" s="6">
        <f t="shared" si="19"/>
        <v>-0.13757582625421055</v>
      </c>
      <c r="O45" s="11"/>
      <c r="P45" s="7">
        <v>8599.93</v>
      </c>
      <c r="Q45" s="2"/>
      <c r="R45" s="6">
        <f t="shared" si="20"/>
        <v>0</v>
      </c>
      <c r="S45" s="2"/>
      <c r="T45" s="7">
        <v>9971.81</v>
      </c>
      <c r="U45" s="2"/>
      <c r="V45" s="6">
        <f t="shared" si="21"/>
        <v>0</v>
      </c>
      <c r="W45" s="2"/>
      <c r="X45" s="7">
        <f t="shared" si="22"/>
        <v>-1371.8799999999992</v>
      </c>
      <c r="Y45" s="2"/>
      <c r="Z45" s="6">
        <f t="shared" si="23"/>
        <v>-0.13757582625421055</v>
      </c>
    </row>
    <row r="46" spans="1:26" s="24" customFormat="1" hidden="1" outlineLevel="2" x14ac:dyDescent="0.25">
      <c r="A46" s="29"/>
      <c r="B46" s="11" t="str">
        <f>CONCATENATE("          ", "6324", " - ", "FURNITURE + FIXT DEPRECIATION")</f>
        <v xml:space="preserve">          6324 - FURNITURE + FIXT DEPRECIATION</v>
      </c>
      <c r="C46" s="11"/>
      <c r="D46" s="7"/>
      <c r="E46" s="2"/>
      <c r="F46" s="6">
        <f t="shared" si="16"/>
        <v>0</v>
      </c>
      <c r="G46" s="2"/>
      <c r="H46" s="7">
        <v>322.04000000000002</v>
      </c>
      <c r="I46" s="2"/>
      <c r="J46" s="6">
        <f t="shared" si="17"/>
        <v>0</v>
      </c>
      <c r="K46" s="2"/>
      <c r="L46" s="7">
        <f t="shared" si="18"/>
        <v>-322.04000000000002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322.04000000000002</v>
      </c>
      <c r="U46" s="2"/>
      <c r="V46" s="6">
        <f t="shared" si="21"/>
        <v>0</v>
      </c>
      <c r="W46" s="2"/>
      <c r="X46" s="7">
        <f t="shared" si="22"/>
        <v>-322.04000000000002</v>
      </c>
      <c r="Y46" s="2"/>
      <c r="Z46" s="6">
        <f t="shared" si="23"/>
        <v>-1</v>
      </c>
    </row>
    <row r="47" spans="1:26" s="28" customFormat="1" outlineLevel="1" collapsed="1" x14ac:dyDescent="0.25">
      <c r="A47" s="27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SUM(OSRRefD22_6x_0)</f>
        <v>1667.85</v>
      </c>
      <c r="E47" s="1"/>
      <c r="F47" s="5">
        <f t="shared" ref="F47:F63" si="24">IF(D$12=0,0,D47/D$12)</f>
        <v>0</v>
      </c>
      <c r="G47" s="1"/>
      <c r="H47" s="1">
        <f>SUM(OSRRefH22_6x_0)</f>
        <v>26000</v>
      </c>
      <c r="I47" s="1"/>
      <c r="J47" s="5">
        <f t="shared" ref="J47:J63" si="25">IF(H$12=0,0,H47/H$12)</f>
        <v>0</v>
      </c>
      <c r="K47" s="1"/>
      <c r="L47" s="1">
        <f t="shared" ref="L47:L63" si="26">+D47-H47</f>
        <v>-24332.15</v>
      </c>
      <c r="M47" s="1"/>
      <c r="N47" s="5">
        <f t="shared" ref="N47:N63" si="27">IF(H47=0,0,L47/H47)</f>
        <v>-0.93585192307692311</v>
      </c>
      <c r="O47" s="14"/>
      <c r="P47" s="1">
        <f>SUM(OSRRefP22_6x_0)</f>
        <v>1667.85</v>
      </c>
      <c r="Q47" s="1"/>
      <c r="R47" s="5">
        <f t="shared" ref="R47:R63" si="28">IF(P$12=0,0,P47/P$12)</f>
        <v>0</v>
      </c>
      <c r="S47" s="1"/>
      <c r="T47" s="1">
        <f>SUM(OSRRefT22_6x_0)</f>
        <v>26000</v>
      </c>
      <c r="U47" s="1"/>
      <c r="V47" s="5">
        <f t="shared" ref="V47:V63" si="29">IF(T$12=0,0,T47/T$12)</f>
        <v>0</v>
      </c>
      <c r="W47" s="1"/>
      <c r="X47" s="1">
        <f t="shared" ref="X47:X63" si="30">+P47-T47</f>
        <v>-24332.15</v>
      </c>
      <c r="Y47" s="1"/>
      <c r="Z47" s="5">
        <f t="shared" ref="Z47:Z63" si="31">IF(T47=0,0,X47/T47)</f>
        <v>-0.93585192307692311</v>
      </c>
    </row>
    <row r="48" spans="1:26" s="24" customFormat="1" hidden="1" outlineLevel="2" x14ac:dyDescent="0.25">
      <c r="A48" s="29"/>
      <c r="B48" s="11" t="str">
        <f>CONCATENATE("          ", "6399", " - ", "DONATION-ON CAMPUS")</f>
        <v xml:space="preserve">          6399 - DONATION-ON CAMPUS</v>
      </c>
      <c r="C48" s="11"/>
      <c r="D48" s="7">
        <v>1667.85</v>
      </c>
      <c r="E48" s="2"/>
      <c r="F48" s="6">
        <f t="shared" si="24"/>
        <v>0</v>
      </c>
      <c r="G48" s="2"/>
      <c r="H48" s="7">
        <v>26000</v>
      </c>
      <c r="I48" s="2"/>
      <c r="J48" s="6">
        <f t="shared" si="25"/>
        <v>0</v>
      </c>
      <c r="K48" s="2"/>
      <c r="L48" s="7">
        <f t="shared" si="26"/>
        <v>-24332.15</v>
      </c>
      <c r="M48" s="2"/>
      <c r="N48" s="6">
        <f t="shared" si="27"/>
        <v>-0.93585192307692311</v>
      </c>
      <c r="O48" s="11"/>
      <c r="P48" s="7">
        <v>1667.85</v>
      </c>
      <c r="Q48" s="2"/>
      <c r="R48" s="6">
        <f t="shared" si="28"/>
        <v>0</v>
      </c>
      <c r="S48" s="2"/>
      <c r="T48" s="7">
        <v>26000</v>
      </c>
      <c r="U48" s="2"/>
      <c r="V48" s="6">
        <f t="shared" si="29"/>
        <v>0</v>
      </c>
      <c r="W48" s="2"/>
      <c r="X48" s="7">
        <f t="shared" si="30"/>
        <v>-24332.15</v>
      </c>
      <c r="Y48" s="2"/>
      <c r="Z48" s="6">
        <f t="shared" si="31"/>
        <v>-0.93585192307692311</v>
      </c>
    </row>
    <row r="49" spans="1:26" s="28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SUM(OSRRefD22_7x_0)</f>
        <v>5147.58</v>
      </c>
      <c r="E49" s="1"/>
      <c r="F49" s="5">
        <f t="shared" si="24"/>
        <v>0</v>
      </c>
      <c r="G49" s="1"/>
      <c r="H49" s="1">
        <f>SUM(OSRRefH22_7x_0)</f>
        <v>6980.11</v>
      </c>
      <c r="I49" s="1"/>
      <c r="J49" s="5">
        <f t="shared" si="25"/>
        <v>0</v>
      </c>
      <c r="K49" s="1"/>
      <c r="L49" s="1">
        <f t="shared" si="26"/>
        <v>-1832.5299999999997</v>
      </c>
      <c r="M49" s="1"/>
      <c r="N49" s="5">
        <f t="shared" si="27"/>
        <v>-0.2625359772267199</v>
      </c>
      <c r="O49" s="14"/>
      <c r="P49" s="1">
        <f>SUM(OSRRefP22_7x_0)</f>
        <v>5147.58</v>
      </c>
      <c r="Q49" s="1"/>
      <c r="R49" s="5">
        <f t="shared" si="28"/>
        <v>0</v>
      </c>
      <c r="S49" s="1"/>
      <c r="T49" s="1">
        <f>SUM(OSRRefT22_7x_0)</f>
        <v>6980.11</v>
      </c>
      <c r="U49" s="1"/>
      <c r="V49" s="5">
        <f t="shared" si="29"/>
        <v>0</v>
      </c>
      <c r="W49" s="1"/>
      <c r="X49" s="1">
        <f t="shared" si="30"/>
        <v>-1832.5299999999997</v>
      </c>
      <c r="Y49" s="1"/>
      <c r="Z49" s="5">
        <f t="shared" si="31"/>
        <v>-0.2625359772267199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7">
        <v>5147.58</v>
      </c>
      <c r="E50" s="2"/>
      <c r="F50" s="6">
        <f t="shared" si="24"/>
        <v>0</v>
      </c>
      <c r="G50" s="2"/>
      <c r="H50" s="7">
        <v>6980.11</v>
      </c>
      <c r="I50" s="2"/>
      <c r="J50" s="6">
        <f t="shared" si="25"/>
        <v>0</v>
      </c>
      <c r="K50" s="2"/>
      <c r="L50" s="7">
        <f t="shared" si="26"/>
        <v>-1832.5299999999997</v>
      </c>
      <c r="M50" s="2"/>
      <c r="N50" s="6">
        <f t="shared" si="27"/>
        <v>-0.2625359772267199</v>
      </c>
      <c r="O50" s="11"/>
      <c r="P50" s="7">
        <v>5147.58</v>
      </c>
      <c r="Q50" s="2"/>
      <c r="R50" s="6">
        <f t="shared" si="28"/>
        <v>0</v>
      </c>
      <c r="S50" s="2"/>
      <c r="T50" s="7">
        <v>6980.11</v>
      </c>
      <c r="U50" s="2"/>
      <c r="V50" s="6">
        <f t="shared" si="29"/>
        <v>0</v>
      </c>
      <c r="W50" s="2"/>
      <c r="X50" s="7">
        <f t="shared" si="30"/>
        <v>-1832.5299999999997</v>
      </c>
      <c r="Y50" s="2"/>
      <c r="Z50" s="6">
        <f t="shared" si="31"/>
        <v>-0.2625359772267199</v>
      </c>
    </row>
    <row r="51" spans="1:26" s="28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SUM(OSRRefD22_8x_0)</f>
        <v>300.24</v>
      </c>
      <c r="E51" s="1"/>
      <c r="F51" s="5">
        <f t="shared" si="24"/>
        <v>0</v>
      </c>
      <c r="G51" s="1"/>
      <c r="H51" s="1">
        <f>SUM(OSRRefH22_8x_0)</f>
        <v>300.24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4"/>
      <c r="P51" s="1">
        <f>SUM(OSRRefP22_8x_0)</f>
        <v>300.24</v>
      </c>
      <c r="Q51" s="1"/>
      <c r="R51" s="5">
        <f t="shared" si="28"/>
        <v>0</v>
      </c>
      <c r="S51" s="1"/>
      <c r="T51" s="1">
        <f>SUM(OSRRefT22_8x_0)</f>
        <v>300.24</v>
      </c>
      <c r="U51" s="1"/>
      <c r="V51" s="5">
        <f t="shared" si="29"/>
        <v>0</v>
      </c>
      <c r="W51" s="1"/>
      <c r="X51" s="1">
        <f t="shared" si="30"/>
        <v>0</v>
      </c>
      <c r="Y51" s="1"/>
      <c r="Z51" s="5">
        <f t="shared" si="31"/>
        <v>0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7">
        <v>300.24</v>
      </c>
      <c r="E52" s="2"/>
      <c r="F52" s="6">
        <f t="shared" si="24"/>
        <v>0</v>
      </c>
      <c r="G52" s="2"/>
      <c r="H52" s="7">
        <v>300.24</v>
      </c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300.24</v>
      </c>
      <c r="Q52" s="2"/>
      <c r="R52" s="6">
        <f t="shared" si="28"/>
        <v>0</v>
      </c>
      <c r="S52" s="2"/>
      <c r="T52" s="7">
        <v>300.24</v>
      </c>
      <c r="U52" s="2"/>
      <c r="V52" s="6">
        <f t="shared" si="29"/>
        <v>0</v>
      </c>
      <c r="W52" s="2"/>
      <c r="X52" s="7">
        <f t="shared" si="30"/>
        <v>0</v>
      </c>
      <c r="Y52" s="2"/>
      <c r="Z52" s="6">
        <f t="shared" si="31"/>
        <v>0</v>
      </c>
    </row>
    <row r="53" spans="1:26" s="28" customFormat="1" outlineLevel="1" collapsed="1" x14ac:dyDescent="0.25">
      <c r="A53" s="27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SUM(OSRRefD22_9x_0)</f>
        <v>108.65</v>
      </c>
      <c r="E53" s="1"/>
      <c r="F53" s="5">
        <f t="shared" si="24"/>
        <v>0</v>
      </c>
      <c r="G53" s="1"/>
      <c r="H53" s="1">
        <f>SUM(OSRRefH22_9x_0)</f>
        <v>146.96</v>
      </c>
      <c r="I53" s="1"/>
      <c r="J53" s="5">
        <f t="shared" si="25"/>
        <v>0</v>
      </c>
      <c r="K53" s="1"/>
      <c r="L53" s="1">
        <f t="shared" si="26"/>
        <v>-38.31</v>
      </c>
      <c r="M53" s="1"/>
      <c r="N53" s="5">
        <f t="shared" si="27"/>
        <v>-0.26068317909635275</v>
      </c>
      <c r="O53" s="14"/>
      <c r="P53" s="1">
        <f>SUM(OSRRefP22_9x_0)</f>
        <v>108.65</v>
      </c>
      <c r="Q53" s="1"/>
      <c r="R53" s="5">
        <f t="shared" si="28"/>
        <v>0</v>
      </c>
      <c r="S53" s="1"/>
      <c r="T53" s="1">
        <f>SUM(OSRRefT22_9x_0)</f>
        <v>146.96</v>
      </c>
      <c r="U53" s="1"/>
      <c r="V53" s="5">
        <f t="shared" si="29"/>
        <v>0</v>
      </c>
      <c r="W53" s="1"/>
      <c r="X53" s="1">
        <f t="shared" si="30"/>
        <v>-38.31</v>
      </c>
      <c r="Y53" s="1"/>
      <c r="Z53" s="5">
        <f t="shared" si="31"/>
        <v>-0.26068317909635275</v>
      </c>
    </row>
    <row r="54" spans="1:26" s="24" customFormat="1" hidden="1" outlineLevel="2" x14ac:dyDescent="0.25">
      <c r="A54" s="29"/>
      <c r="B54" s="11" t="str">
        <f>CONCATENATE("          ", "6307", " - ", "POSTAGE")</f>
        <v xml:space="preserve">          6307 - POSTAGE</v>
      </c>
      <c r="C54" s="11"/>
      <c r="D54" s="7">
        <v>108.65</v>
      </c>
      <c r="E54" s="2"/>
      <c r="F54" s="6">
        <f t="shared" si="24"/>
        <v>0</v>
      </c>
      <c r="G54" s="2"/>
      <c r="H54" s="7">
        <v>146.96</v>
      </c>
      <c r="I54" s="2"/>
      <c r="J54" s="6">
        <f t="shared" si="25"/>
        <v>0</v>
      </c>
      <c r="K54" s="2"/>
      <c r="L54" s="7">
        <f t="shared" si="26"/>
        <v>-38.31</v>
      </c>
      <c r="M54" s="2"/>
      <c r="N54" s="6">
        <f t="shared" si="27"/>
        <v>-0.26068317909635275</v>
      </c>
      <c r="O54" s="11"/>
      <c r="P54" s="7">
        <v>108.65</v>
      </c>
      <c r="Q54" s="2"/>
      <c r="R54" s="6">
        <f t="shared" si="28"/>
        <v>0</v>
      </c>
      <c r="S54" s="2"/>
      <c r="T54" s="7">
        <v>146.96</v>
      </c>
      <c r="U54" s="2"/>
      <c r="V54" s="6">
        <f t="shared" si="29"/>
        <v>0</v>
      </c>
      <c r="W54" s="2"/>
      <c r="X54" s="7">
        <f t="shared" si="30"/>
        <v>-38.31</v>
      </c>
      <c r="Y54" s="2"/>
      <c r="Z54" s="6">
        <f t="shared" si="31"/>
        <v>-0.26068317909635275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SUM(OSRRefD22_10x_0)</f>
        <v>30.62</v>
      </c>
      <c r="E55" s="1"/>
      <c r="F55" s="5">
        <f t="shared" si="24"/>
        <v>0</v>
      </c>
      <c r="G55" s="1"/>
      <c r="H55" s="1">
        <f>SUM(OSRRefH22_10x_0)</f>
        <v>7378.1</v>
      </c>
      <c r="I55" s="1"/>
      <c r="J55" s="5">
        <f t="shared" si="25"/>
        <v>0</v>
      </c>
      <c r="K55" s="1"/>
      <c r="L55" s="1">
        <f t="shared" si="26"/>
        <v>-7347.4800000000005</v>
      </c>
      <c r="M55" s="1"/>
      <c r="N55" s="5">
        <f t="shared" si="27"/>
        <v>-0.99584988005041952</v>
      </c>
      <c r="O55" s="14"/>
      <c r="P55" s="1">
        <f>SUM(OSRRefP22_10x_0)</f>
        <v>30.62</v>
      </c>
      <c r="Q55" s="1"/>
      <c r="R55" s="5">
        <f t="shared" si="28"/>
        <v>0</v>
      </c>
      <c r="S55" s="1"/>
      <c r="T55" s="1">
        <f>SUM(OSRRefT22_10x_0)</f>
        <v>7378.1</v>
      </c>
      <c r="U55" s="1"/>
      <c r="V55" s="5">
        <f t="shared" si="29"/>
        <v>0</v>
      </c>
      <c r="W55" s="1"/>
      <c r="X55" s="1">
        <f t="shared" si="30"/>
        <v>-7347.4800000000005</v>
      </c>
      <c r="Y55" s="1"/>
      <c r="Z55" s="5">
        <f t="shared" si="31"/>
        <v>-0.99584988005041952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30.62</v>
      </c>
      <c r="E56" s="2"/>
      <c r="F56" s="6">
        <f t="shared" si="24"/>
        <v>0</v>
      </c>
      <c r="G56" s="2"/>
      <c r="H56" s="7">
        <v>7378.1</v>
      </c>
      <c r="I56" s="2"/>
      <c r="J56" s="6">
        <f t="shared" si="25"/>
        <v>0</v>
      </c>
      <c r="K56" s="2"/>
      <c r="L56" s="7">
        <f t="shared" si="26"/>
        <v>-7347.4800000000005</v>
      </c>
      <c r="M56" s="2"/>
      <c r="N56" s="6">
        <f t="shared" si="27"/>
        <v>-0.99584988005041952</v>
      </c>
      <c r="O56" s="11"/>
      <c r="P56" s="7">
        <v>30.62</v>
      </c>
      <c r="Q56" s="2"/>
      <c r="R56" s="6">
        <f t="shared" si="28"/>
        <v>0</v>
      </c>
      <c r="S56" s="2"/>
      <c r="T56" s="7">
        <v>7378.1</v>
      </c>
      <c r="U56" s="2"/>
      <c r="V56" s="6">
        <f t="shared" si="29"/>
        <v>0</v>
      </c>
      <c r="W56" s="2"/>
      <c r="X56" s="7">
        <f t="shared" si="30"/>
        <v>-7347.4800000000005</v>
      </c>
      <c r="Y56" s="2"/>
      <c r="Z56" s="6">
        <f t="shared" si="31"/>
        <v>-0.99584988005041952</v>
      </c>
    </row>
    <row r="57" spans="1:26" s="28" customFormat="1" outlineLevel="1" collapsed="1" x14ac:dyDescent="0.25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SUM(OSRRefD22_11x_0)</f>
        <v>393.67</v>
      </c>
      <c r="E57" s="1"/>
      <c r="F57" s="5">
        <f t="shared" si="24"/>
        <v>0</v>
      </c>
      <c r="G57" s="1"/>
      <c r="H57" s="1">
        <f>SUM(OSRRefH22_11x_0)</f>
        <v>370.89</v>
      </c>
      <c r="I57" s="1"/>
      <c r="J57" s="5">
        <f t="shared" si="25"/>
        <v>0</v>
      </c>
      <c r="K57" s="1"/>
      <c r="L57" s="1">
        <f t="shared" si="26"/>
        <v>22.78000000000003</v>
      </c>
      <c r="M57" s="1"/>
      <c r="N57" s="5">
        <f t="shared" si="27"/>
        <v>6.1419827981342261E-2</v>
      </c>
      <c r="O57" s="14"/>
      <c r="P57" s="1">
        <f>SUM(OSRRefP22_11x_0)</f>
        <v>393.67</v>
      </c>
      <c r="Q57" s="1"/>
      <c r="R57" s="5">
        <f t="shared" si="28"/>
        <v>0</v>
      </c>
      <c r="S57" s="1"/>
      <c r="T57" s="1">
        <f>SUM(OSRRefT22_11x_0)</f>
        <v>370.89</v>
      </c>
      <c r="U57" s="1"/>
      <c r="V57" s="5">
        <f t="shared" si="29"/>
        <v>0</v>
      </c>
      <c r="W57" s="1"/>
      <c r="X57" s="1">
        <f t="shared" si="30"/>
        <v>22.78000000000003</v>
      </c>
      <c r="Y57" s="1"/>
      <c r="Z57" s="5">
        <f t="shared" si="31"/>
        <v>6.1419827981342261E-2</v>
      </c>
    </row>
    <row r="58" spans="1:26" s="24" customFormat="1" hidden="1" outlineLevel="2" x14ac:dyDescent="0.25">
      <c r="A58" s="29"/>
      <c r="B58" s="11" t="str">
        <f>CONCATENATE("          ", "6314", " - ", "LIABILITY INSURANCE")</f>
        <v xml:space="preserve">          6314 - LIABILITY INSURANCE</v>
      </c>
      <c r="C58" s="11"/>
      <c r="D58" s="7">
        <v>393.67</v>
      </c>
      <c r="E58" s="2"/>
      <c r="F58" s="6">
        <f t="shared" si="24"/>
        <v>0</v>
      </c>
      <c r="G58" s="2"/>
      <c r="H58" s="7">
        <v>370.89</v>
      </c>
      <c r="I58" s="2"/>
      <c r="J58" s="6">
        <f t="shared" si="25"/>
        <v>0</v>
      </c>
      <c r="K58" s="2"/>
      <c r="L58" s="7">
        <f t="shared" si="26"/>
        <v>22.78000000000003</v>
      </c>
      <c r="M58" s="2"/>
      <c r="N58" s="6">
        <f t="shared" si="27"/>
        <v>6.1419827981342261E-2</v>
      </c>
      <c r="O58" s="11"/>
      <c r="P58" s="7">
        <v>393.67</v>
      </c>
      <c r="Q58" s="2"/>
      <c r="R58" s="6">
        <f t="shared" si="28"/>
        <v>0</v>
      </c>
      <c r="S58" s="2"/>
      <c r="T58" s="7">
        <v>370.89</v>
      </c>
      <c r="U58" s="2"/>
      <c r="V58" s="6">
        <f t="shared" si="29"/>
        <v>0</v>
      </c>
      <c r="W58" s="2"/>
      <c r="X58" s="7">
        <f t="shared" si="30"/>
        <v>22.78000000000003</v>
      </c>
      <c r="Y58" s="2"/>
      <c r="Z58" s="6">
        <f t="shared" si="31"/>
        <v>6.1419827981342261E-2</v>
      </c>
    </row>
    <row r="59" spans="1:26" s="28" customFormat="1" outlineLevel="1" collapsed="1" x14ac:dyDescent="0.25">
      <c r="A59" s="27"/>
      <c r="B59" s="14" t="str">
        <f>CONCATENATE("     ","Professional Services                             ")</f>
        <v xml:space="preserve">     Professional Services                             </v>
      </c>
      <c r="C59" s="14"/>
      <c r="D59" s="1">
        <f>SUM(OSRRefD22_12x_0)</f>
        <v>5751.24</v>
      </c>
      <c r="E59" s="1"/>
      <c r="F59" s="5">
        <f t="shared" si="24"/>
        <v>0</v>
      </c>
      <c r="G59" s="1"/>
      <c r="H59" s="1">
        <f>SUM(OSRRefH22_12x_0)</f>
        <v>16738</v>
      </c>
      <c r="I59" s="1"/>
      <c r="J59" s="5">
        <f t="shared" si="25"/>
        <v>0</v>
      </c>
      <c r="K59" s="1"/>
      <c r="L59" s="1">
        <f t="shared" si="26"/>
        <v>-10986.76</v>
      </c>
      <c r="M59" s="1"/>
      <c r="N59" s="5">
        <f t="shared" si="27"/>
        <v>-0.65639622416059262</v>
      </c>
      <c r="O59" s="14"/>
      <c r="P59" s="1">
        <f>SUM(OSRRefP22_12x_0)</f>
        <v>5751.24</v>
      </c>
      <c r="Q59" s="1"/>
      <c r="R59" s="5">
        <f t="shared" si="28"/>
        <v>0</v>
      </c>
      <c r="S59" s="1"/>
      <c r="T59" s="1">
        <f>SUM(OSRRefT22_12x_0)</f>
        <v>16738</v>
      </c>
      <c r="U59" s="1"/>
      <c r="V59" s="5">
        <f t="shared" si="29"/>
        <v>0</v>
      </c>
      <c r="W59" s="1"/>
      <c r="X59" s="1">
        <f t="shared" si="30"/>
        <v>-10986.76</v>
      </c>
      <c r="Y59" s="1"/>
      <c r="Z59" s="5">
        <f t="shared" si="31"/>
        <v>-0.65639622416059262</v>
      </c>
    </row>
    <row r="60" spans="1:26" s="24" customFormat="1" hidden="1" outlineLevel="2" x14ac:dyDescent="0.25">
      <c r="A60" s="29"/>
      <c r="B60" s="11" t="str">
        <f>CONCATENATE("          ", "6331", " - ", "INDIRECT COSTS-AUXILIARY ORGAN")</f>
        <v xml:space="preserve">          6331 - INDIRECT COSTS-AUXILIARY ORGAN</v>
      </c>
      <c r="C60" s="11"/>
      <c r="D60" s="7"/>
      <c r="E60" s="2"/>
      <c r="F60" s="6">
        <f t="shared" si="24"/>
        <v>0</v>
      </c>
      <c r="G60" s="2"/>
      <c r="H60" s="7">
        <v>11425.25</v>
      </c>
      <c r="I60" s="2"/>
      <c r="J60" s="6">
        <f t="shared" si="25"/>
        <v>0</v>
      </c>
      <c r="K60" s="2"/>
      <c r="L60" s="7">
        <f t="shared" si="26"/>
        <v>-11425.25</v>
      </c>
      <c r="M60" s="2"/>
      <c r="N60" s="6">
        <f t="shared" si="27"/>
        <v>-1</v>
      </c>
      <c r="O60" s="11"/>
      <c r="P60" s="7"/>
      <c r="Q60" s="2"/>
      <c r="R60" s="6">
        <f t="shared" si="28"/>
        <v>0</v>
      </c>
      <c r="S60" s="2"/>
      <c r="T60" s="7">
        <v>11425.25</v>
      </c>
      <c r="U60" s="2"/>
      <c r="V60" s="6">
        <f t="shared" si="29"/>
        <v>0</v>
      </c>
      <c r="W60" s="2"/>
      <c r="X60" s="7">
        <f t="shared" si="30"/>
        <v>-11425.25</v>
      </c>
      <c r="Y60" s="2"/>
      <c r="Z60" s="6">
        <f t="shared" si="31"/>
        <v>-1</v>
      </c>
    </row>
    <row r="61" spans="1:26" s="24" customFormat="1" hidden="1" outlineLevel="2" x14ac:dyDescent="0.25">
      <c r="A61" s="29"/>
      <c r="B61" s="11" t="str">
        <f>CONCATENATE("          ", "6332", " - ", "CONSULTANT FEES")</f>
        <v xml:space="preserve">          6332 - CONSULTANT FEES</v>
      </c>
      <c r="C61" s="11"/>
      <c r="D61" s="7">
        <v>82.5</v>
      </c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82.5</v>
      </c>
      <c r="M61" s="2"/>
      <c r="N61" s="6">
        <f t="shared" si="27"/>
        <v>0</v>
      </c>
      <c r="O61" s="11"/>
      <c r="P61" s="7">
        <v>82.5</v>
      </c>
      <c r="Q61" s="2"/>
      <c r="R61" s="6">
        <f t="shared" si="28"/>
        <v>0</v>
      </c>
      <c r="S61" s="2"/>
      <c r="T61" s="7"/>
      <c r="U61" s="2"/>
      <c r="V61" s="6">
        <f t="shared" si="29"/>
        <v>0</v>
      </c>
      <c r="W61" s="2"/>
      <c r="X61" s="7">
        <f t="shared" si="30"/>
        <v>82.5</v>
      </c>
      <c r="Y61" s="2"/>
      <c r="Z61" s="6">
        <f t="shared" si="31"/>
        <v>0</v>
      </c>
    </row>
    <row r="62" spans="1:26" s="24" customFormat="1" hidden="1" outlineLevel="2" x14ac:dyDescent="0.25">
      <c r="A62" s="29"/>
      <c r="B62" s="11" t="str">
        <f>CONCATENATE("          ", "6334", " - ", "LEGAL COUNCIL EXPENSE")</f>
        <v xml:space="preserve">          6334 - LEGAL COUNCIL EXPENSE</v>
      </c>
      <c r="C62" s="11"/>
      <c r="D62" s="7">
        <v>15</v>
      </c>
      <c r="E62" s="2"/>
      <c r="F62" s="6">
        <f t="shared" si="24"/>
        <v>0</v>
      </c>
      <c r="G62" s="2"/>
      <c r="H62" s="7"/>
      <c r="I62" s="2"/>
      <c r="J62" s="6">
        <f t="shared" si="25"/>
        <v>0</v>
      </c>
      <c r="K62" s="2"/>
      <c r="L62" s="7">
        <f t="shared" si="26"/>
        <v>15</v>
      </c>
      <c r="M62" s="2"/>
      <c r="N62" s="6">
        <f t="shared" si="27"/>
        <v>0</v>
      </c>
      <c r="O62" s="11"/>
      <c r="P62" s="7">
        <v>15</v>
      </c>
      <c r="Q62" s="2"/>
      <c r="R62" s="6">
        <f t="shared" si="28"/>
        <v>0</v>
      </c>
      <c r="S62" s="2"/>
      <c r="T62" s="7"/>
      <c r="U62" s="2"/>
      <c r="V62" s="6">
        <f t="shared" si="29"/>
        <v>0</v>
      </c>
      <c r="W62" s="2"/>
      <c r="X62" s="7">
        <f t="shared" si="30"/>
        <v>15</v>
      </c>
      <c r="Y62" s="2"/>
      <c r="Z62" s="6">
        <f t="shared" si="31"/>
        <v>0</v>
      </c>
    </row>
    <row r="63" spans="1:26" s="24" customFormat="1" hidden="1" outlineLevel="2" x14ac:dyDescent="0.25">
      <c r="A63" s="29"/>
      <c r="B63" s="11" t="str">
        <f>CONCATENATE("          ", "6336", " - ", "PROFESSIONAL SERVICES")</f>
        <v xml:space="preserve">          6336 - PROFESSIONAL SERVICES</v>
      </c>
      <c r="C63" s="11"/>
      <c r="D63" s="7">
        <v>5653.74</v>
      </c>
      <c r="E63" s="2"/>
      <c r="F63" s="6">
        <f t="shared" si="24"/>
        <v>0</v>
      </c>
      <c r="G63" s="2"/>
      <c r="H63" s="7">
        <v>5312.75</v>
      </c>
      <c r="I63" s="2"/>
      <c r="J63" s="6">
        <f t="shared" si="25"/>
        <v>0</v>
      </c>
      <c r="K63" s="2"/>
      <c r="L63" s="7">
        <f t="shared" si="26"/>
        <v>340.98999999999978</v>
      </c>
      <c r="M63" s="2"/>
      <c r="N63" s="6">
        <f t="shared" si="27"/>
        <v>6.4183332549056477E-2</v>
      </c>
      <c r="O63" s="11"/>
      <c r="P63" s="7">
        <v>5653.74</v>
      </c>
      <c r="Q63" s="2"/>
      <c r="R63" s="6">
        <f t="shared" si="28"/>
        <v>0</v>
      </c>
      <c r="S63" s="2"/>
      <c r="T63" s="7">
        <v>5312.75</v>
      </c>
      <c r="U63" s="2"/>
      <c r="V63" s="6">
        <f t="shared" si="29"/>
        <v>0</v>
      </c>
      <c r="W63" s="2"/>
      <c r="X63" s="7">
        <f t="shared" si="30"/>
        <v>340.98999999999978</v>
      </c>
      <c r="Y63" s="2"/>
      <c r="Z63" s="6">
        <f t="shared" si="31"/>
        <v>6.4183332549056477E-2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26788.65</v>
      </c>
      <c r="E64" s="1"/>
      <c r="F64" s="5">
        <f t="shared" ref="F64:F67" si="32">IF(D$12=0,0,D64/D$12)</f>
        <v>0</v>
      </c>
      <c r="G64" s="1"/>
      <c r="H64" s="1">
        <f>SUM(OSRRefH22_13x_0)</f>
        <v>21900.54</v>
      </c>
      <c r="I64" s="1"/>
      <c r="J64" s="5">
        <f t="shared" ref="J64:J67" si="33">IF(H$12=0,0,H64/H$12)</f>
        <v>0</v>
      </c>
      <c r="K64" s="1"/>
      <c r="L64" s="1">
        <f t="shared" ref="L64:L67" si="34">+D64-H64</f>
        <v>4888.1100000000006</v>
      </c>
      <c r="M64" s="1"/>
      <c r="N64" s="5">
        <f t="shared" ref="N64:N67" si="35">IF(H64=0,0,L64/H64)</f>
        <v>0.2231958664032942</v>
      </c>
      <c r="O64" s="14"/>
      <c r="P64" s="1">
        <f>SUM(OSRRefP22_13x_0)</f>
        <v>26788.65</v>
      </c>
      <c r="Q64" s="1"/>
      <c r="R64" s="5">
        <f t="shared" ref="R64:R67" si="36">IF(P$12=0,0,P64/P$12)</f>
        <v>0</v>
      </c>
      <c r="S64" s="1"/>
      <c r="T64" s="1">
        <f>SUM(OSRRefT22_13x_0)</f>
        <v>21900.54</v>
      </c>
      <c r="U64" s="1"/>
      <c r="V64" s="5">
        <f t="shared" ref="V64:V67" si="37">IF(T$12=0,0,T64/T$12)</f>
        <v>0</v>
      </c>
      <c r="W64" s="1"/>
      <c r="X64" s="1">
        <f t="shared" ref="X64:X67" si="38">+P64-T64</f>
        <v>4888.1100000000006</v>
      </c>
      <c r="Y64" s="1"/>
      <c r="Z64" s="5">
        <f t="shared" ref="Z64:Z67" si="39">IF(T64=0,0,X64/T64)</f>
        <v>0.2231958664032942</v>
      </c>
    </row>
    <row r="65" spans="1:26" s="24" customFormat="1" hidden="1" outlineLevel="2" x14ac:dyDescent="0.25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7">
        <v>10755.91</v>
      </c>
      <c r="E65" s="2"/>
      <c r="F65" s="6">
        <f t="shared" si="32"/>
        <v>0</v>
      </c>
      <c r="G65" s="2"/>
      <c r="H65" s="7">
        <v>11388.48</v>
      </c>
      <c r="I65" s="2"/>
      <c r="J65" s="6">
        <f t="shared" si="33"/>
        <v>0</v>
      </c>
      <c r="K65" s="2"/>
      <c r="L65" s="7">
        <f t="shared" si="34"/>
        <v>-632.56999999999971</v>
      </c>
      <c r="M65" s="2"/>
      <c r="N65" s="6">
        <f t="shared" si="35"/>
        <v>-5.5544725898451747E-2</v>
      </c>
      <c r="O65" s="11"/>
      <c r="P65" s="7">
        <v>10755.91</v>
      </c>
      <c r="Q65" s="2"/>
      <c r="R65" s="6">
        <f t="shared" si="36"/>
        <v>0</v>
      </c>
      <c r="S65" s="2"/>
      <c r="T65" s="7">
        <v>11388.48</v>
      </c>
      <c r="U65" s="2"/>
      <c r="V65" s="6">
        <f t="shared" si="37"/>
        <v>0</v>
      </c>
      <c r="W65" s="2"/>
      <c r="X65" s="7">
        <f t="shared" si="38"/>
        <v>-632.56999999999971</v>
      </c>
      <c r="Y65" s="2"/>
      <c r="Z65" s="6">
        <f t="shared" si="39"/>
        <v>-5.5544725898451747E-2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7">
        <v>15913.310000000001</v>
      </c>
      <c r="E66" s="2"/>
      <c r="F66" s="6">
        <f t="shared" si="32"/>
        <v>0</v>
      </c>
      <c r="G66" s="2"/>
      <c r="H66" s="7">
        <v>9872.09</v>
      </c>
      <c r="I66" s="2"/>
      <c r="J66" s="6">
        <f t="shared" si="33"/>
        <v>0</v>
      </c>
      <c r="K66" s="2"/>
      <c r="L66" s="7">
        <f t="shared" si="34"/>
        <v>6041.2200000000012</v>
      </c>
      <c r="M66" s="2"/>
      <c r="N66" s="6">
        <f t="shared" si="35"/>
        <v>0.61194944535554285</v>
      </c>
      <c r="O66" s="11"/>
      <c r="P66" s="7">
        <v>15913.310000000001</v>
      </c>
      <c r="Q66" s="2"/>
      <c r="R66" s="6">
        <f t="shared" si="36"/>
        <v>0</v>
      </c>
      <c r="S66" s="2"/>
      <c r="T66" s="7">
        <v>9872.09</v>
      </c>
      <c r="U66" s="2"/>
      <c r="V66" s="6">
        <f t="shared" si="37"/>
        <v>0</v>
      </c>
      <c r="W66" s="2"/>
      <c r="X66" s="7">
        <f t="shared" si="38"/>
        <v>6041.2200000000012</v>
      </c>
      <c r="Y66" s="2"/>
      <c r="Z66" s="6">
        <f t="shared" si="39"/>
        <v>0.61194944535554285</v>
      </c>
    </row>
    <row r="67" spans="1:26" s="24" customFormat="1" hidden="1" outlineLevel="2" x14ac:dyDescent="0.2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119.43</v>
      </c>
      <c r="E67" s="2"/>
      <c r="F67" s="6">
        <f t="shared" si="32"/>
        <v>0</v>
      </c>
      <c r="G67" s="2"/>
      <c r="H67" s="7">
        <v>639.97</v>
      </c>
      <c r="I67" s="2"/>
      <c r="J67" s="6">
        <f t="shared" si="33"/>
        <v>0</v>
      </c>
      <c r="K67" s="2"/>
      <c r="L67" s="7">
        <f t="shared" si="34"/>
        <v>-520.54</v>
      </c>
      <c r="M67" s="2"/>
      <c r="N67" s="6">
        <f t="shared" si="35"/>
        <v>-0.81338187727549716</v>
      </c>
      <c r="O67" s="11"/>
      <c r="P67" s="7">
        <v>119.43</v>
      </c>
      <c r="Q67" s="2"/>
      <c r="R67" s="6">
        <f t="shared" si="36"/>
        <v>0</v>
      </c>
      <c r="S67" s="2"/>
      <c r="T67" s="7">
        <v>639.97</v>
      </c>
      <c r="U67" s="2"/>
      <c r="V67" s="6">
        <f t="shared" si="37"/>
        <v>0</v>
      </c>
      <c r="W67" s="2"/>
      <c r="X67" s="7">
        <f t="shared" si="38"/>
        <v>-520.54</v>
      </c>
      <c r="Y67" s="2"/>
      <c r="Z67" s="6">
        <f t="shared" si="39"/>
        <v>-0.81338187727549716</v>
      </c>
    </row>
    <row r="68" spans="1:26" s="28" customFormat="1" outlineLevel="1" collapsed="1" x14ac:dyDescent="0.25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SUM(OSRRefD22_14x_0)</f>
        <v>1022.5400000000001</v>
      </c>
      <c r="E68" s="1"/>
      <c r="F68" s="5">
        <f t="shared" ref="F68:F70" si="40">IF(D$12=0,0,D68/D$12)</f>
        <v>0</v>
      </c>
      <c r="G68" s="1"/>
      <c r="H68" s="1">
        <f>SUM(OSRRefH22_14x_0)</f>
        <v>577.45000000000005</v>
      </c>
      <c r="I68" s="1"/>
      <c r="J68" s="5">
        <f t="shared" ref="J68:J70" si="41">IF(H$12=0,0,H68/H$12)</f>
        <v>0</v>
      </c>
      <c r="K68" s="1"/>
      <c r="L68" s="1">
        <f t="shared" ref="L68:L70" si="42">+D68-H68</f>
        <v>445.09000000000003</v>
      </c>
      <c r="M68" s="1"/>
      <c r="N68" s="5">
        <f t="shared" ref="N68:N70" si="43">IF(H68=0,0,L68/H68)</f>
        <v>0.77078534938089882</v>
      </c>
      <c r="O68" s="14"/>
      <c r="P68" s="1">
        <f>SUM(OSRRefP22_14x_0)</f>
        <v>1022.5400000000001</v>
      </c>
      <c r="Q68" s="1"/>
      <c r="R68" s="5">
        <f t="shared" ref="R68:R70" si="44">IF(P$12=0,0,P68/P$12)</f>
        <v>0</v>
      </c>
      <c r="S68" s="1"/>
      <c r="T68" s="1">
        <f>SUM(OSRRefT22_14x_0)</f>
        <v>577.45000000000005</v>
      </c>
      <c r="U68" s="1"/>
      <c r="V68" s="5">
        <f t="shared" ref="V68:V70" si="45">IF(T$12=0,0,T68/T$12)</f>
        <v>0</v>
      </c>
      <c r="W68" s="1"/>
      <c r="X68" s="1">
        <f t="shared" ref="X68:X70" si="46">+P68-T68</f>
        <v>445.09000000000003</v>
      </c>
      <c r="Y68" s="1"/>
      <c r="Z68" s="5">
        <f t="shared" ref="Z68:Z70" si="47">IF(T68=0,0,X68/T68)</f>
        <v>0.77078534938089882</v>
      </c>
    </row>
    <row r="69" spans="1:26" s="24" customFormat="1" hidden="1" outlineLevel="2" x14ac:dyDescent="0.25">
      <c r="A69" s="29"/>
      <c r="B69" s="11" t="str">
        <f>CONCATENATE("          ", "6281", " - ", "STORAGE FEE")</f>
        <v xml:space="preserve">          6281 - STORAGE FEE</v>
      </c>
      <c r="C69" s="11"/>
      <c r="D69" s="7">
        <v>1013.7</v>
      </c>
      <c r="E69" s="2"/>
      <c r="F69" s="6">
        <f t="shared" si="40"/>
        <v>0</v>
      </c>
      <c r="G69" s="2"/>
      <c r="H69" s="7">
        <v>566.83000000000004</v>
      </c>
      <c r="I69" s="2"/>
      <c r="J69" s="6">
        <f t="shared" si="41"/>
        <v>0</v>
      </c>
      <c r="K69" s="2"/>
      <c r="L69" s="7">
        <f t="shared" si="42"/>
        <v>446.87</v>
      </c>
      <c r="M69" s="2"/>
      <c r="N69" s="6">
        <f t="shared" si="43"/>
        <v>0.78836688248681253</v>
      </c>
      <c r="O69" s="11"/>
      <c r="P69" s="7">
        <v>1013.7</v>
      </c>
      <c r="Q69" s="2"/>
      <c r="R69" s="6">
        <f t="shared" si="44"/>
        <v>0</v>
      </c>
      <c r="S69" s="2"/>
      <c r="T69" s="7">
        <v>566.83000000000004</v>
      </c>
      <c r="U69" s="2"/>
      <c r="V69" s="6">
        <f t="shared" si="45"/>
        <v>0</v>
      </c>
      <c r="W69" s="2"/>
      <c r="X69" s="7">
        <f t="shared" si="46"/>
        <v>446.87</v>
      </c>
      <c r="Y69" s="2"/>
      <c r="Z69" s="6">
        <f t="shared" si="47"/>
        <v>0.78836688248681253</v>
      </c>
    </row>
    <row r="70" spans="1:26" s="24" customFormat="1" hidden="1" outlineLevel="2" x14ac:dyDescent="0.25">
      <c r="A70" s="29"/>
      <c r="B70" s="11" t="str">
        <f>CONCATENATE("          ", "6286", " - ", "LAUNDRY EXPENSE")</f>
        <v xml:space="preserve">          6286 - LAUNDRY EXPENSE</v>
      </c>
      <c r="C70" s="11"/>
      <c r="D70" s="7">
        <v>8.84</v>
      </c>
      <c r="E70" s="2"/>
      <c r="F70" s="6">
        <f t="shared" si="40"/>
        <v>0</v>
      </c>
      <c r="G70" s="2"/>
      <c r="H70" s="7">
        <v>10.62</v>
      </c>
      <c r="I70" s="2"/>
      <c r="J70" s="6">
        <f t="shared" si="41"/>
        <v>0</v>
      </c>
      <c r="K70" s="2"/>
      <c r="L70" s="7">
        <f t="shared" si="42"/>
        <v>-1.7799999999999994</v>
      </c>
      <c r="M70" s="2"/>
      <c r="N70" s="6">
        <f t="shared" si="43"/>
        <v>-0.16760828625235399</v>
      </c>
      <c r="O70" s="11"/>
      <c r="P70" s="7">
        <v>8.84</v>
      </c>
      <c r="Q70" s="2"/>
      <c r="R70" s="6">
        <f t="shared" si="44"/>
        <v>0</v>
      </c>
      <c r="S70" s="2"/>
      <c r="T70" s="7">
        <v>10.62</v>
      </c>
      <c r="U70" s="2"/>
      <c r="V70" s="6">
        <f t="shared" si="45"/>
        <v>0</v>
      </c>
      <c r="W70" s="2"/>
      <c r="X70" s="7">
        <f t="shared" si="46"/>
        <v>-1.7799999999999994</v>
      </c>
      <c r="Y70" s="2"/>
      <c r="Z70" s="6">
        <f t="shared" si="47"/>
        <v>-0.16760828625235399</v>
      </c>
    </row>
    <row r="71" spans="1:26" s="28" customFormat="1" outlineLevel="1" collapsed="1" x14ac:dyDescent="0.25">
      <c r="A71" s="27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SUM(OSRRefD22_15x_0)</f>
        <v>1000</v>
      </c>
      <c r="E71" s="1"/>
      <c r="F71" s="5">
        <f t="shared" ref="F71:F77" si="48">IF(D$12=0,0,D71/D$12)</f>
        <v>0</v>
      </c>
      <c r="G71" s="1"/>
      <c r="H71" s="1">
        <f>SUM(OSRRefH22_15x_0)</f>
        <v>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1000</v>
      </c>
      <c r="M71" s="1"/>
      <c r="N71" s="5">
        <f t="shared" ref="N71:N77" si="51">IF(H71=0,0,L71/H71)</f>
        <v>0</v>
      </c>
      <c r="O71" s="14"/>
      <c r="P71" s="1">
        <f>SUM(OSRRefP22_15x_0)</f>
        <v>1000</v>
      </c>
      <c r="Q71" s="1"/>
      <c r="R71" s="5">
        <f t="shared" ref="R71:R77" si="52">IF(P$12=0,0,P71/P$12)</f>
        <v>0</v>
      </c>
      <c r="S71" s="1"/>
      <c r="T71" s="1">
        <f>SUM(OSRRefT22_15x_0)</f>
        <v>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1000</v>
      </c>
      <c r="Y71" s="1"/>
      <c r="Z71" s="5">
        <f t="shared" ref="Z71:Z77" si="55">IF(T71=0,0,X71/T71)</f>
        <v>0</v>
      </c>
    </row>
    <row r="72" spans="1:26" s="24" customFormat="1" hidden="1" outlineLevel="2" x14ac:dyDescent="0.25">
      <c r="A72" s="29"/>
      <c r="B72" s="11" t="str">
        <f>CONCATENATE("          ", "6258", " - ", "MEMBERSHIP DUES")</f>
        <v xml:space="preserve">          6258 - MEMBERSHIP DUES</v>
      </c>
      <c r="C72" s="11"/>
      <c r="D72" s="7">
        <v>1000</v>
      </c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1000</v>
      </c>
      <c r="M72" s="2"/>
      <c r="N72" s="6">
        <f t="shared" si="51"/>
        <v>0</v>
      </c>
      <c r="O72" s="11"/>
      <c r="P72" s="7">
        <v>1000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1000</v>
      </c>
      <c r="Y72" s="2"/>
      <c r="Z72" s="6">
        <f t="shared" si="55"/>
        <v>0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SUM(OSRRefD22_16x_0)</f>
        <v>9790.6</v>
      </c>
      <c r="E73" s="1"/>
      <c r="F73" s="5">
        <f t="shared" si="48"/>
        <v>0</v>
      </c>
      <c r="G73" s="1"/>
      <c r="H73" s="1">
        <f>SUM(OSRRefH22_16x_0)</f>
        <v>1408.1</v>
      </c>
      <c r="I73" s="1"/>
      <c r="J73" s="5">
        <f t="shared" si="49"/>
        <v>0</v>
      </c>
      <c r="K73" s="1"/>
      <c r="L73" s="1">
        <f t="shared" si="50"/>
        <v>8382.5</v>
      </c>
      <c r="M73" s="1"/>
      <c r="N73" s="5">
        <f t="shared" si="51"/>
        <v>5.9530573112705065</v>
      </c>
      <c r="O73" s="14"/>
      <c r="P73" s="1">
        <f>SUM(OSRRefP22_16x_0)</f>
        <v>9790.6</v>
      </c>
      <c r="Q73" s="1"/>
      <c r="R73" s="5">
        <f t="shared" si="52"/>
        <v>0</v>
      </c>
      <c r="S73" s="1"/>
      <c r="T73" s="1">
        <f>SUM(OSRRefT22_16x_0)</f>
        <v>1408.1</v>
      </c>
      <c r="U73" s="1"/>
      <c r="V73" s="5">
        <f t="shared" si="53"/>
        <v>0</v>
      </c>
      <c r="W73" s="1"/>
      <c r="X73" s="1">
        <f t="shared" si="54"/>
        <v>8382.5</v>
      </c>
      <c r="Y73" s="1"/>
      <c r="Z73" s="5">
        <f t="shared" si="55"/>
        <v>5.9530573112705065</v>
      </c>
    </row>
    <row r="74" spans="1:26" s="24" customFormat="1" hidden="1" outlineLevel="2" x14ac:dyDescent="0.25">
      <c r="A74" s="29"/>
      <c r="B74" s="11" t="str">
        <f>CONCATENATE("          ", "6234", " - ", "EXPENDABLE SUPPLIES &amp; EQUIPMEN")</f>
        <v xml:space="preserve">          6234 - EXPENDABLE SUPPLIES &amp; EQUIPMEN</v>
      </c>
      <c r="C74" s="11"/>
      <c r="D74" s="7">
        <v>-225.81</v>
      </c>
      <c r="E74" s="2"/>
      <c r="F74" s="6">
        <f t="shared" si="48"/>
        <v>0</v>
      </c>
      <c r="G74" s="2"/>
      <c r="H74" s="7">
        <v>1245.83</v>
      </c>
      <c r="I74" s="2"/>
      <c r="J74" s="6">
        <f t="shared" si="49"/>
        <v>0</v>
      </c>
      <c r="K74" s="2"/>
      <c r="L74" s="7">
        <f t="shared" si="50"/>
        <v>-1471.6399999999999</v>
      </c>
      <c r="M74" s="2"/>
      <c r="N74" s="6">
        <f t="shared" si="51"/>
        <v>-1.1812526588699903</v>
      </c>
      <c r="O74" s="11"/>
      <c r="P74" s="7">
        <v>-225.81</v>
      </c>
      <c r="Q74" s="2"/>
      <c r="R74" s="6">
        <f t="shared" si="52"/>
        <v>0</v>
      </c>
      <c r="S74" s="2"/>
      <c r="T74" s="7">
        <v>1245.83</v>
      </c>
      <c r="U74" s="2"/>
      <c r="V74" s="6">
        <f t="shared" si="53"/>
        <v>0</v>
      </c>
      <c r="W74" s="2"/>
      <c r="X74" s="7">
        <f t="shared" si="54"/>
        <v>-1471.6399999999999</v>
      </c>
      <c r="Y74" s="2"/>
      <c r="Z74" s="6">
        <f t="shared" si="55"/>
        <v>-1.1812526588699903</v>
      </c>
    </row>
    <row r="75" spans="1:26" s="24" customFormat="1" hidden="1" outlineLevel="2" x14ac:dyDescent="0.25">
      <c r="A75" s="29"/>
      <c r="B75" s="11" t="str">
        <f>CONCATENATE("          ", "6241", " - ", "OFFICE EXPENSE")</f>
        <v xml:space="preserve">          6241 - OFFICE EXPENSE</v>
      </c>
      <c r="C75" s="11"/>
      <c r="D75" s="7">
        <v>8933.3799999999992</v>
      </c>
      <c r="E75" s="2"/>
      <c r="F75" s="6">
        <f t="shared" si="48"/>
        <v>0</v>
      </c>
      <c r="G75" s="2"/>
      <c r="H75" s="7">
        <v>5.01</v>
      </c>
      <c r="I75" s="2"/>
      <c r="J75" s="6">
        <f t="shared" si="49"/>
        <v>0</v>
      </c>
      <c r="K75" s="2"/>
      <c r="L75" s="7">
        <f t="shared" si="50"/>
        <v>8928.369999999999</v>
      </c>
      <c r="M75" s="2"/>
      <c r="N75" s="6">
        <f t="shared" si="51"/>
        <v>1782.1097804391216</v>
      </c>
      <c r="O75" s="11"/>
      <c r="P75" s="7">
        <v>8933.3799999999992</v>
      </c>
      <c r="Q75" s="2"/>
      <c r="R75" s="6">
        <f t="shared" si="52"/>
        <v>0</v>
      </c>
      <c r="S75" s="2"/>
      <c r="T75" s="7">
        <v>5.01</v>
      </c>
      <c r="U75" s="2"/>
      <c r="V75" s="6">
        <f t="shared" si="53"/>
        <v>0</v>
      </c>
      <c r="W75" s="2"/>
      <c r="X75" s="7">
        <f t="shared" si="54"/>
        <v>8928.369999999999</v>
      </c>
      <c r="Y75" s="2"/>
      <c r="Z75" s="6">
        <f t="shared" si="55"/>
        <v>1782.1097804391216</v>
      </c>
    </row>
    <row r="76" spans="1:26" s="24" customFormat="1" hidden="1" outlineLevel="2" x14ac:dyDescent="0.25">
      <c r="A76" s="29"/>
      <c r="B76" s="11" t="str">
        <f>CONCATENATE("          ", "6244", " - ", "SAFETY SUPPLY EXPENSE")</f>
        <v xml:space="preserve">          6244 - SAFETY SUPPLY EXPENSE</v>
      </c>
      <c r="C76" s="11"/>
      <c r="D76" s="7">
        <v>127.92</v>
      </c>
      <c r="E76" s="2"/>
      <c r="F76" s="6">
        <f t="shared" si="48"/>
        <v>0</v>
      </c>
      <c r="G76" s="2"/>
      <c r="H76" s="7">
        <v>125</v>
      </c>
      <c r="I76" s="2"/>
      <c r="J76" s="6">
        <f t="shared" si="49"/>
        <v>0</v>
      </c>
      <c r="K76" s="2"/>
      <c r="L76" s="7">
        <f t="shared" si="50"/>
        <v>2.9200000000000017</v>
      </c>
      <c r="M76" s="2"/>
      <c r="N76" s="6">
        <f t="shared" si="51"/>
        <v>2.3360000000000013E-2</v>
      </c>
      <c r="O76" s="11"/>
      <c r="P76" s="7">
        <v>127.92</v>
      </c>
      <c r="Q76" s="2"/>
      <c r="R76" s="6">
        <f t="shared" si="52"/>
        <v>0</v>
      </c>
      <c r="S76" s="2"/>
      <c r="T76" s="7">
        <v>125</v>
      </c>
      <c r="U76" s="2"/>
      <c r="V76" s="6">
        <f t="shared" si="53"/>
        <v>0</v>
      </c>
      <c r="W76" s="2"/>
      <c r="X76" s="7">
        <f t="shared" si="54"/>
        <v>2.9200000000000017</v>
      </c>
      <c r="Y76" s="2"/>
      <c r="Z76" s="6">
        <f t="shared" si="55"/>
        <v>2.3360000000000013E-2</v>
      </c>
    </row>
    <row r="77" spans="1:26" s="24" customFormat="1" hidden="1" outlineLevel="2" x14ac:dyDescent="0.25">
      <c r="A77" s="29"/>
      <c r="B77" s="11" t="str">
        <f>CONCATENATE("          ", "6245", " - ", "PRINTING")</f>
        <v xml:space="preserve">          6245 - PRINTING</v>
      </c>
      <c r="C77" s="11"/>
      <c r="D77" s="7">
        <v>955.11</v>
      </c>
      <c r="E77" s="2"/>
      <c r="F77" s="6">
        <f t="shared" si="48"/>
        <v>0</v>
      </c>
      <c r="G77" s="2"/>
      <c r="H77" s="7">
        <v>32.26</v>
      </c>
      <c r="I77" s="2"/>
      <c r="J77" s="6">
        <f t="shared" si="49"/>
        <v>0</v>
      </c>
      <c r="K77" s="2"/>
      <c r="L77" s="7">
        <f t="shared" si="50"/>
        <v>922.85</v>
      </c>
      <c r="M77" s="2"/>
      <c r="N77" s="6">
        <f t="shared" si="51"/>
        <v>28.606633601983884</v>
      </c>
      <c r="O77" s="11"/>
      <c r="P77" s="7">
        <v>955.11</v>
      </c>
      <c r="Q77" s="2"/>
      <c r="R77" s="6">
        <f t="shared" si="52"/>
        <v>0</v>
      </c>
      <c r="S77" s="2"/>
      <c r="T77" s="7">
        <v>32.26</v>
      </c>
      <c r="U77" s="2"/>
      <c r="V77" s="6">
        <f t="shared" si="53"/>
        <v>0</v>
      </c>
      <c r="W77" s="2"/>
      <c r="X77" s="7">
        <f t="shared" si="54"/>
        <v>922.85</v>
      </c>
      <c r="Y77" s="2"/>
      <c r="Z77" s="6">
        <f t="shared" si="55"/>
        <v>28.606633601983884</v>
      </c>
    </row>
    <row r="78" spans="1:26" s="28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SUM(OSRRefD22_17x_0)</f>
        <v>4914.92</v>
      </c>
      <c r="E78" s="1"/>
      <c r="F78" s="5">
        <f t="shared" ref="F78:F80" si="56">IF(D$12=0,0,D78/D$12)</f>
        <v>0</v>
      </c>
      <c r="G78" s="1"/>
      <c r="H78" s="1">
        <f>SUM(OSRRefH22_17x_0)</f>
        <v>1141.57</v>
      </c>
      <c r="I78" s="1"/>
      <c r="J78" s="5">
        <f t="shared" ref="J78:J80" si="57">IF(H$12=0,0,H78/H$12)</f>
        <v>0</v>
      </c>
      <c r="K78" s="1"/>
      <c r="L78" s="1">
        <f t="shared" ref="L78:L80" si="58">+D78-H78</f>
        <v>3773.3500000000004</v>
      </c>
      <c r="M78" s="1"/>
      <c r="N78" s="5">
        <f t="shared" ref="N78:N80" si="59">IF(H78=0,0,L78/H78)</f>
        <v>3.3054039612113146</v>
      </c>
      <c r="O78" s="14"/>
      <c r="P78" s="1">
        <f>SUM(OSRRefP22_17x_0)</f>
        <v>4914.92</v>
      </c>
      <c r="Q78" s="1"/>
      <c r="R78" s="5">
        <f t="shared" ref="R78:R80" si="60">IF(P$12=0,0,P78/P$12)</f>
        <v>0</v>
      </c>
      <c r="S78" s="1"/>
      <c r="T78" s="1">
        <f>SUM(OSRRefT22_17x_0)</f>
        <v>1141.57</v>
      </c>
      <c r="U78" s="1"/>
      <c r="V78" s="5">
        <f t="shared" ref="V78:V80" si="61">IF(T$12=0,0,T78/T$12)</f>
        <v>0</v>
      </c>
      <c r="W78" s="1"/>
      <c r="X78" s="1">
        <f t="shared" ref="X78:X80" si="62">+P78-T78</f>
        <v>3773.3500000000004</v>
      </c>
      <c r="Y78" s="1"/>
      <c r="Z78" s="5">
        <f t="shared" ref="Z78:Z80" si="63">IF(T78=0,0,X78/T78)</f>
        <v>3.3054039612113146</v>
      </c>
    </row>
    <row r="79" spans="1:26" s="24" customFormat="1" hidden="1" outlineLevel="2" x14ac:dyDescent="0.25">
      <c r="A79" s="29"/>
      <c r="B79" s="11" t="str">
        <f>CONCATENATE("          ", "6303", " - ", "DATA PHONE LINES")</f>
        <v xml:space="preserve">          6303 - DATA PHONE LINES</v>
      </c>
      <c r="C79" s="11"/>
      <c r="D79" s="7">
        <v>195.53</v>
      </c>
      <c r="E79" s="2"/>
      <c r="F79" s="6">
        <f t="shared" si="56"/>
        <v>0</v>
      </c>
      <c r="G79" s="2"/>
      <c r="H79" s="7">
        <v>173.93</v>
      </c>
      <c r="I79" s="2"/>
      <c r="J79" s="6">
        <f t="shared" si="57"/>
        <v>0</v>
      </c>
      <c r="K79" s="2"/>
      <c r="L79" s="7">
        <f t="shared" si="58"/>
        <v>21.599999999999994</v>
      </c>
      <c r="M79" s="2"/>
      <c r="N79" s="6">
        <f t="shared" si="59"/>
        <v>0.1241878916805611</v>
      </c>
      <c r="O79" s="11"/>
      <c r="P79" s="7">
        <v>195.53</v>
      </c>
      <c r="Q79" s="2"/>
      <c r="R79" s="6">
        <f t="shared" si="60"/>
        <v>0</v>
      </c>
      <c r="S79" s="2"/>
      <c r="T79" s="7">
        <v>173.93</v>
      </c>
      <c r="U79" s="2"/>
      <c r="V79" s="6">
        <f t="shared" si="61"/>
        <v>0</v>
      </c>
      <c r="W79" s="2"/>
      <c r="X79" s="7">
        <f t="shared" si="62"/>
        <v>21.599999999999994</v>
      </c>
      <c r="Y79" s="2"/>
      <c r="Z79" s="6">
        <f t="shared" si="63"/>
        <v>0.1241878916805611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7">
        <v>4719.3900000000003</v>
      </c>
      <c r="E80" s="2"/>
      <c r="F80" s="6">
        <f t="shared" si="56"/>
        <v>0</v>
      </c>
      <c r="G80" s="2"/>
      <c r="H80" s="7">
        <v>967.64</v>
      </c>
      <c r="I80" s="2"/>
      <c r="J80" s="6">
        <f t="shared" si="57"/>
        <v>0</v>
      </c>
      <c r="K80" s="2"/>
      <c r="L80" s="7">
        <f t="shared" si="58"/>
        <v>3751.7500000000005</v>
      </c>
      <c r="M80" s="2"/>
      <c r="N80" s="6">
        <f t="shared" si="59"/>
        <v>3.8772167334959287</v>
      </c>
      <c r="O80" s="11"/>
      <c r="P80" s="7">
        <v>4719.3900000000003</v>
      </c>
      <c r="Q80" s="2"/>
      <c r="R80" s="6">
        <f t="shared" si="60"/>
        <v>0</v>
      </c>
      <c r="S80" s="2"/>
      <c r="T80" s="7">
        <v>967.64</v>
      </c>
      <c r="U80" s="2"/>
      <c r="V80" s="6">
        <f t="shared" si="61"/>
        <v>0</v>
      </c>
      <c r="W80" s="2"/>
      <c r="X80" s="7">
        <f t="shared" si="62"/>
        <v>3751.7500000000005</v>
      </c>
      <c r="Y80" s="2"/>
      <c r="Z80" s="6">
        <f t="shared" si="63"/>
        <v>3.8772167334959287</v>
      </c>
    </row>
    <row r="81" spans="1:26" s="28" customFormat="1" outlineLevel="1" collapsed="1" x14ac:dyDescent="0.2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SUM(OSRRefD22_18x_0)</f>
        <v>746.62</v>
      </c>
      <c r="E81" s="1"/>
      <c r="F81" s="5">
        <f t="shared" ref="F81:F85" si="64">IF(D$12=0,0,D81/D$12)</f>
        <v>0</v>
      </c>
      <c r="G81" s="1"/>
      <c r="H81" s="1">
        <f>SUM(OSRRefH22_18x_0)</f>
        <v>9101.73</v>
      </c>
      <c r="I81" s="1"/>
      <c r="J81" s="5">
        <f t="shared" ref="J81:J85" si="65">IF(H$12=0,0,H81/H$12)</f>
        <v>0</v>
      </c>
      <c r="K81" s="1"/>
      <c r="L81" s="1">
        <f t="shared" ref="L81:L85" si="66">+D81-H81</f>
        <v>-8355.1099999999988</v>
      </c>
      <c r="M81" s="1"/>
      <c r="N81" s="5">
        <f t="shared" ref="N81:N85" si="67">IF(H81=0,0,L81/H81)</f>
        <v>-0.91796944097440802</v>
      </c>
      <c r="O81" s="14"/>
      <c r="P81" s="1">
        <f>SUM(OSRRefP22_18x_0)</f>
        <v>746.62</v>
      </c>
      <c r="Q81" s="1"/>
      <c r="R81" s="5">
        <f t="shared" ref="R81:R85" si="68">IF(P$12=0,0,P81/P$12)</f>
        <v>0</v>
      </c>
      <c r="S81" s="1"/>
      <c r="T81" s="1">
        <f>SUM(OSRRefT22_18x_0)</f>
        <v>9101.73</v>
      </c>
      <c r="U81" s="1"/>
      <c r="V81" s="5">
        <f t="shared" ref="V81:V85" si="69">IF(T$12=0,0,T81/T$12)</f>
        <v>0</v>
      </c>
      <c r="W81" s="1"/>
      <c r="X81" s="1">
        <f t="shared" ref="X81:X85" si="70">+P81-T81</f>
        <v>-8355.1099999999988</v>
      </c>
      <c r="Y81" s="1"/>
      <c r="Z81" s="5">
        <f t="shared" ref="Z81:Z85" si="71">IF(T81=0,0,X81/T81)</f>
        <v>-0.91796944097440802</v>
      </c>
    </row>
    <row r="82" spans="1:26" s="24" customFormat="1" hidden="1" outlineLevel="2" x14ac:dyDescent="0.25">
      <c r="A82" s="29"/>
      <c r="B82" s="11" t="str">
        <f>CONCATENATE("          ", "6376", " - ", "TRAINING")</f>
        <v xml:space="preserve">          6376 - TRAINING</v>
      </c>
      <c r="C82" s="11"/>
      <c r="D82" s="7">
        <v>746.62</v>
      </c>
      <c r="E82" s="2"/>
      <c r="F82" s="6">
        <f t="shared" si="64"/>
        <v>0</v>
      </c>
      <c r="G82" s="2"/>
      <c r="H82" s="7">
        <v>9101.73</v>
      </c>
      <c r="I82" s="2"/>
      <c r="J82" s="6">
        <f t="shared" si="65"/>
        <v>0</v>
      </c>
      <c r="K82" s="2"/>
      <c r="L82" s="7">
        <f t="shared" si="66"/>
        <v>-8355.1099999999988</v>
      </c>
      <c r="M82" s="2"/>
      <c r="N82" s="6">
        <f t="shared" si="67"/>
        <v>-0.91796944097440802</v>
      </c>
      <c r="O82" s="11"/>
      <c r="P82" s="7">
        <v>746.62</v>
      </c>
      <c r="Q82" s="2"/>
      <c r="R82" s="6">
        <f t="shared" si="68"/>
        <v>0</v>
      </c>
      <c r="S82" s="2"/>
      <c r="T82" s="7">
        <v>9101.73</v>
      </c>
      <c r="U82" s="2"/>
      <c r="V82" s="6">
        <f t="shared" si="69"/>
        <v>0</v>
      </c>
      <c r="W82" s="2"/>
      <c r="X82" s="7">
        <f t="shared" si="70"/>
        <v>-8355.1099999999988</v>
      </c>
      <c r="Y82" s="2"/>
      <c r="Z82" s="6">
        <f t="shared" si="71"/>
        <v>-0.91796944097440802</v>
      </c>
    </row>
    <row r="83" spans="1:26" s="28" customFormat="1" outlineLevel="1" collapsed="1" x14ac:dyDescent="0.25">
      <c r="A83" s="27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SUM(OSRRefD22_19x_0)</f>
        <v>569</v>
      </c>
      <c r="E83" s="1"/>
      <c r="F83" s="5">
        <f t="shared" si="64"/>
        <v>0</v>
      </c>
      <c r="G83" s="1"/>
      <c r="H83" s="1">
        <f>SUM(OSRRefH22_19x_0)</f>
        <v>1223.47</v>
      </c>
      <c r="I83" s="1"/>
      <c r="J83" s="5">
        <f t="shared" si="65"/>
        <v>0</v>
      </c>
      <c r="K83" s="1"/>
      <c r="L83" s="1">
        <f t="shared" si="66"/>
        <v>-654.47</v>
      </c>
      <c r="M83" s="1"/>
      <c r="N83" s="5">
        <f t="shared" si="67"/>
        <v>-0.53492934031892891</v>
      </c>
      <c r="O83" s="14"/>
      <c r="P83" s="1">
        <f>SUM(OSRRefP22_19x_0)</f>
        <v>569</v>
      </c>
      <c r="Q83" s="1"/>
      <c r="R83" s="5">
        <f t="shared" si="68"/>
        <v>0</v>
      </c>
      <c r="S83" s="1"/>
      <c r="T83" s="1">
        <f>SUM(OSRRefT22_19x_0)</f>
        <v>1223.47</v>
      </c>
      <c r="U83" s="1"/>
      <c r="V83" s="5">
        <f t="shared" si="69"/>
        <v>0</v>
      </c>
      <c r="W83" s="1"/>
      <c r="X83" s="1">
        <f t="shared" si="70"/>
        <v>-654.47</v>
      </c>
      <c r="Y83" s="1"/>
      <c r="Z83" s="5">
        <f t="shared" si="71"/>
        <v>-0.53492934031892891</v>
      </c>
    </row>
    <row r="84" spans="1:26" s="24" customFormat="1" hidden="1" outlineLevel="2" x14ac:dyDescent="0.25">
      <c r="A84" s="29"/>
      <c r="B84" s="11" t="str">
        <f>CONCATENATE("          ", "6292", " - ", "TRAVEL/CONFERENCE")</f>
        <v xml:space="preserve">          6292 - TRAVEL/CONFERENCE</v>
      </c>
      <c r="C84" s="11"/>
      <c r="D84" s="7">
        <v>569</v>
      </c>
      <c r="E84" s="2"/>
      <c r="F84" s="6">
        <f t="shared" si="64"/>
        <v>0</v>
      </c>
      <c r="G84" s="2"/>
      <c r="H84" s="7">
        <v>1199.71</v>
      </c>
      <c r="I84" s="2"/>
      <c r="J84" s="6">
        <f t="shared" si="65"/>
        <v>0</v>
      </c>
      <c r="K84" s="2"/>
      <c r="L84" s="7">
        <f t="shared" si="66"/>
        <v>-630.71</v>
      </c>
      <c r="M84" s="2"/>
      <c r="N84" s="6">
        <f t="shared" si="67"/>
        <v>-0.52571871535621106</v>
      </c>
      <c r="O84" s="11"/>
      <c r="P84" s="7">
        <v>569</v>
      </c>
      <c r="Q84" s="2"/>
      <c r="R84" s="6">
        <f t="shared" si="68"/>
        <v>0</v>
      </c>
      <c r="S84" s="2"/>
      <c r="T84" s="7">
        <v>1199.71</v>
      </c>
      <c r="U84" s="2"/>
      <c r="V84" s="6">
        <f t="shared" si="69"/>
        <v>0</v>
      </c>
      <c r="W84" s="2"/>
      <c r="X84" s="7">
        <f t="shared" si="70"/>
        <v>-630.71</v>
      </c>
      <c r="Y84" s="2"/>
      <c r="Z84" s="6">
        <f t="shared" si="71"/>
        <v>-0.52571871535621106</v>
      </c>
    </row>
    <row r="85" spans="1:26" s="24" customFormat="1" hidden="1" outlineLevel="2" x14ac:dyDescent="0.25">
      <c r="A85" s="29"/>
      <c r="B85" s="11" t="str">
        <f>CONCATENATE("          ", "6294", " - ", "TRAVEL OPERATIONAL")</f>
        <v xml:space="preserve">          6294 - TRAVEL OPERATIONAL</v>
      </c>
      <c r="C85" s="11"/>
      <c r="D85" s="7"/>
      <c r="E85" s="2"/>
      <c r="F85" s="6">
        <f t="shared" si="64"/>
        <v>0</v>
      </c>
      <c r="G85" s="2"/>
      <c r="H85" s="7">
        <v>23.76</v>
      </c>
      <c r="I85" s="2"/>
      <c r="J85" s="6">
        <f t="shared" si="65"/>
        <v>0</v>
      </c>
      <c r="K85" s="2"/>
      <c r="L85" s="7">
        <f t="shared" si="66"/>
        <v>-23.76</v>
      </c>
      <c r="M85" s="2"/>
      <c r="N85" s="6">
        <f t="shared" si="67"/>
        <v>-1</v>
      </c>
      <c r="O85" s="11"/>
      <c r="P85" s="7"/>
      <c r="Q85" s="2"/>
      <c r="R85" s="6">
        <f t="shared" si="68"/>
        <v>0</v>
      </c>
      <c r="S85" s="2"/>
      <c r="T85" s="7">
        <v>23.76</v>
      </c>
      <c r="U85" s="2"/>
      <c r="V85" s="6">
        <f t="shared" si="69"/>
        <v>0</v>
      </c>
      <c r="W85" s="2"/>
      <c r="X85" s="7">
        <f t="shared" si="70"/>
        <v>-23.76</v>
      </c>
      <c r="Y85" s="2"/>
      <c r="Z85" s="6">
        <f t="shared" si="71"/>
        <v>-1</v>
      </c>
    </row>
    <row r="86" spans="1:26" s="54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6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5" t="s">
        <v>3</v>
      </c>
      <c r="C89" s="25"/>
      <c r="D89" s="21">
        <f>+D16-D18+D87</f>
        <v>-313331.27</v>
      </c>
      <c r="E89" s="13"/>
      <c r="F89" s="20">
        <f>IF(D$12=0,0,D89/D$12)</f>
        <v>0</v>
      </c>
      <c r="G89" s="13"/>
      <c r="H89" s="21">
        <f>+H16-H18+H87</f>
        <v>-341767.18000000005</v>
      </c>
      <c r="I89" s="13"/>
      <c r="J89" s="20">
        <f>IF(H$12=0,0,H89/H$12)</f>
        <v>0</v>
      </c>
      <c r="K89" s="16"/>
      <c r="L89" s="21">
        <f>+D89-H89</f>
        <v>28435.910000000033</v>
      </c>
      <c r="M89" s="16"/>
      <c r="N89" s="20">
        <f>IF(H89=0,0,L89/H89)</f>
        <v>-8.3202576678076665E-2</v>
      </c>
      <c r="O89" s="26"/>
      <c r="P89" s="21">
        <f>+P16-P18+P87</f>
        <v>-313331.27</v>
      </c>
      <c r="Q89" s="13"/>
      <c r="R89" s="20">
        <f>IF(P$12=0,0,P89/P$12)</f>
        <v>0</v>
      </c>
      <c r="S89" s="13"/>
      <c r="T89" s="21">
        <f>+T16-T18+T87</f>
        <v>-341767.18000000005</v>
      </c>
      <c r="U89" s="13"/>
      <c r="V89" s="20">
        <f>IF(T$12=0,0,T89/T$12)</f>
        <v>0</v>
      </c>
      <c r="W89" s="16"/>
      <c r="X89" s="21">
        <f>+P89-T89</f>
        <v>28435.910000000033</v>
      </c>
      <c r="Y89" s="16"/>
      <c r="Z89" s="20">
        <f>IF(T89=0,0,X89/T89)</f>
        <v>-8.3202576678076665E-2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4</v>
      </c>
      <c r="C93" s="25"/>
      <c r="D93" s="33">
        <f>+D89-D91</f>
        <v>-313331.27</v>
      </c>
      <c r="E93" s="13"/>
      <c r="F93" s="34">
        <f>IF(D$12=0,0,D93/D$12)</f>
        <v>0</v>
      </c>
      <c r="G93" s="13"/>
      <c r="H93" s="33">
        <f>+H89-H91</f>
        <v>-341767.18000000005</v>
      </c>
      <c r="I93" s="13"/>
      <c r="J93" s="34">
        <f>IF(H$12=0,0,H93/H$12)</f>
        <v>0</v>
      </c>
      <c r="K93" s="16"/>
      <c r="L93" s="33">
        <f>D93-H93</f>
        <v>28435.910000000033</v>
      </c>
      <c r="M93" s="16"/>
      <c r="N93" s="34">
        <f>IF(H93=0,0,L93/H93)</f>
        <v>-8.3202576678076665E-2</v>
      </c>
      <c r="O93" s="26"/>
      <c r="P93" s="33">
        <f>+P89-P91</f>
        <v>-313331.27</v>
      </c>
      <c r="Q93" s="13"/>
      <c r="R93" s="34">
        <f>IF(P$12=0,0,P93/P$12)</f>
        <v>0</v>
      </c>
      <c r="S93" s="13"/>
      <c r="T93" s="33">
        <f>+T89-T91</f>
        <v>-341767.18000000005</v>
      </c>
      <c r="U93" s="13"/>
      <c r="V93" s="34">
        <f>IF(T$12=0,0,T93/T$12)</f>
        <v>0</v>
      </c>
      <c r="W93" s="16"/>
      <c r="X93" s="33">
        <f>P93-T93</f>
        <v>28435.910000000033</v>
      </c>
      <c r="Y93" s="16"/>
      <c r="Z93" s="34">
        <f>IF(T93=0,0,X93/T93)</f>
        <v>-8.3202576678076665E-2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5</v>
      </c>
      <c r="C96" s="25"/>
      <c r="D96" s="31">
        <f>SUM(D93:D95)</f>
        <v>-313331.27</v>
      </c>
      <c r="E96" s="13"/>
      <c r="F96" s="30">
        <f>IF(D$12=0,0,D96/D$12)</f>
        <v>0</v>
      </c>
      <c r="G96" s="13"/>
      <c r="H96" s="31">
        <f>SUM(H93:H95)</f>
        <v>-341767.18000000005</v>
      </c>
      <c r="I96" s="13"/>
      <c r="J96" s="30">
        <f>IF(H$12=0,0,H96/H$12)</f>
        <v>0</v>
      </c>
      <c r="K96" s="16"/>
      <c r="L96" s="31">
        <f>+D96-H96</f>
        <v>28435.910000000033</v>
      </c>
      <c r="M96" s="16"/>
      <c r="N96" s="30">
        <f>IF(H96=0,0,L96/H96)</f>
        <v>-8.3202576678076665E-2</v>
      </c>
      <c r="O96" s="26"/>
      <c r="P96" s="31">
        <f>SUM(P93:P95)</f>
        <v>-313331.27</v>
      </c>
      <c r="Q96" s="13"/>
      <c r="R96" s="30">
        <f>IF(P$12=0,0,P96/P$12)</f>
        <v>0</v>
      </c>
      <c r="S96" s="13"/>
      <c r="T96" s="31">
        <f>SUM(T93:T95)</f>
        <v>-341767.18000000005</v>
      </c>
      <c r="U96" s="13"/>
      <c r="V96" s="30">
        <f>IF(T$12=0,0,T96/T$12)</f>
        <v>0</v>
      </c>
      <c r="W96" s="16"/>
      <c r="X96" s="31">
        <f>+P96-T96</f>
        <v>28435.910000000033</v>
      </c>
      <c r="Y96" s="16"/>
      <c r="Z96" s="30">
        <f>IF(T96=0,0,X96/T96)</f>
        <v>-8.3202576678076665E-2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6">
        <v>43726.681233101852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3" t="s">
        <v>313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5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32122.670000000002</v>
      </c>
      <c r="E18" s="19"/>
      <c r="F18" s="35">
        <f t="shared" ref="F18:F26" si="0">IF(D$12=0,0,D18/D$12)</f>
        <v>0</v>
      </c>
      <c r="G18" s="19"/>
      <c r="H18" s="19">
        <f>SUM(OSRRefH22x_0)</f>
        <v>47032.340000000004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-14909.670000000002</v>
      </c>
      <c r="M18" s="4"/>
      <c r="N18" s="35">
        <f t="shared" ref="N18:N26" si="3">IF(H18=0,0,L18/H18)</f>
        <v>-0.31700889217929623</v>
      </c>
      <c r="O18" s="10"/>
      <c r="P18" s="19">
        <f>SUM(OSRRefP22x_0)</f>
        <v>32122.670000000002</v>
      </c>
      <c r="Q18" s="19"/>
      <c r="R18" s="35">
        <f t="shared" ref="R18:R26" si="4">IF(P$12=0,0,P18/P$12)</f>
        <v>0</v>
      </c>
      <c r="S18" s="19"/>
      <c r="T18" s="19">
        <f>SUM(OSRRefT22x_0)</f>
        <v>47032.340000000004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-14909.670000000002</v>
      </c>
      <c r="Y18" s="4"/>
      <c r="Z18" s="35">
        <f t="shared" ref="Z18:Z26" si="7">IF(T18=0,0,X18/T18)</f>
        <v>-0.31700889217929623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28870.880000000001</v>
      </c>
      <c r="E19" s="1"/>
      <c r="F19" s="5">
        <f t="shared" si="0"/>
        <v>0</v>
      </c>
      <c r="G19" s="1"/>
      <c r="H19" s="1">
        <f>SUM(OSRRefH22_0x_0)</f>
        <v>32597.350000000002</v>
      </c>
      <c r="I19" s="1"/>
      <c r="J19" s="5">
        <f t="shared" si="1"/>
        <v>0</v>
      </c>
      <c r="K19" s="1"/>
      <c r="L19" s="1">
        <f t="shared" si="2"/>
        <v>-3726.4700000000012</v>
      </c>
      <c r="M19" s="1"/>
      <c r="N19" s="5">
        <f t="shared" si="3"/>
        <v>-0.11431818844169851</v>
      </c>
      <c r="O19" s="14"/>
      <c r="P19" s="1">
        <f>SUM(OSRRefP22_0x_0)</f>
        <v>28870.880000000001</v>
      </c>
      <c r="Q19" s="1"/>
      <c r="R19" s="5">
        <f t="shared" si="4"/>
        <v>0</v>
      </c>
      <c r="S19" s="1"/>
      <c r="T19" s="1">
        <f>SUM(OSRRefT22_0x_0)</f>
        <v>32597.350000000002</v>
      </c>
      <c r="U19" s="1"/>
      <c r="V19" s="5">
        <f t="shared" si="5"/>
        <v>0</v>
      </c>
      <c r="W19" s="1"/>
      <c r="X19" s="1">
        <f t="shared" si="6"/>
        <v>-3726.4700000000012</v>
      </c>
      <c r="Y19" s="1"/>
      <c r="Z19" s="5">
        <f t="shared" si="7"/>
        <v>-0.11431818844169851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28870.880000000001</v>
      </c>
      <c r="E20" s="2"/>
      <c r="F20" s="6">
        <f t="shared" si="0"/>
        <v>0</v>
      </c>
      <c r="G20" s="2"/>
      <c r="H20" s="7">
        <v>32597.350000000002</v>
      </c>
      <c r="I20" s="2"/>
      <c r="J20" s="6">
        <f t="shared" si="1"/>
        <v>0</v>
      </c>
      <c r="K20" s="2"/>
      <c r="L20" s="7">
        <f t="shared" si="2"/>
        <v>-3726.4700000000012</v>
      </c>
      <c r="M20" s="2"/>
      <c r="N20" s="6">
        <f t="shared" si="3"/>
        <v>-0.11431818844169851</v>
      </c>
      <c r="O20" s="11"/>
      <c r="P20" s="7">
        <v>28870.880000000001</v>
      </c>
      <c r="Q20" s="2"/>
      <c r="R20" s="6">
        <f t="shared" si="4"/>
        <v>0</v>
      </c>
      <c r="S20" s="2"/>
      <c r="T20" s="7">
        <v>32597.350000000002</v>
      </c>
      <c r="U20" s="2"/>
      <c r="V20" s="6">
        <f t="shared" si="5"/>
        <v>0</v>
      </c>
      <c r="W20" s="2"/>
      <c r="X20" s="7">
        <f t="shared" si="6"/>
        <v>-3726.4700000000012</v>
      </c>
      <c r="Y20" s="2"/>
      <c r="Z20" s="6">
        <f t="shared" si="7"/>
        <v>-0.11431818844169851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826.39</v>
      </c>
      <c r="E21" s="1"/>
      <c r="F21" s="5">
        <f t="shared" si="0"/>
        <v>0</v>
      </c>
      <c r="G21" s="1"/>
      <c r="H21" s="1">
        <f>SUM(OSRRefH22_1x_0)</f>
        <v>813.74</v>
      </c>
      <c r="I21" s="1"/>
      <c r="J21" s="5">
        <f t="shared" si="1"/>
        <v>0</v>
      </c>
      <c r="K21" s="1"/>
      <c r="L21" s="1">
        <f t="shared" si="2"/>
        <v>12.649999999999977</v>
      </c>
      <c r="M21" s="1"/>
      <c r="N21" s="5">
        <f t="shared" si="3"/>
        <v>1.5545505935556784E-2</v>
      </c>
      <c r="O21" s="14"/>
      <c r="P21" s="1">
        <f>SUM(OSRRefP22_1x_0)</f>
        <v>826.39</v>
      </c>
      <c r="Q21" s="1"/>
      <c r="R21" s="5">
        <f t="shared" si="4"/>
        <v>0</v>
      </c>
      <c r="S21" s="1"/>
      <c r="T21" s="1">
        <f>SUM(OSRRefT22_1x_0)</f>
        <v>813.74</v>
      </c>
      <c r="U21" s="1"/>
      <c r="V21" s="5">
        <f t="shared" si="5"/>
        <v>0</v>
      </c>
      <c r="W21" s="1"/>
      <c r="X21" s="1">
        <f t="shared" si="6"/>
        <v>12.649999999999977</v>
      </c>
      <c r="Y21" s="1"/>
      <c r="Z21" s="5">
        <f t="shared" si="7"/>
        <v>1.5545505935556784E-2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826.39</v>
      </c>
      <c r="E22" s="2"/>
      <c r="F22" s="6">
        <f t="shared" si="0"/>
        <v>0</v>
      </c>
      <c r="G22" s="2"/>
      <c r="H22" s="7">
        <v>813.74</v>
      </c>
      <c r="I22" s="2"/>
      <c r="J22" s="6">
        <f t="shared" si="1"/>
        <v>0</v>
      </c>
      <c r="K22" s="2"/>
      <c r="L22" s="7">
        <f t="shared" si="2"/>
        <v>12.649999999999977</v>
      </c>
      <c r="M22" s="2"/>
      <c r="N22" s="6">
        <f t="shared" si="3"/>
        <v>1.5545505935556784E-2</v>
      </c>
      <c r="O22" s="11"/>
      <c r="P22" s="7">
        <v>826.39</v>
      </c>
      <c r="Q22" s="2"/>
      <c r="R22" s="6">
        <f t="shared" si="4"/>
        <v>0</v>
      </c>
      <c r="S22" s="2"/>
      <c r="T22" s="7">
        <v>813.74</v>
      </c>
      <c r="U22" s="2"/>
      <c r="V22" s="6">
        <f t="shared" si="5"/>
        <v>0</v>
      </c>
      <c r="W22" s="2"/>
      <c r="X22" s="7">
        <f t="shared" si="6"/>
        <v>12.649999999999977</v>
      </c>
      <c r="Y22" s="2"/>
      <c r="Z22" s="6">
        <f t="shared" si="7"/>
        <v>1.5545505935556784E-2</v>
      </c>
    </row>
    <row r="23" spans="1:26" s="28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2425.4</v>
      </c>
      <c r="E23" s="1"/>
      <c r="F23" s="5">
        <f t="shared" si="0"/>
        <v>0</v>
      </c>
      <c r="G23" s="1"/>
      <c r="H23" s="1">
        <f>SUM(OSRRefH22_2x_0)</f>
        <v>2196</v>
      </c>
      <c r="I23" s="1"/>
      <c r="J23" s="5">
        <f t="shared" si="1"/>
        <v>0</v>
      </c>
      <c r="K23" s="1"/>
      <c r="L23" s="1">
        <f t="shared" si="2"/>
        <v>229.40000000000009</v>
      </c>
      <c r="M23" s="1"/>
      <c r="N23" s="5">
        <f t="shared" si="3"/>
        <v>0.10446265938069221</v>
      </c>
      <c r="O23" s="14"/>
      <c r="P23" s="1">
        <f>SUM(OSRRefP22_2x_0)</f>
        <v>2425.4</v>
      </c>
      <c r="Q23" s="1"/>
      <c r="R23" s="5">
        <f t="shared" si="4"/>
        <v>0</v>
      </c>
      <c r="S23" s="1"/>
      <c r="T23" s="1">
        <f>SUM(OSRRefT22_2x_0)</f>
        <v>2196</v>
      </c>
      <c r="U23" s="1"/>
      <c r="V23" s="5">
        <f t="shared" si="5"/>
        <v>0</v>
      </c>
      <c r="W23" s="1"/>
      <c r="X23" s="1">
        <f t="shared" si="6"/>
        <v>229.40000000000009</v>
      </c>
      <c r="Y23" s="1"/>
      <c r="Z23" s="5">
        <f t="shared" si="7"/>
        <v>0.10446265938069221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7">
        <v>2425.4</v>
      </c>
      <c r="E24" s="2"/>
      <c r="F24" s="6">
        <f t="shared" si="0"/>
        <v>0</v>
      </c>
      <c r="G24" s="2"/>
      <c r="H24" s="7">
        <v>2196</v>
      </c>
      <c r="I24" s="2"/>
      <c r="J24" s="6">
        <f t="shared" si="1"/>
        <v>0</v>
      </c>
      <c r="K24" s="2"/>
      <c r="L24" s="7">
        <f t="shared" si="2"/>
        <v>229.40000000000009</v>
      </c>
      <c r="M24" s="2"/>
      <c r="N24" s="6">
        <f t="shared" si="3"/>
        <v>0.10446265938069221</v>
      </c>
      <c r="O24" s="11"/>
      <c r="P24" s="7">
        <v>2425.4</v>
      </c>
      <c r="Q24" s="2"/>
      <c r="R24" s="6">
        <f t="shared" si="4"/>
        <v>0</v>
      </c>
      <c r="S24" s="2"/>
      <c r="T24" s="7">
        <v>2196</v>
      </c>
      <c r="U24" s="2"/>
      <c r="V24" s="6">
        <f t="shared" si="5"/>
        <v>0</v>
      </c>
      <c r="W24" s="2"/>
      <c r="X24" s="7">
        <f t="shared" si="6"/>
        <v>229.40000000000009</v>
      </c>
      <c r="Y24" s="2"/>
      <c r="Z24" s="6">
        <f t="shared" si="7"/>
        <v>0.10446265938069221</v>
      </c>
    </row>
    <row r="25" spans="1:26" s="28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11425.25</v>
      </c>
      <c r="I25" s="1"/>
      <c r="J25" s="5">
        <f t="shared" si="1"/>
        <v>0</v>
      </c>
      <c r="K25" s="1"/>
      <c r="L25" s="1">
        <f t="shared" si="2"/>
        <v>-11425.25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11425.25</v>
      </c>
      <c r="U25" s="1"/>
      <c r="V25" s="5">
        <f t="shared" si="5"/>
        <v>0</v>
      </c>
      <c r="W25" s="1"/>
      <c r="X25" s="1">
        <f t="shared" si="6"/>
        <v>-11425.25</v>
      </c>
      <c r="Y25" s="1"/>
      <c r="Z25" s="5">
        <f t="shared" si="7"/>
        <v>-1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7"/>
      <c r="E26" s="2"/>
      <c r="F26" s="6">
        <f t="shared" si="0"/>
        <v>0</v>
      </c>
      <c r="G26" s="2"/>
      <c r="H26" s="7">
        <v>11425.25</v>
      </c>
      <c r="I26" s="2"/>
      <c r="J26" s="6">
        <f t="shared" si="1"/>
        <v>0</v>
      </c>
      <c r="K26" s="2"/>
      <c r="L26" s="7">
        <f t="shared" si="2"/>
        <v>-11425.25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11425.25</v>
      </c>
      <c r="U26" s="2"/>
      <c r="V26" s="6">
        <f t="shared" si="5"/>
        <v>0</v>
      </c>
      <c r="W26" s="2"/>
      <c r="X26" s="7">
        <f t="shared" si="6"/>
        <v>-11425.25</v>
      </c>
      <c r="Y26" s="2"/>
      <c r="Z26" s="6">
        <f t="shared" si="7"/>
        <v>-1</v>
      </c>
    </row>
    <row r="27" spans="1:26" s="54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3</v>
      </c>
      <c r="C30" s="25"/>
      <c r="D30" s="21">
        <f>+D16-D18+D28</f>
        <v>-32122.670000000002</v>
      </c>
      <c r="E30" s="13"/>
      <c r="F30" s="20">
        <f>IF(D$12=0,0,D30/D$12)</f>
        <v>0</v>
      </c>
      <c r="G30" s="13"/>
      <c r="H30" s="21">
        <f>+H16-H18+H28</f>
        <v>-47032.340000000004</v>
      </c>
      <c r="I30" s="13"/>
      <c r="J30" s="20">
        <f>IF(H$12=0,0,H30/H$12)</f>
        <v>0</v>
      </c>
      <c r="K30" s="16"/>
      <c r="L30" s="21">
        <f>+D30-H30</f>
        <v>14909.670000000002</v>
      </c>
      <c r="M30" s="16"/>
      <c r="N30" s="20">
        <f>IF(H30=0,0,L30/H30)</f>
        <v>-0.31700889217929623</v>
      </c>
      <c r="O30" s="26"/>
      <c r="P30" s="21">
        <f>+P16-P18+P28</f>
        <v>-32122.670000000002</v>
      </c>
      <c r="Q30" s="13"/>
      <c r="R30" s="20">
        <f>IF(P$12=0,0,P30/P$12)</f>
        <v>0</v>
      </c>
      <c r="S30" s="13"/>
      <c r="T30" s="21">
        <f>+T16-T18+T28</f>
        <v>-47032.340000000004</v>
      </c>
      <c r="U30" s="13"/>
      <c r="V30" s="20">
        <f>IF(T$12=0,0,T30/T$12)</f>
        <v>0</v>
      </c>
      <c r="W30" s="16"/>
      <c r="X30" s="21">
        <f>+P30-T30</f>
        <v>14909.670000000002</v>
      </c>
      <c r="Y30" s="16"/>
      <c r="Z30" s="20">
        <f>IF(T30=0,0,X30/T30)</f>
        <v>-0.31700889217929623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4</v>
      </c>
      <c r="C34" s="25"/>
      <c r="D34" s="33">
        <f>+D30-D32</f>
        <v>-32122.670000000002</v>
      </c>
      <c r="E34" s="13"/>
      <c r="F34" s="34">
        <f>IF(D$12=0,0,D34/D$12)</f>
        <v>0</v>
      </c>
      <c r="G34" s="13"/>
      <c r="H34" s="33">
        <f>+H30-H32</f>
        <v>-47032.340000000004</v>
      </c>
      <c r="I34" s="13"/>
      <c r="J34" s="34">
        <f>IF(H$12=0,0,H34/H$12)</f>
        <v>0</v>
      </c>
      <c r="K34" s="16"/>
      <c r="L34" s="33">
        <f>D34-H34</f>
        <v>14909.670000000002</v>
      </c>
      <c r="M34" s="16"/>
      <c r="N34" s="34">
        <f>IF(H34=0,0,L34/H34)</f>
        <v>-0.31700889217929623</v>
      </c>
      <c r="O34" s="26"/>
      <c r="P34" s="33">
        <f>+P30-P32</f>
        <v>-32122.670000000002</v>
      </c>
      <c r="Q34" s="13"/>
      <c r="R34" s="34">
        <f>IF(P$12=0,0,P34/P$12)</f>
        <v>0</v>
      </c>
      <c r="S34" s="13"/>
      <c r="T34" s="33">
        <f>+T30-T32</f>
        <v>-47032.340000000004</v>
      </c>
      <c r="U34" s="13"/>
      <c r="V34" s="34">
        <f>IF(T$12=0,0,T34/T$12)</f>
        <v>0</v>
      </c>
      <c r="W34" s="16"/>
      <c r="X34" s="33">
        <f>P34-T34</f>
        <v>14909.670000000002</v>
      </c>
      <c r="Y34" s="16"/>
      <c r="Z34" s="34">
        <f>IF(T34=0,0,X34/T34)</f>
        <v>-0.31700889217929623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5</v>
      </c>
      <c r="C37" s="25"/>
      <c r="D37" s="31">
        <f>SUM(D34:D36)</f>
        <v>-32122.670000000002</v>
      </c>
      <c r="E37" s="13"/>
      <c r="F37" s="30">
        <f>IF(D$12=0,0,D37/D$12)</f>
        <v>0</v>
      </c>
      <c r="G37" s="13"/>
      <c r="H37" s="31">
        <f>SUM(H34:H36)</f>
        <v>-47032.340000000004</v>
      </c>
      <c r="I37" s="13"/>
      <c r="J37" s="30">
        <f>IF(H$12=0,0,H37/H$12)</f>
        <v>0</v>
      </c>
      <c r="K37" s="16"/>
      <c r="L37" s="31">
        <f>+D37-H37</f>
        <v>14909.670000000002</v>
      </c>
      <c r="M37" s="16"/>
      <c r="N37" s="30">
        <f>IF(H37=0,0,L37/H37)</f>
        <v>-0.31700889217929623</v>
      </c>
      <c r="O37" s="26"/>
      <c r="P37" s="31">
        <f>SUM(P34:P36)</f>
        <v>-32122.670000000002</v>
      </c>
      <c r="Q37" s="13"/>
      <c r="R37" s="30">
        <f>IF(P$12=0,0,P37/P$12)</f>
        <v>0</v>
      </c>
      <c r="S37" s="13"/>
      <c r="T37" s="31">
        <f>SUM(T34:T36)</f>
        <v>-47032.340000000004</v>
      </c>
      <c r="U37" s="13"/>
      <c r="V37" s="30">
        <f>IF(T$12=0,0,T37/T$12)</f>
        <v>0</v>
      </c>
      <c r="W37" s="16"/>
      <c r="X37" s="31">
        <f>+P37-T37</f>
        <v>14909.670000000002</v>
      </c>
      <c r="Y37" s="16"/>
      <c r="Z37" s="30">
        <f>IF(T37=0,0,X37/T37)</f>
        <v>-0.31700889217929623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>
        <v>43726.681605937498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3" t="s">
        <v>313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77391.169999999969</v>
      </c>
      <c r="E18" s="19"/>
      <c r="F18" s="35">
        <f t="shared" ref="F18:F27" si="0">IF(D$12=0,0,D18/D$12)</f>
        <v>0</v>
      </c>
      <c r="G18" s="19"/>
      <c r="H18" s="19">
        <f>SUM(OSRRefH22x_0)</f>
        <v>109711.65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-32320.480000000025</v>
      </c>
      <c r="M18" s="4"/>
      <c r="N18" s="35">
        <f t="shared" ref="N18:N27" si="3">IF(H18=0,0,L18/H18)</f>
        <v>-0.29459478551275114</v>
      </c>
      <c r="O18" s="10"/>
      <c r="P18" s="19">
        <f>SUM(OSRRefP22x_0)</f>
        <v>77391.169999999969</v>
      </c>
      <c r="Q18" s="19"/>
      <c r="R18" s="35">
        <f t="shared" ref="R18:R27" si="4">IF(P$12=0,0,P18/P$12)</f>
        <v>0</v>
      </c>
      <c r="S18" s="19"/>
      <c r="T18" s="19">
        <f>SUM(OSRRefT22x_0)</f>
        <v>109711.65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-32320.480000000025</v>
      </c>
      <c r="Y18" s="4"/>
      <c r="Z18" s="35">
        <f t="shared" ref="Z18:Z27" si="7">IF(T18=0,0,X18/T18)</f>
        <v>-0.29459478551275114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21882.059999999998</v>
      </c>
      <c r="E19" s="1"/>
      <c r="F19" s="5">
        <f t="shared" si="0"/>
        <v>0</v>
      </c>
      <c r="G19" s="1"/>
      <c r="H19" s="1">
        <f>SUM(OSRRefH22_0x_0)</f>
        <v>18641.900000000001</v>
      </c>
      <c r="I19" s="1"/>
      <c r="J19" s="5">
        <f t="shared" si="1"/>
        <v>0</v>
      </c>
      <c r="K19" s="1"/>
      <c r="L19" s="1">
        <f t="shared" si="2"/>
        <v>3240.1599999999962</v>
      </c>
      <c r="M19" s="1"/>
      <c r="N19" s="5">
        <f t="shared" si="3"/>
        <v>0.17381060943358756</v>
      </c>
      <c r="O19" s="14"/>
      <c r="P19" s="1">
        <f>SUM(OSRRefP22_0x_0)</f>
        <v>21882.059999999998</v>
      </c>
      <c r="Q19" s="1"/>
      <c r="R19" s="5">
        <f t="shared" si="4"/>
        <v>0</v>
      </c>
      <c r="S19" s="1"/>
      <c r="T19" s="1">
        <f>SUM(OSRRefT22_0x_0)</f>
        <v>18641.900000000001</v>
      </c>
      <c r="U19" s="1"/>
      <c r="V19" s="5">
        <f t="shared" si="5"/>
        <v>0</v>
      </c>
      <c r="W19" s="1"/>
      <c r="X19" s="1">
        <f t="shared" si="6"/>
        <v>3240.1599999999962</v>
      </c>
      <c r="Y19" s="1"/>
      <c r="Z19" s="5">
        <f t="shared" si="7"/>
        <v>0.17381060943358756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2863.07</v>
      </c>
      <c r="E20" s="2"/>
      <c r="F20" s="6">
        <f t="shared" si="0"/>
        <v>0</v>
      </c>
      <c r="G20" s="2"/>
      <c r="H20" s="7">
        <v>2290.94</v>
      </c>
      <c r="I20" s="2"/>
      <c r="J20" s="6">
        <f t="shared" si="1"/>
        <v>0</v>
      </c>
      <c r="K20" s="2"/>
      <c r="L20" s="7">
        <f t="shared" si="2"/>
        <v>572.13000000000011</v>
      </c>
      <c r="M20" s="2"/>
      <c r="N20" s="6">
        <f t="shared" si="3"/>
        <v>0.24973591626144731</v>
      </c>
      <c r="O20" s="11"/>
      <c r="P20" s="7">
        <v>2863.07</v>
      </c>
      <c r="Q20" s="2"/>
      <c r="R20" s="6">
        <f t="shared" si="4"/>
        <v>0</v>
      </c>
      <c r="S20" s="2"/>
      <c r="T20" s="7">
        <v>2290.94</v>
      </c>
      <c r="U20" s="2"/>
      <c r="V20" s="6">
        <f t="shared" si="5"/>
        <v>0</v>
      </c>
      <c r="W20" s="2"/>
      <c r="X20" s="7">
        <f t="shared" si="6"/>
        <v>572.13000000000011</v>
      </c>
      <c r="Y20" s="2"/>
      <c r="Z20" s="6">
        <f t="shared" si="7"/>
        <v>0.24973591626144731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112.88</v>
      </c>
      <c r="E21" s="2"/>
      <c r="F21" s="6">
        <f t="shared" si="0"/>
        <v>0</v>
      </c>
      <c r="G21" s="2"/>
      <c r="H21" s="7">
        <v>137.91</v>
      </c>
      <c r="I21" s="2"/>
      <c r="J21" s="6">
        <f t="shared" si="1"/>
        <v>0</v>
      </c>
      <c r="K21" s="2"/>
      <c r="L21" s="7">
        <f t="shared" si="2"/>
        <v>-25.03</v>
      </c>
      <c r="M21" s="2"/>
      <c r="N21" s="6">
        <f t="shared" si="3"/>
        <v>-0.18149517801464723</v>
      </c>
      <c r="O21" s="11"/>
      <c r="P21" s="7">
        <v>112.88</v>
      </c>
      <c r="Q21" s="2"/>
      <c r="R21" s="6">
        <f t="shared" si="4"/>
        <v>0</v>
      </c>
      <c r="S21" s="2"/>
      <c r="T21" s="7">
        <v>137.91</v>
      </c>
      <c r="U21" s="2"/>
      <c r="V21" s="6">
        <f t="shared" si="5"/>
        <v>0</v>
      </c>
      <c r="W21" s="2"/>
      <c r="X21" s="7">
        <f t="shared" si="6"/>
        <v>-25.03</v>
      </c>
      <c r="Y21" s="2"/>
      <c r="Z21" s="6">
        <f t="shared" si="7"/>
        <v>-0.18149517801464723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4870.25</v>
      </c>
      <c r="E22" s="2"/>
      <c r="F22" s="6">
        <f t="shared" si="0"/>
        <v>0</v>
      </c>
      <c r="G22" s="2"/>
      <c r="H22" s="7">
        <v>1911.57</v>
      </c>
      <c r="I22" s="2"/>
      <c r="J22" s="6">
        <f t="shared" si="1"/>
        <v>0</v>
      </c>
      <c r="K22" s="2"/>
      <c r="L22" s="7">
        <f t="shared" si="2"/>
        <v>2958.6800000000003</v>
      </c>
      <c r="M22" s="2"/>
      <c r="N22" s="6">
        <f t="shared" si="3"/>
        <v>1.5477748656863208</v>
      </c>
      <c r="O22" s="11"/>
      <c r="P22" s="7">
        <v>4870.25</v>
      </c>
      <c r="Q22" s="2"/>
      <c r="R22" s="6">
        <f t="shared" si="4"/>
        <v>0</v>
      </c>
      <c r="S22" s="2"/>
      <c r="T22" s="7">
        <v>1911.57</v>
      </c>
      <c r="U22" s="2"/>
      <c r="V22" s="6">
        <f t="shared" si="5"/>
        <v>0</v>
      </c>
      <c r="W22" s="2"/>
      <c r="X22" s="7">
        <f t="shared" si="6"/>
        <v>2958.6800000000003</v>
      </c>
      <c r="Y22" s="2"/>
      <c r="Z22" s="6">
        <f t="shared" si="7"/>
        <v>1.5477748656863208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86.32</v>
      </c>
      <c r="E23" s="2"/>
      <c r="F23" s="6">
        <f t="shared" si="0"/>
        <v>0</v>
      </c>
      <c r="G23" s="2"/>
      <c r="H23" s="7">
        <v>115.67</v>
      </c>
      <c r="I23" s="2"/>
      <c r="J23" s="6">
        <f t="shared" si="1"/>
        <v>0</v>
      </c>
      <c r="K23" s="2"/>
      <c r="L23" s="7">
        <f t="shared" si="2"/>
        <v>-29.350000000000009</v>
      </c>
      <c r="M23" s="2"/>
      <c r="N23" s="6">
        <f t="shared" si="3"/>
        <v>-0.25373908532895312</v>
      </c>
      <c r="O23" s="11"/>
      <c r="P23" s="7">
        <v>86.32</v>
      </c>
      <c r="Q23" s="2"/>
      <c r="R23" s="6">
        <f t="shared" si="4"/>
        <v>0</v>
      </c>
      <c r="S23" s="2"/>
      <c r="T23" s="7">
        <v>115.67</v>
      </c>
      <c r="U23" s="2"/>
      <c r="V23" s="6">
        <f t="shared" si="5"/>
        <v>0</v>
      </c>
      <c r="W23" s="2"/>
      <c r="X23" s="7">
        <f t="shared" si="6"/>
        <v>-29.350000000000009</v>
      </c>
      <c r="Y23" s="2"/>
      <c r="Z23" s="6">
        <f t="shared" si="7"/>
        <v>-0.25373908532895312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3181.98</v>
      </c>
      <c r="E24" s="2"/>
      <c r="F24" s="6">
        <f t="shared" si="0"/>
        <v>0</v>
      </c>
      <c r="G24" s="2"/>
      <c r="H24" s="7">
        <v>4159.8500000000004</v>
      </c>
      <c r="I24" s="2"/>
      <c r="J24" s="6">
        <f t="shared" si="1"/>
        <v>0</v>
      </c>
      <c r="K24" s="2"/>
      <c r="L24" s="7">
        <f t="shared" si="2"/>
        <v>-977.87000000000035</v>
      </c>
      <c r="M24" s="2"/>
      <c r="N24" s="6">
        <f t="shared" si="3"/>
        <v>-0.23507338004976147</v>
      </c>
      <c r="O24" s="11"/>
      <c r="P24" s="7">
        <v>3181.98</v>
      </c>
      <c r="Q24" s="2"/>
      <c r="R24" s="6">
        <f t="shared" si="4"/>
        <v>0</v>
      </c>
      <c r="S24" s="2"/>
      <c r="T24" s="7">
        <v>4159.8500000000004</v>
      </c>
      <c r="U24" s="2"/>
      <c r="V24" s="6">
        <f t="shared" si="5"/>
        <v>0</v>
      </c>
      <c r="W24" s="2"/>
      <c r="X24" s="7">
        <f t="shared" si="6"/>
        <v>-977.87000000000035</v>
      </c>
      <c r="Y24" s="2"/>
      <c r="Z24" s="6">
        <f t="shared" si="7"/>
        <v>-0.23507338004976147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4208.96</v>
      </c>
      <c r="E25" s="2"/>
      <c r="F25" s="6">
        <f t="shared" si="0"/>
        <v>0</v>
      </c>
      <c r="G25" s="2"/>
      <c r="H25" s="7">
        <v>4039.43</v>
      </c>
      <c r="I25" s="2"/>
      <c r="J25" s="6">
        <f t="shared" si="1"/>
        <v>0</v>
      </c>
      <c r="K25" s="2"/>
      <c r="L25" s="7">
        <f t="shared" si="2"/>
        <v>169.5300000000002</v>
      </c>
      <c r="M25" s="2"/>
      <c r="N25" s="6">
        <f t="shared" si="3"/>
        <v>4.196879262668253E-2</v>
      </c>
      <c r="O25" s="11"/>
      <c r="P25" s="7">
        <v>4208.96</v>
      </c>
      <c r="Q25" s="2"/>
      <c r="R25" s="6">
        <f t="shared" si="4"/>
        <v>0</v>
      </c>
      <c r="S25" s="2"/>
      <c r="T25" s="7">
        <v>4039.43</v>
      </c>
      <c r="U25" s="2"/>
      <c r="V25" s="6">
        <f t="shared" si="5"/>
        <v>0</v>
      </c>
      <c r="W25" s="2"/>
      <c r="X25" s="7">
        <f t="shared" si="6"/>
        <v>169.5300000000002</v>
      </c>
      <c r="Y25" s="2"/>
      <c r="Z25" s="6">
        <f t="shared" si="7"/>
        <v>4.196879262668253E-2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6119.23</v>
      </c>
      <c r="E26" s="2"/>
      <c r="F26" s="6">
        <f t="shared" si="0"/>
        <v>0</v>
      </c>
      <c r="G26" s="2"/>
      <c r="H26" s="7">
        <v>5541.25</v>
      </c>
      <c r="I26" s="2"/>
      <c r="J26" s="6">
        <f t="shared" si="1"/>
        <v>0</v>
      </c>
      <c r="K26" s="2"/>
      <c r="L26" s="7">
        <f t="shared" si="2"/>
        <v>577.97999999999956</v>
      </c>
      <c r="M26" s="2"/>
      <c r="N26" s="6">
        <f t="shared" si="3"/>
        <v>0.10430498533724332</v>
      </c>
      <c r="O26" s="11"/>
      <c r="P26" s="7">
        <v>6119.23</v>
      </c>
      <c r="Q26" s="2"/>
      <c r="R26" s="6">
        <f t="shared" si="4"/>
        <v>0</v>
      </c>
      <c r="S26" s="2"/>
      <c r="T26" s="7">
        <v>5541.25</v>
      </c>
      <c r="U26" s="2"/>
      <c r="V26" s="6">
        <f t="shared" si="5"/>
        <v>0</v>
      </c>
      <c r="W26" s="2"/>
      <c r="X26" s="7">
        <f t="shared" si="6"/>
        <v>577.97999999999956</v>
      </c>
      <c r="Y26" s="2"/>
      <c r="Z26" s="6">
        <f t="shared" si="7"/>
        <v>0.10430498533724332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439.37</v>
      </c>
      <c r="E27" s="2"/>
      <c r="F27" s="6">
        <f t="shared" si="0"/>
        <v>0</v>
      </c>
      <c r="G27" s="2"/>
      <c r="H27" s="7">
        <v>445.28</v>
      </c>
      <c r="I27" s="2"/>
      <c r="J27" s="6">
        <f t="shared" si="1"/>
        <v>0</v>
      </c>
      <c r="K27" s="2"/>
      <c r="L27" s="7">
        <f t="shared" si="2"/>
        <v>-5.9099999999999682</v>
      </c>
      <c r="M27" s="2"/>
      <c r="N27" s="6">
        <f t="shared" si="3"/>
        <v>-1.3272547610492205E-2</v>
      </c>
      <c r="O27" s="11"/>
      <c r="P27" s="7">
        <v>439.37</v>
      </c>
      <c r="Q27" s="2"/>
      <c r="R27" s="6">
        <f t="shared" si="4"/>
        <v>0</v>
      </c>
      <c r="S27" s="2"/>
      <c r="T27" s="7">
        <v>445.28</v>
      </c>
      <c r="U27" s="2"/>
      <c r="V27" s="6">
        <f t="shared" si="5"/>
        <v>0</v>
      </c>
      <c r="W27" s="2"/>
      <c r="X27" s="7">
        <f t="shared" si="6"/>
        <v>-5.9099999999999682</v>
      </c>
      <c r="Y27" s="2"/>
      <c r="Z27" s="6">
        <f t="shared" si="7"/>
        <v>-1.3272547610492205E-2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35837.299999999996</v>
      </c>
      <c r="E28" s="1"/>
      <c r="F28" s="5">
        <f t="shared" ref="F28:F31" si="8">IF(D$12=0,0,D28/D$12)</f>
        <v>0</v>
      </c>
      <c r="G28" s="1"/>
      <c r="H28" s="1">
        <f>SUM(OSRRefH22_1x_0)</f>
        <v>33722.07</v>
      </c>
      <c r="I28" s="1"/>
      <c r="J28" s="5">
        <f t="shared" ref="J28:J31" si="9">IF(H$12=0,0,H28/H$12)</f>
        <v>0</v>
      </c>
      <c r="K28" s="1"/>
      <c r="L28" s="1">
        <f t="shared" ref="L28:L31" si="10">+D28-H28</f>
        <v>2115.2299999999959</v>
      </c>
      <c r="M28" s="1"/>
      <c r="N28" s="5">
        <f t="shared" ref="N28:N31" si="11">IF(H28=0,0,L28/H28)</f>
        <v>6.2725390226637812E-2</v>
      </c>
      <c r="O28" s="14"/>
      <c r="P28" s="1">
        <f>SUM(OSRRefP22_1x_0)</f>
        <v>35837.299999999996</v>
      </c>
      <c r="Q28" s="1"/>
      <c r="R28" s="5">
        <f t="shared" ref="R28:R31" si="12">IF(P$12=0,0,P28/P$12)</f>
        <v>0</v>
      </c>
      <c r="S28" s="1"/>
      <c r="T28" s="1">
        <f>SUM(OSRRefT22_1x_0)</f>
        <v>33722.07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2115.2299999999959</v>
      </c>
      <c r="Y28" s="1"/>
      <c r="Z28" s="5">
        <f t="shared" ref="Z28:Z31" si="15">IF(T28=0,0,X28/T28)</f>
        <v>6.2725390226637812E-2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28358.92</v>
      </c>
      <c r="E29" s="2"/>
      <c r="F29" s="6">
        <f t="shared" si="8"/>
        <v>0</v>
      </c>
      <c r="G29" s="2"/>
      <c r="H29" s="7">
        <v>27780.21</v>
      </c>
      <c r="I29" s="2"/>
      <c r="J29" s="6">
        <f t="shared" si="9"/>
        <v>0</v>
      </c>
      <c r="K29" s="2"/>
      <c r="L29" s="7">
        <f t="shared" si="10"/>
        <v>578.70999999999913</v>
      </c>
      <c r="M29" s="2"/>
      <c r="N29" s="6">
        <f t="shared" si="11"/>
        <v>2.0831735973198155E-2</v>
      </c>
      <c r="O29" s="11"/>
      <c r="P29" s="7">
        <v>28358.92</v>
      </c>
      <c r="Q29" s="2"/>
      <c r="R29" s="6">
        <f t="shared" si="12"/>
        <v>0</v>
      </c>
      <c r="S29" s="2"/>
      <c r="T29" s="7">
        <v>27780.21</v>
      </c>
      <c r="U29" s="2"/>
      <c r="V29" s="6">
        <f t="shared" si="13"/>
        <v>0</v>
      </c>
      <c r="W29" s="2"/>
      <c r="X29" s="7">
        <f t="shared" si="14"/>
        <v>578.70999999999913</v>
      </c>
      <c r="Y29" s="2"/>
      <c r="Z29" s="6">
        <f t="shared" si="15"/>
        <v>2.0831735973198155E-2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5141.18</v>
      </c>
      <c r="E30" s="2"/>
      <c r="F30" s="6">
        <f t="shared" si="8"/>
        <v>0</v>
      </c>
      <c r="G30" s="2"/>
      <c r="H30" s="7">
        <v>5941.86</v>
      </c>
      <c r="I30" s="2"/>
      <c r="J30" s="6">
        <f t="shared" si="9"/>
        <v>0</v>
      </c>
      <c r="K30" s="2"/>
      <c r="L30" s="7">
        <f t="shared" si="10"/>
        <v>-800.67999999999938</v>
      </c>
      <c r="M30" s="2"/>
      <c r="N30" s="6">
        <f t="shared" si="11"/>
        <v>-0.13475241759314413</v>
      </c>
      <c r="O30" s="11"/>
      <c r="P30" s="7">
        <v>5141.18</v>
      </c>
      <c r="Q30" s="2"/>
      <c r="R30" s="6">
        <f t="shared" si="12"/>
        <v>0</v>
      </c>
      <c r="S30" s="2"/>
      <c r="T30" s="7">
        <v>5941.86</v>
      </c>
      <c r="U30" s="2"/>
      <c r="V30" s="6">
        <f t="shared" si="13"/>
        <v>0</v>
      </c>
      <c r="W30" s="2"/>
      <c r="X30" s="7">
        <f t="shared" si="14"/>
        <v>-800.67999999999938</v>
      </c>
      <c r="Y30" s="2"/>
      <c r="Z30" s="6">
        <f t="shared" si="15"/>
        <v>-0.13475241759314413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7">
        <v>2337.1999999999998</v>
      </c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2337.1999999999998</v>
      </c>
      <c r="M31" s="2"/>
      <c r="N31" s="6">
        <f t="shared" si="11"/>
        <v>0</v>
      </c>
      <c r="O31" s="11"/>
      <c r="P31" s="7">
        <v>2337.1999999999998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2337.1999999999998</v>
      </c>
      <c r="Y31" s="2"/>
      <c r="Z31" s="6">
        <f t="shared" si="15"/>
        <v>0</v>
      </c>
    </row>
    <row r="32" spans="1:26" s="28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5723.92</v>
      </c>
      <c r="E32" s="1"/>
      <c r="F32" s="5">
        <f t="shared" ref="F32:F48" si="16">IF(D$12=0,0,D32/D$12)</f>
        <v>0</v>
      </c>
      <c r="G32" s="1"/>
      <c r="H32" s="1">
        <f>SUM(OSRRefH22_2x_0)</f>
        <v>15339.030000000002</v>
      </c>
      <c r="I32" s="1"/>
      <c r="J32" s="5">
        <f t="shared" ref="J32:J48" si="17">IF(H$12=0,0,H32/H$12)</f>
        <v>0</v>
      </c>
      <c r="K32" s="1"/>
      <c r="L32" s="1">
        <f t="shared" ref="L32:L48" si="18">+D32-H32</f>
        <v>-9615.1100000000024</v>
      </c>
      <c r="M32" s="1"/>
      <c r="N32" s="5">
        <f t="shared" ref="N32:N48" si="19">IF(H32=0,0,L32/H32)</f>
        <v>-0.62683950680062561</v>
      </c>
      <c r="O32" s="14"/>
      <c r="P32" s="1">
        <f>SUM(OSRRefP22_2x_0)</f>
        <v>5723.92</v>
      </c>
      <c r="Q32" s="1"/>
      <c r="R32" s="5">
        <f t="shared" ref="R32:R48" si="20">IF(P$12=0,0,P32/P$12)</f>
        <v>0</v>
      </c>
      <c r="S32" s="1"/>
      <c r="T32" s="1">
        <f>SUM(OSRRefT22_2x_0)</f>
        <v>15339.030000000002</v>
      </c>
      <c r="U32" s="1"/>
      <c r="V32" s="5">
        <f t="shared" ref="V32:V48" si="21">IF(T$12=0,0,T32/T$12)</f>
        <v>0</v>
      </c>
      <c r="W32" s="1"/>
      <c r="X32" s="1">
        <f t="shared" ref="X32:X48" si="22">+P32-T32</f>
        <v>-9615.1100000000024</v>
      </c>
      <c r="Y32" s="1"/>
      <c r="Z32" s="5">
        <f t="shared" ref="Z32:Z48" si="23">IF(T32=0,0,X32/T32)</f>
        <v>-0.62683950680062561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7">
        <v>5723.92</v>
      </c>
      <c r="E33" s="2"/>
      <c r="F33" s="6">
        <f t="shared" si="16"/>
        <v>0</v>
      </c>
      <c r="G33" s="2"/>
      <c r="H33" s="7">
        <v>15339.030000000002</v>
      </c>
      <c r="I33" s="2"/>
      <c r="J33" s="6">
        <f t="shared" si="17"/>
        <v>0</v>
      </c>
      <c r="K33" s="2"/>
      <c r="L33" s="7">
        <f t="shared" si="18"/>
        <v>-9615.1100000000024</v>
      </c>
      <c r="M33" s="2"/>
      <c r="N33" s="6">
        <f t="shared" si="19"/>
        <v>-0.62683950680062561</v>
      </c>
      <c r="O33" s="11"/>
      <c r="P33" s="7">
        <v>5723.92</v>
      </c>
      <c r="Q33" s="2"/>
      <c r="R33" s="6">
        <f t="shared" si="20"/>
        <v>0</v>
      </c>
      <c r="S33" s="2"/>
      <c r="T33" s="7">
        <v>15339.030000000002</v>
      </c>
      <c r="U33" s="2"/>
      <c r="V33" s="6">
        <f t="shared" si="21"/>
        <v>0</v>
      </c>
      <c r="W33" s="2"/>
      <c r="X33" s="7">
        <f t="shared" si="22"/>
        <v>-9615.1100000000024</v>
      </c>
      <c r="Y33" s="2"/>
      <c r="Z33" s="6">
        <f t="shared" si="23"/>
        <v>-0.62683950680062561</v>
      </c>
    </row>
    <row r="34" spans="1:26" s="28" customFormat="1" outlineLevel="1" collapsed="1" x14ac:dyDescent="0.25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345.23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345.23</v>
      </c>
      <c r="Q34" s="1"/>
      <c r="R34" s="5">
        <f t="shared" si="20"/>
        <v>0</v>
      </c>
      <c r="S34" s="1"/>
      <c r="T34" s="1">
        <f>SUM(OSRRefT22_3x_0)</f>
        <v>345.23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25">
      <c r="A35" s="29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345.23</v>
      </c>
      <c r="E35" s="2"/>
      <c r="F35" s="6">
        <f t="shared" si="16"/>
        <v>0</v>
      </c>
      <c r="G35" s="2"/>
      <c r="H35" s="7">
        <v>345.23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345.23</v>
      </c>
      <c r="Q35" s="2"/>
      <c r="R35" s="6">
        <f t="shared" si="20"/>
        <v>0</v>
      </c>
      <c r="S35" s="2"/>
      <c r="T35" s="7">
        <v>345.23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8" customFormat="1" outlineLevel="1" collapsed="1" x14ac:dyDescent="0.25">
      <c r="A36" s="27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1667.85</v>
      </c>
      <c r="E36" s="1"/>
      <c r="F36" s="5">
        <f t="shared" si="16"/>
        <v>0</v>
      </c>
      <c r="G36" s="1"/>
      <c r="H36" s="1">
        <f>SUM(OSRRefH22_4x_0)</f>
        <v>26000</v>
      </c>
      <c r="I36" s="1"/>
      <c r="J36" s="5">
        <f t="shared" si="17"/>
        <v>0</v>
      </c>
      <c r="K36" s="1"/>
      <c r="L36" s="1">
        <f t="shared" si="18"/>
        <v>-24332.15</v>
      </c>
      <c r="M36" s="1"/>
      <c r="N36" s="5">
        <f t="shared" si="19"/>
        <v>-0.93585192307692311</v>
      </c>
      <c r="O36" s="14"/>
      <c r="P36" s="1">
        <f>SUM(OSRRefP22_4x_0)</f>
        <v>1667.85</v>
      </c>
      <c r="Q36" s="1"/>
      <c r="R36" s="5">
        <f t="shared" si="20"/>
        <v>0</v>
      </c>
      <c r="S36" s="1"/>
      <c r="T36" s="1">
        <f>SUM(OSRRefT22_4x_0)</f>
        <v>26000</v>
      </c>
      <c r="U36" s="1"/>
      <c r="V36" s="5">
        <f t="shared" si="21"/>
        <v>0</v>
      </c>
      <c r="W36" s="1"/>
      <c r="X36" s="1">
        <f t="shared" si="22"/>
        <v>-24332.15</v>
      </c>
      <c r="Y36" s="1"/>
      <c r="Z36" s="5">
        <f t="shared" si="23"/>
        <v>-0.93585192307692311</v>
      </c>
    </row>
    <row r="37" spans="1:26" s="24" customFormat="1" hidden="1" outlineLevel="2" x14ac:dyDescent="0.25">
      <c r="A37" s="29"/>
      <c r="B37" s="11" t="str">
        <f>CONCATENATE("          ", "6399", " - ", "DONATION-ON CAMPUS")</f>
        <v xml:space="preserve">          6399 - DONATION-ON CAMPUS</v>
      </c>
      <c r="C37" s="11"/>
      <c r="D37" s="7">
        <v>1667.85</v>
      </c>
      <c r="E37" s="2"/>
      <c r="F37" s="6">
        <f t="shared" si="16"/>
        <v>0</v>
      </c>
      <c r="G37" s="2"/>
      <c r="H37" s="7">
        <v>26000</v>
      </c>
      <c r="I37" s="2"/>
      <c r="J37" s="6">
        <f t="shared" si="17"/>
        <v>0</v>
      </c>
      <c r="K37" s="2"/>
      <c r="L37" s="7">
        <f t="shared" si="18"/>
        <v>-24332.15</v>
      </c>
      <c r="M37" s="2"/>
      <c r="N37" s="6">
        <f t="shared" si="19"/>
        <v>-0.93585192307692311</v>
      </c>
      <c r="O37" s="11"/>
      <c r="P37" s="7">
        <v>1667.85</v>
      </c>
      <c r="Q37" s="2"/>
      <c r="R37" s="6">
        <f t="shared" si="20"/>
        <v>0</v>
      </c>
      <c r="S37" s="2"/>
      <c r="T37" s="7">
        <v>26000</v>
      </c>
      <c r="U37" s="2"/>
      <c r="V37" s="6">
        <f t="shared" si="21"/>
        <v>0</v>
      </c>
      <c r="W37" s="2"/>
      <c r="X37" s="7">
        <f t="shared" si="22"/>
        <v>-24332.15</v>
      </c>
      <c r="Y37" s="2"/>
      <c r="Z37" s="6">
        <f t="shared" si="23"/>
        <v>-0.93585192307692311</v>
      </c>
    </row>
    <row r="38" spans="1:26" s="28" customFormat="1" outlineLevel="1" collapsed="1" x14ac:dyDescent="0.25">
      <c r="A38" s="27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117.72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SUM(OSRRefP22_5x_0)</f>
        <v>117.72</v>
      </c>
      <c r="Q38" s="1"/>
      <c r="R38" s="5">
        <f t="shared" si="20"/>
        <v>0</v>
      </c>
      <c r="S38" s="1"/>
      <c r="T38" s="1">
        <f>SUM(OSRRefT22_5x_0)</f>
        <v>117.72</v>
      </c>
      <c r="U38" s="1"/>
      <c r="V38" s="5">
        <f t="shared" si="21"/>
        <v>0</v>
      </c>
      <c r="W38" s="1"/>
      <c r="X38" s="1">
        <f t="shared" si="22"/>
        <v>0</v>
      </c>
      <c r="Y38" s="1"/>
      <c r="Z38" s="5">
        <f t="shared" si="23"/>
        <v>0</v>
      </c>
    </row>
    <row r="39" spans="1:26" s="24" customFormat="1" hidden="1" outlineLevel="2" x14ac:dyDescent="0.25">
      <c r="A39" s="29"/>
      <c r="B39" s="11" t="str">
        <f>CONCATENATE("          ", "6351", " - ", "EQUIPMENT RENTAL")</f>
        <v xml:space="preserve">          6351 - EQUIPMENT RENTAL</v>
      </c>
      <c r="C39" s="11"/>
      <c r="D39" s="7">
        <v>117.72</v>
      </c>
      <c r="E39" s="2"/>
      <c r="F39" s="6">
        <f t="shared" si="16"/>
        <v>0</v>
      </c>
      <c r="G39" s="2"/>
      <c r="H39" s="7">
        <v>117.72</v>
      </c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>
        <v>117.72</v>
      </c>
      <c r="Q39" s="2"/>
      <c r="R39" s="6">
        <f t="shared" si="20"/>
        <v>0</v>
      </c>
      <c r="S39" s="2"/>
      <c r="T39" s="7">
        <v>117.72</v>
      </c>
      <c r="U39" s="2"/>
      <c r="V39" s="6">
        <f t="shared" si="21"/>
        <v>0</v>
      </c>
      <c r="W39" s="2"/>
      <c r="X39" s="7">
        <f t="shared" si="22"/>
        <v>0</v>
      </c>
      <c r="Y39" s="2"/>
      <c r="Z39" s="6">
        <f t="shared" si="23"/>
        <v>0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0.47</v>
      </c>
      <c r="I40" s="1"/>
      <c r="J40" s="5">
        <f t="shared" si="17"/>
        <v>0</v>
      </c>
      <c r="K40" s="1"/>
      <c r="L40" s="1">
        <f t="shared" si="18"/>
        <v>-0.47</v>
      </c>
      <c r="M40" s="1"/>
      <c r="N40" s="5">
        <f t="shared" si="19"/>
        <v>-1</v>
      </c>
      <c r="O40" s="14"/>
      <c r="P40" s="1">
        <f>SUM(OSRRefP22_6x_0)</f>
        <v>0</v>
      </c>
      <c r="Q40" s="1"/>
      <c r="R40" s="5">
        <f t="shared" si="20"/>
        <v>0</v>
      </c>
      <c r="S40" s="1"/>
      <c r="T40" s="1">
        <f>SUM(OSRRefT22_6x_0)</f>
        <v>0.47</v>
      </c>
      <c r="U40" s="1"/>
      <c r="V40" s="5">
        <f t="shared" si="21"/>
        <v>0</v>
      </c>
      <c r="W40" s="1"/>
      <c r="X40" s="1">
        <f t="shared" si="22"/>
        <v>-0.47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"6307", " - ", "POSTAGE")</f>
        <v xml:space="preserve">          6307 - POSTAGE</v>
      </c>
      <c r="C41" s="11"/>
      <c r="D41" s="7"/>
      <c r="E41" s="2"/>
      <c r="F41" s="6">
        <f t="shared" si="16"/>
        <v>0</v>
      </c>
      <c r="G41" s="2"/>
      <c r="H41" s="7">
        <v>0.47</v>
      </c>
      <c r="I41" s="2"/>
      <c r="J41" s="6">
        <f t="shared" si="17"/>
        <v>0</v>
      </c>
      <c r="K41" s="2"/>
      <c r="L41" s="7">
        <f t="shared" si="18"/>
        <v>-0.47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0.47</v>
      </c>
      <c r="U41" s="2"/>
      <c r="V41" s="6">
        <f t="shared" si="21"/>
        <v>0</v>
      </c>
      <c r="W41" s="2"/>
      <c r="X41" s="7">
        <f t="shared" si="22"/>
        <v>-0.47</v>
      </c>
      <c r="Y41" s="2"/>
      <c r="Z41" s="6">
        <f t="shared" si="23"/>
        <v>-1</v>
      </c>
    </row>
    <row r="42" spans="1:26" s="28" customFormat="1" outlineLevel="1" collapsed="1" x14ac:dyDescent="0.25">
      <c r="A42" s="27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SUM(OSRRefD22_7x_0)</f>
        <v>30.62</v>
      </c>
      <c r="E42" s="1"/>
      <c r="F42" s="5">
        <f t="shared" si="16"/>
        <v>0</v>
      </c>
      <c r="G42" s="1"/>
      <c r="H42" s="1">
        <f>SUM(OSRRefH22_7x_0)</f>
        <v>7670</v>
      </c>
      <c r="I42" s="1"/>
      <c r="J42" s="5">
        <f t="shared" si="17"/>
        <v>0</v>
      </c>
      <c r="K42" s="1"/>
      <c r="L42" s="1">
        <f t="shared" si="18"/>
        <v>-7639.38</v>
      </c>
      <c r="M42" s="1"/>
      <c r="N42" s="5">
        <f t="shared" si="19"/>
        <v>-0.9960078226857888</v>
      </c>
      <c r="O42" s="14"/>
      <c r="P42" s="1">
        <f>SUM(OSRRefP22_7x_0)</f>
        <v>30.62</v>
      </c>
      <c r="Q42" s="1"/>
      <c r="R42" s="5">
        <f t="shared" si="20"/>
        <v>0</v>
      </c>
      <c r="S42" s="1"/>
      <c r="T42" s="1">
        <f>SUM(OSRRefT22_7x_0)</f>
        <v>7670</v>
      </c>
      <c r="U42" s="1"/>
      <c r="V42" s="5">
        <f t="shared" si="21"/>
        <v>0</v>
      </c>
      <c r="W42" s="1"/>
      <c r="X42" s="1">
        <f t="shared" si="22"/>
        <v>-7639.38</v>
      </c>
      <c r="Y42" s="1"/>
      <c r="Z42" s="5">
        <f t="shared" si="23"/>
        <v>-0.9960078226857888</v>
      </c>
    </row>
    <row r="43" spans="1:26" s="24" customFormat="1" hidden="1" outlineLevel="2" x14ac:dyDescent="0.25">
      <c r="A43" s="29"/>
      <c r="B43" s="11" t="str">
        <f>CONCATENATE("          ", "6279", " - ", "GENERAL EXPENSE")</f>
        <v xml:space="preserve">          6279 - GENERAL EXPENSE</v>
      </c>
      <c r="C43" s="11"/>
      <c r="D43" s="7">
        <v>30.62</v>
      </c>
      <c r="E43" s="2"/>
      <c r="F43" s="6">
        <f t="shared" si="16"/>
        <v>0</v>
      </c>
      <c r="G43" s="2"/>
      <c r="H43" s="7">
        <v>7670</v>
      </c>
      <c r="I43" s="2"/>
      <c r="J43" s="6">
        <f t="shared" si="17"/>
        <v>0</v>
      </c>
      <c r="K43" s="2"/>
      <c r="L43" s="7">
        <f t="shared" si="18"/>
        <v>-7639.38</v>
      </c>
      <c r="M43" s="2"/>
      <c r="N43" s="6">
        <f t="shared" si="19"/>
        <v>-0.9960078226857888</v>
      </c>
      <c r="O43" s="11"/>
      <c r="P43" s="7">
        <v>30.62</v>
      </c>
      <c r="Q43" s="2"/>
      <c r="R43" s="6">
        <f t="shared" si="20"/>
        <v>0</v>
      </c>
      <c r="S43" s="2"/>
      <c r="T43" s="7">
        <v>7670</v>
      </c>
      <c r="U43" s="2"/>
      <c r="V43" s="6">
        <f t="shared" si="21"/>
        <v>0</v>
      </c>
      <c r="W43" s="2"/>
      <c r="X43" s="7">
        <f t="shared" si="22"/>
        <v>-7639.38</v>
      </c>
      <c r="Y43" s="2"/>
      <c r="Z43" s="6">
        <f t="shared" si="23"/>
        <v>-0.9960078226857888</v>
      </c>
    </row>
    <row r="44" spans="1:26" s="28" customFormat="1" outlineLevel="1" collapsed="1" x14ac:dyDescent="0.25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108.47</v>
      </c>
      <c r="I44" s="1"/>
      <c r="J44" s="5">
        <f t="shared" si="17"/>
        <v>0</v>
      </c>
      <c r="K44" s="1"/>
      <c r="L44" s="1">
        <f t="shared" si="18"/>
        <v>6.6599999999999966</v>
      </c>
      <c r="M44" s="1"/>
      <c r="N44" s="5">
        <f t="shared" si="19"/>
        <v>6.139946528994189E-2</v>
      </c>
      <c r="O44" s="14"/>
      <c r="P44" s="1">
        <f>SUM(OSRRefP22_8x_0)</f>
        <v>115.13</v>
      </c>
      <c r="Q44" s="1"/>
      <c r="R44" s="5">
        <f t="shared" si="20"/>
        <v>0</v>
      </c>
      <c r="S44" s="1"/>
      <c r="T44" s="1">
        <f>SUM(OSRRefT22_8x_0)</f>
        <v>108.47</v>
      </c>
      <c r="U44" s="1"/>
      <c r="V44" s="5">
        <f t="shared" si="21"/>
        <v>0</v>
      </c>
      <c r="W44" s="1"/>
      <c r="X44" s="1">
        <f t="shared" si="22"/>
        <v>6.6599999999999966</v>
      </c>
      <c r="Y44" s="1"/>
      <c r="Z44" s="5">
        <f t="shared" si="23"/>
        <v>6.139946528994189E-2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7">
        <v>115.13</v>
      </c>
      <c r="E45" s="2"/>
      <c r="F45" s="6">
        <f t="shared" si="16"/>
        <v>0</v>
      </c>
      <c r="G45" s="2"/>
      <c r="H45" s="7">
        <v>108.47</v>
      </c>
      <c r="I45" s="2"/>
      <c r="J45" s="6">
        <f t="shared" si="17"/>
        <v>0</v>
      </c>
      <c r="K45" s="2"/>
      <c r="L45" s="7">
        <f t="shared" si="18"/>
        <v>6.6599999999999966</v>
      </c>
      <c r="M45" s="2"/>
      <c r="N45" s="6">
        <f t="shared" si="19"/>
        <v>6.139946528994189E-2</v>
      </c>
      <c r="O45" s="11"/>
      <c r="P45" s="7">
        <v>115.13</v>
      </c>
      <c r="Q45" s="2"/>
      <c r="R45" s="6">
        <f t="shared" si="20"/>
        <v>0</v>
      </c>
      <c r="S45" s="2"/>
      <c r="T45" s="7">
        <v>108.47</v>
      </c>
      <c r="U45" s="2"/>
      <c r="V45" s="6">
        <f t="shared" si="21"/>
        <v>0</v>
      </c>
      <c r="W45" s="2"/>
      <c r="X45" s="7">
        <f t="shared" si="22"/>
        <v>6.6599999999999966</v>
      </c>
      <c r="Y45" s="2"/>
      <c r="Z45" s="6">
        <f t="shared" si="23"/>
        <v>6.139946528994189E-2</v>
      </c>
    </row>
    <row r="46" spans="1:26" s="28" customFormat="1" outlineLevel="1" collapsed="1" x14ac:dyDescent="0.25">
      <c r="A46" s="27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SUM(OSRRefD22_9x_0)</f>
        <v>5015</v>
      </c>
      <c r="E46" s="1"/>
      <c r="F46" s="5">
        <f t="shared" si="16"/>
        <v>0</v>
      </c>
      <c r="G46" s="1"/>
      <c r="H46" s="1">
        <f>SUM(OSRRefH22_9x_0)</f>
        <v>5000</v>
      </c>
      <c r="I46" s="1"/>
      <c r="J46" s="5">
        <f t="shared" si="17"/>
        <v>0</v>
      </c>
      <c r="K46" s="1"/>
      <c r="L46" s="1">
        <f t="shared" si="18"/>
        <v>15</v>
      </c>
      <c r="M46" s="1"/>
      <c r="N46" s="5">
        <f t="shared" si="19"/>
        <v>3.0000000000000001E-3</v>
      </c>
      <c r="O46" s="14"/>
      <c r="P46" s="1">
        <f>SUM(OSRRefP22_9x_0)</f>
        <v>5015</v>
      </c>
      <c r="Q46" s="1"/>
      <c r="R46" s="5">
        <f t="shared" si="20"/>
        <v>0</v>
      </c>
      <c r="S46" s="1"/>
      <c r="T46" s="1">
        <f>SUM(OSRRefT22_9x_0)</f>
        <v>5000</v>
      </c>
      <c r="U46" s="1"/>
      <c r="V46" s="5">
        <f t="shared" si="21"/>
        <v>0</v>
      </c>
      <c r="W46" s="1"/>
      <c r="X46" s="1">
        <f t="shared" si="22"/>
        <v>15</v>
      </c>
      <c r="Y46" s="1"/>
      <c r="Z46" s="5">
        <f t="shared" si="23"/>
        <v>3.0000000000000001E-3</v>
      </c>
    </row>
    <row r="47" spans="1:26" s="24" customFormat="1" hidden="1" outlineLevel="2" x14ac:dyDescent="0.25">
      <c r="A47" s="29"/>
      <c r="B47" s="11" t="str">
        <f>CONCATENATE("          ", "6334", " - ", "LEGAL COUNCIL EXPENSE")</f>
        <v xml:space="preserve">          6334 - LEGAL COUNCIL EXPENSE</v>
      </c>
      <c r="C47" s="11"/>
      <c r="D47" s="7">
        <v>15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15</v>
      </c>
      <c r="M47" s="2"/>
      <c r="N47" s="6">
        <f t="shared" si="19"/>
        <v>0</v>
      </c>
      <c r="O47" s="11"/>
      <c r="P47" s="7">
        <v>15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15</v>
      </c>
      <c r="Y47" s="2"/>
      <c r="Z47" s="6">
        <f t="shared" si="23"/>
        <v>0</v>
      </c>
    </row>
    <row r="48" spans="1:26" s="24" customFormat="1" hidden="1" outlineLevel="2" x14ac:dyDescent="0.25">
      <c r="A48" s="29"/>
      <c r="B48" s="11" t="str">
        <f>CONCATENATE("          ", "6336", " - ", "PROFESSIONAL SERVICES")</f>
        <v xml:space="preserve">          6336 - PROFESSIONAL SERVICES</v>
      </c>
      <c r="C48" s="11"/>
      <c r="D48" s="7">
        <v>5000</v>
      </c>
      <c r="E48" s="2"/>
      <c r="F48" s="6">
        <f t="shared" si="16"/>
        <v>0</v>
      </c>
      <c r="G48" s="2"/>
      <c r="H48" s="7">
        <v>5000</v>
      </c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5000</v>
      </c>
      <c r="Q48" s="2"/>
      <c r="R48" s="6">
        <f t="shared" si="20"/>
        <v>0</v>
      </c>
      <c r="S48" s="2"/>
      <c r="T48" s="7">
        <v>5000</v>
      </c>
      <c r="U48" s="2"/>
      <c r="V48" s="6">
        <f t="shared" si="21"/>
        <v>0</v>
      </c>
      <c r="W48" s="2"/>
      <c r="X48" s="7">
        <f t="shared" si="22"/>
        <v>0</v>
      </c>
      <c r="Y48" s="2"/>
      <c r="Z48" s="6">
        <f t="shared" si="23"/>
        <v>0</v>
      </c>
    </row>
    <row r="49" spans="1:26" s="28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SUM(OSRRefD22_10x_0)</f>
        <v>5027.62</v>
      </c>
      <c r="E49" s="1"/>
      <c r="F49" s="5">
        <f t="shared" ref="F49:F51" si="24">IF(D$12=0,0,D49/D$12)</f>
        <v>0</v>
      </c>
      <c r="G49" s="1"/>
      <c r="H49" s="1">
        <f>SUM(OSRRefH22_10x_0)</f>
        <v>2403.39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2624.23</v>
      </c>
      <c r="M49" s="1"/>
      <c r="N49" s="5">
        <f t="shared" ref="N49:N51" si="27">IF(H49=0,0,L49/H49)</f>
        <v>1.091886876453676</v>
      </c>
      <c r="O49" s="14"/>
      <c r="P49" s="1">
        <f>SUM(OSRRefP22_10x_0)</f>
        <v>5027.62</v>
      </c>
      <c r="Q49" s="1"/>
      <c r="R49" s="5">
        <f t="shared" ref="R49:R51" si="28">IF(P$12=0,0,P49/P$12)</f>
        <v>0</v>
      </c>
      <c r="S49" s="1"/>
      <c r="T49" s="1">
        <f>SUM(OSRRefT22_10x_0)</f>
        <v>2403.39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2624.23</v>
      </c>
      <c r="Y49" s="1"/>
      <c r="Z49" s="5">
        <f t="shared" ref="Z49:Z51" si="31">IF(T49=0,0,X49/T49)</f>
        <v>1.091886876453676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7">
        <v>4939.87</v>
      </c>
      <c r="E50" s="2"/>
      <c r="F50" s="6">
        <f t="shared" si="24"/>
        <v>0</v>
      </c>
      <c r="G50" s="2"/>
      <c r="H50" s="7">
        <v>2403.39</v>
      </c>
      <c r="I50" s="2"/>
      <c r="J50" s="6">
        <f t="shared" si="25"/>
        <v>0</v>
      </c>
      <c r="K50" s="2"/>
      <c r="L50" s="7">
        <f t="shared" si="26"/>
        <v>2536.48</v>
      </c>
      <c r="M50" s="2"/>
      <c r="N50" s="6">
        <f t="shared" si="27"/>
        <v>1.0553759481399192</v>
      </c>
      <c r="O50" s="11"/>
      <c r="P50" s="7">
        <v>4939.87</v>
      </c>
      <c r="Q50" s="2"/>
      <c r="R50" s="6">
        <f t="shared" si="28"/>
        <v>0</v>
      </c>
      <c r="S50" s="2"/>
      <c r="T50" s="7">
        <v>2403.39</v>
      </c>
      <c r="U50" s="2"/>
      <c r="V50" s="6">
        <f t="shared" si="29"/>
        <v>0</v>
      </c>
      <c r="W50" s="2"/>
      <c r="X50" s="7">
        <f t="shared" si="30"/>
        <v>2536.48</v>
      </c>
      <c r="Y50" s="2"/>
      <c r="Z50" s="6">
        <f t="shared" si="31"/>
        <v>1.0553759481399192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87.75</v>
      </c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87.75</v>
      </c>
      <c r="M51" s="2"/>
      <c r="N51" s="6">
        <f t="shared" si="27"/>
        <v>0</v>
      </c>
      <c r="O51" s="11"/>
      <c r="P51" s="7">
        <v>87.75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87.75</v>
      </c>
      <c r="Y51" s="2"/>
      <c r="Z51" s="6">
        <f t="shared" si="31"/>
        <v>0</v>
      </c>
    </row>
    <row r="52" spans="1:26" s="28" customFormat="1" outlineLevel="1" collapsed="1" x14ac:dyDescent="0.25">
      <c r="A52" s="27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SUM(OSRRefD22_11x_0)</f>
        <v>1000</v>
      </c>
      <c r="E52" s="1"/>
      <c r="F52" s="5">
        <f t="shared" ref="F52:F56" si="32">IF(D$12=0,0,D52/D$12)</f>
        <v>0</v>
      </c>
      <c r="G52" s="1"/>
      <c r="H52" s="1">
        <f>SUM(OSRRefH22_11x_0)</f>
        <v>0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1000</v>
      </c>
      <c r="M52" s="1"/>
      <c r="N52" s="5">
        <f t="shared" ref="N52:N56" si="35">IF(H52=0,0,L52/H52)</f>
        <v>0</v>
      </c>
      <c r="O52" s="14"/>
      <c r="P52" s="1">
        <f>SUM(OSRRefP22_11x_0)</f>
        <v>1000</v>
      </c>
      <c r="Q52" s="1"/>
      <c r="R52" s="5">
        <f t="shared" ref="R52:R56" si="36">IF(P$12=0,0,P52/P$12)</f>
        <v>0</v>
      </c>
      <c r="S52" s="1"/>
      <c r="T52" s="1">
        <f>SUM(OSRRefT22_11x_0)</f>
        <v>0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1000</v>
      </c>
      <c r="Y52" s="1"/>
      <c r="Z52" s="5">
        <f t="shared" ref="Z52:Z56" si="39">IF(T52=0,0,X52/T52)</f>
        <v>0</v>
      </c>
    </row>
    <row r="53" spans="1:26" s="24" customFormat="1" hidden="1" outlineLevel="2" x14ac:dyDescent="0.25">
      <c r="A53" s="29"/>
      <c r="B53" s="11" t="str">
        <f>CONCATENATE("          ", "6258", " - ", "MEMBERSHIP DUES")</f>
        <v xml:space="preserve">          6258 - MEMBERSHIP DUES</v>
      </c>
      <c r="C53" s="11"/>
      <c r="D53" s="7">
        <v>1000</v>
      </c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1000</v>
      </c>
      <c r="M53" s="2"/>
      <c r="N53" s="6">
        <f t="shared" si="35"/>
        <v>0</v>
      </c>
      <c r="O53" s="11"/>
      <c r="P53" s="7">
        <v>1000</v>
      </c>
      <c r="Q53" s="2"/>
      <c r="R53" s="6">
        <f t="shared" si="36"/>
        <v>0</v>
      </c>
      <c r="S53" s="2"/>
      <c r="T53" s="7"/>
      <c r="U53" s="2"/>
      <c r="V53" s="6">
        <f t="shared" si="37"/>
        <v>0</v>
      </c>
      <c r="W53" s="2"/>
      <c r="X53" s="7">
        <f t="shared" si="38"/>
        <v>1000</v>
      </c>
      <c r="Y53" s="2"/>
      <c r="Z53" s="6">
        <f t="shared" si="39"/>
        <v>0</v>
      </c>
    </row>
    <row r="54" spans="1:26" s="28" customFormat="1" outlineLevel="1" collapsed="1" x14ac:dyDescent="0.25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SUM(OSRRefD22_12x_0)</f>
        <v>167.2</v>
      </c>
      <c r="E54" s="1"/>
      <c r="F54" s="5">
        <f t="shared" si="32"/>
        <v>0</v>
      </c>
      <c r="G54" s="1"/>
      <c r="H54" s="1">
        <f>SUM(OSRRefH22_12x_0)</f>
        <v>37.03</v>
      </c>
      <c r="I54" s="1"/>
      <c r="J54" s="5">
        <f t="shared" si="33"/>
        <v>0</v>
      </c>
      <c r="K54" s="1"/>
      <c r="L54" s="1">
        <f t="shared" si="34"/>
        <v>130.16999999999999</v>
      </c>
      <c r="M54" s="1"/>
      <c r="N54" s="5">
        <f t="shared" si="35"/>
        <v>3.5152578990008099</v>
      </c>
      <c r="O54" s="14"/>
      <c r="P54" s="1">
        <f>SUM(OSRRefP22_12x_0)</f>
        <v>167.2</v>
      </c>
      <c r="Q54" s="1"/>
      <c r="R54" s="5">
        <f t="shared" si="36"/>
        <v>0</v>
      </c>
      <c r="S54" s="1"/>
      <c r="T54" s="1">
        <f>SUM(OSRRefT22_12x_0)</f>
        <v>37.03</v>
      </c>
      <c r="U54" s="1"/>
      <c r="V54" s="5">
        <f t="shared" si="37"/>
        <v>0</v>
      </c>
      <c r="W54" s="1"/>
      <c r="X54" s="1">
        <f t="shared" si="38"/>
        <v>130.16999999999999</v>
      </c>
      <c r="Y54" s="1"/>
      <c r="Z54" s="5">
        <f t="shared" si="39"/>
        <v>3.5152578990008099</v>
      </c>
    </row>
    <row r="55" spans="1:26" s="24" customFormat="1" hidden="1" outlineLevel="2" x14ac:dyDescent="0.25">
      <c r="A55" s="29"/>
      <c r="B55" s="11" t="str">
        <f>CONCATENATE("          ", "6241", " - ", "OFFICE EXPENSE")</f>
        <v xml:space="preserve">          6241 - OFFICE EXPENSE</v>
      </c>
      <c r="C55" s="11"/>
      <c r="D55" s="7">
        <v>135.34</v>
      </c>
      <c r="E55" s="2"/>
      <c r="F55" s="6">
        <f t="shared" si="32"/>
        <v>0</v>
      </c>
      <c r="G55" s="2"/>
      <c r="H55" s="7">
        <v>5.17</v>
      </c>
      <c r="I55" s="2"/>
      <c r="J55" s="6">
        <f t="shared" si="33"/>
        <v>0</v>
      </c>
      <c r="K55" s="2"/>
      <c r="L55" s="7">
        <f t="shared" si="34"/>
        <v>130.17000000000002</v>
      </c>
      <c r="M55" s="2"/>
      <c r="N55" s="6">
        <f t="shared" si="35"/>
        <v>25.177949709864606</v>
      </c>
      <c r="O55" s="11"/>
      <c r="P55" s="7">
        <v>135.34</v>
      </c>
      <c r="Q55" s="2"/>
      <c r="R55" s="6">
        <f t="shared" si="36"/>
        <v>0</v>
      </c>
      <c r="S55" s="2"/>
      <c r="T55" s="7">
        <v>5.17</v>
      </c>
      <c r="U55" s="2"/>
      <c r="V55" s="6">
        <f t="shared" si="37"/>
        <v>0</v>
      </c>
      <c r="W55" s="2"/>
      <c r="X55" s="7">
        <f t="shared" si="38"/>
        <v>130.17000000000002</v>
      </c>
      <c r="Y55" s="2"/>
      <c r="Z55" s="6">
        <f t="shared" si="39"/>
        <v>25.177949709864606</v>
      </c>
    </row>
    <row r="56" spans="1:26" s="24" customFormat="1" hidden="1" outlineLevel="2" x14ac:dyDescent="0.25">
      <c r="A56" s="29"/>
      <c r="B56" s="11" t="str">
        <f>CONCATENATE("          ", "6245", " - ", "PRINTING")</f>
        <v xml:space="preserve">          6245 - PRINTING</v>
      </c>
      <c r="C56" s="11"/>
      <c r="D56" s="7">
        <v>31.86</v>
      </c>
      <c r="E56" s="2"/>
      <c r="F56" s="6">
        <f t="shared" si="32"/>
        <v>0</v>
      </c>
      <c r="G56" s="2"/>
      <c r="H56" s="7">
        <v>31.86</v>
      </c>
      <c r="I56" s="2"/>
      <c r="J56" s="6">
        <f t="shared" si="33"/>
        <v>0</v>
      </c>
      <c r="K56" s="2"/>
      <c r="L56" s="7">
        <f t="shared" si="34"/>
        <v>0</v>
      </c>
      <c r="M56" s="2"/>
      <c r="N56" s="6">
        <f t="shared" si="35"/>
        <v>0</v>
      </c>
      <c r="O56" s="11"/>
      <c r="P56" s="7">
        <v>31.86</v>
      </c>
      <c r="Q56" s="2"/>
      <c r="R56" s="6">
        <f t="shared" si="36"/>
        <v>0</v>
      </c>
      <c r="S56" s="2"/>
      <c r="T56" s="7">
        <v>31.86</v>
      </c>
      <c r="U56" s="2"/>
      <c r="V56" s="6">
        <f t="shared" si="37"/>
        <v>0</v>
      </c>
      <c r="W56" s="2"/>
      <c r="X56" s="7">
        <f t="shared" si="38"/>
        <v>0</v>
      </c>
      <c r="Y56" s="2"/>
      <c r="Z56" s="6">
        <f t="shared" si="39"/>
        <v>0</v>
      </c>
    </row>
    <row r="57" spans="1:26" s="28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SUM(OSRRefD22_13x_0)</f>
        <v>140.68</v>
      </c>
      <c r="E57" s="1"/>
      <c r="F57" s="5">
        <f t="shared" ref="F57:F61" si="40">IF(D$12=0,0,D57/D$12)</f>
        <v>0</v>
      </c>
      <c r="G57" s="1"/>
      <c r="H57" s="1">
        <f>SUM(OSRRefH22_13x_0)</f>
        <v>105.55</v>
      </c>
      <c r="I57" s="1"/>
      <c r="J57" s="5">
        <f t="shared" ref="J57:J61" si="41">IF(H$12=0,0,H57/H$12)</f>
        <v>0</v>
      </c>
      <c r="K57" s="1"/>
      <c r="L57" s="1">
        <f t="shared" ref="L57:L61" si="42">+D57-H57</f>
        <v>35.13000000000001</v>
      </c>
      <c r="M57" s="1"/>
      <c r="N57" s="5">
        <f t="shared" ref="N57:N61" si="43">IF(H57=0,0,L57/H57)</f>
        <v>0.33282804358124124</v>
      </c>
      <c r="O57" s="14"/>
      <c r="P57" s="1">
        <f>SUM(OSRRefP22_13x_0)</f>
        <v>140.68</v>
      </c>
      <c r="Q57" s="1"/>
      <c r="R57" s="5">
        <f t="shared" ref="R57:R61" si="44">IF(P$12=0,0,P57/P$12)</f>
        <v>0</v>
      </c>
      <c r="S57" s="1"/>
      <c r="T57" s="1">
        <f>SUM(OSRRefT22_13x_0)</f>
        <v>105.55</v>
      </c>
      <c r="U57" s="1"/>
      <c r="V57" s="5">
        <f t="shared" ref="V57:V61" si="45">IF(T$12=0,0,T57/T$12)</f>
        <v>0</v>
      </c>
      <c r="W57" s="1"/>
      <c r="X57" s="1">
        <f t="shared" ref="X57:X61" si="46">+P57-T57</f>
        <v>35.13000000000001</v>
      </c>
      <c r="Y57" s="1"/>
      <c r="Z57" s="5">
        <f t="shared" ref="Z57:Z61" si="47">IF(T57=0,0,X57/T57)</f>
        <v>0.33282804358124124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7">
        <v>140.68</v>
      </c>
      <c r="E58" s="2"/>
      <c r="F58" s="6">
        <f t="shared" si="40"/>
        <v>0</v>
      </c>
      <c r="G58" s="2"/>
      <c r="H58" s="7">
        <v>105.55</v>
      </c>
      <c r="I58" s="2"/>
      <c r="J58" s="6">
        <f t="shared" si="41"/>
        <v>0</v>
      </c>
      <c r="K58" s="2"/>
      <c r="L58" s="7">
        <f t="shared" si="42"/>
        <v>35.13000000000001</v>
      </c>
      <c r="M58" s="2"/>
      <c r="N58" s="6">
        <f t="shared" si="43"/>
        <v>0.33282804358124124</v>
      </c>
      <c r="O58" s="11"/>
      <c r="P58" s="7">
        <v>140.68</v>
      </c>
      <c r="Q58" s="2"/>
      <c r="R58" s="6">
        <f t="shared" si="44"/>
        <v>0</v>
      </c>
      <c r="S58" s="2"/>
      <c r="T58" s="7">
        <v>105.55</v>
      </c>
      <c r="U58" s="2"/>
      <c r="V58" s="6">
        <f t="shared" si="45"/>
        <v>0</v>
      </c>
      <c r="W58" s="2"/>
      <c r="X58" s="7">
        <f t="shared" si="46"/>
        <v>35.13000000000001</v>
      </c>
      <c r="Y58" s="2"/>
      <c r="Z58" s="6">
        <f t="shared" si="47"/>
        <v>0.33282804358124124</v>
      </c>
    </row>
    <row r="59" spans="1:26" s="28" customFormat="1" outlineLevel="1" collapsed="1" x14ac:dyDescent="0.25">
      <c r="A59" s="27"/>
      <c r="B59" s="14" t="str">
        <f>CONCATENATE("     ","Travel                                            ")</f>
        <v xml:space="preserve">     Travel                                            </v>
      </c>
      <c r="C59" s="14"/>
      <c r="D59" s="1">
        <f>SUM(OSRRefD22_14x_0)</f>
        <v>320.83999999999997</v>
      </c>
      <c r="E59" s="1"/>
      <c r="F59" s="5">
        <f t="shared" si="40"/>
        <v>0</v>
      </c>
      <c r="G59" s="1"/>
      <c r="H59" s="1">
        <f>SUM(OSRRefH22_14x_0)</f>
        <v>220.79</v>
      </c>
      <c r="I59" s="1"/>
      <c r="J59" s="5">
        <f t="shared" si="41"/>
        <v>0</v>
      </c>
      <c r="K59" s="1"/>
      <c r="L59" s="1">
        <f t="shared" si="42"/>
        <v>100.04999999999998</v>
      </c>
      <c r="M59" s="1"/>
      <c r="N59" s="5">
        <f t="shared" si="43"/>
        <v>0.45314552289505861</v>
      </c>
      <c r="O59" s="14"/>
      <c r="P59" s="1">
        <f>SUM(OSRRefP22_14x_0)</f>
        <v>320.83999999999997</v>
      </c>
      <c r="Q59" s="1"/>
      <c r="R59" s="5">
        <f t="shared" si="44"/>
        <v>0</v>
      </c>
      <c r="S59" s="1"/>
      <c r="T59" s="1">
        <f>SUM(OSRRefT22_14x_0)</f>
        <v>220.79</v>
      </c>
      <c r="U59" s="1"/>
      <c r="V59" s="5">
        <f t="shared" si="45"/>
        <v>0</v>
      </c>
      <c r="W59" s="1"/>
      <c r="X59" s="1">
        <f t="shared" si="46"/>
        <v>100.04999999999998</v>
      </c>
      <c r="Y59" s="1"/>
      <c r="Z59" s="5">
        <f t="shared" si="47"/>
        <v>0.45314552289505861</v>
      </c>
    </row>
    <row r="60" spans="1:26" s="24" customFormat="1" hidden="1" outlineLevel="2" x14ac:dyDescent="0.25">
      <c r="A60" s="29"/>
      <c r="B60" s="11" t="str">
        <f>CONCATENATE("          ", "6292", " - ", "TRAVEL/CONFERENCE")</f>
        <v xml:space="preserve">          6292 - TRAVEL/CONFERENCE</v>
      </c>
      <c r="C60" s="11"/>
      <c r="D60" s="7">
        <v>320.83999999999997</v>
      </c>
      <c r="E60" s="2"/>
      <c r="F60" s="6">
        <f t="shared" si="40"/>
        <v>0</v>
      </c>
      <c r="G60" s="2"/>
      <c r="H60" s="7">
        <v>197.03</v>
      </c>
      <c r="I60" s="2"/>
      <c r="J60" s="6">
        <f t="shared" si="41"/>
        <v>0</v>
      </c>
      <c r="K60" s="2"/>
      <c r="L60" s="7">
        <f t="shared" si="42"/>
        <v>123.80999999999997</v>
      </c>
      <c r="M60" s="2"/>
      <c r="N60" s="6">
        <f t="shared" si="43"/>
        <v>0.62838146475156054</v>
      </c>
      <c r="O60" s="11"/>
      <c r="P60" s="7">
        <v>320.83999999999997</v>
      </c>
      <c r="Q60" s="2"/>
      <c r="R60" s="6">
        <f t="shared" si="44"/>
        <v>0</v>
      </c>
      <c r="S60" s="2"/>
      <c r="T60" s="7">
        <v>197.03</v>
      </c>
      <c r="U60" s="2"/>
      <c r="V60" s="6">
        <f t="shared" si="45"/>
        <v>0</v>
      </c>
      <c r="W60" s="2"/>
      <c r="X60" s="7">
        <f t="shared" si="46"/>
        <v>123.80999999999997</v>
      </c>
      <c r="Y60" s="2"/>
      <c r="Z60" s="6">
        <f t="shared" si="47"/>
        <v>0.62838146475156054</v>
      </c>
    </row>
    <row r="61" spans="1:26" s="24" customFormat="1" hidden="1" outlineLevel="2" x14ac:dyDescent="0.25">
      <c r="A61" s="29"/>
      <c r="B61" s="11" t="str">
        <f>CONCATENATE("          ", "6294", " - ", "TRAVEL OPERATIONAL")</f>
        <v xml:space="preserve">          6294 - TRAVEL OPERATIONAL</v>
      </c>
      <c r="C61" s="11"/>
      <c r="D61" s="7"/>
      <c r="E61" s="2"/>
      <c r="F61" s="6">
        <f t="shared" si="40"/>
        <v>0</v>
      </c>
      <c r="G61" s="2"/>
      <c r="H61" s="7">
        <v>23.76</v>
      </c>
      <c r="I61" s="2"/>
      <c r="J61" s="6">
        <f t="shared" si="41"/>
        <v>0</v>
      </c>
      <c r="K61" s="2"/>
      <c r="L61" s="7">
        <f t="shared" si="42"/>
        <v>-23.76</v>
      </c>
      <c r="M61" s="2"/>
      <c r="N61" s="6">
        <f t="shared" si="43"/>
        <v>-1</v>
      </c>
      <c r="O61" s="11"/>
      <c r="P61" s="7"/>
      <c r="Q61" s="2"/>
      <c r="R61" s="6">
        <f t="shared" si="44"/>
        <v>0</v>
      </c>
      <c r="S61" s="2"/>
      <c r="T61" s="7">
        <v>23.76</v>
      </c>
      <c r="U61" s="2"/>
      <c r="V61" s="6">
        <f t="shared" si="45"/>
        <v>0</v>
      </c>
      <c r="W61" s="2"/>
      <c r="X61" s="7">
        <f t="shared" si="46"/>
        <v>-23.76</v>
      </c>
      <c r="Y61" s="2"/>
      <c r="Z61" s="6">
        <f t="shared" si="47"/>
        <v>-1</v>
      </c>
    </row>
    <row r="62" spans="1:26" s="54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5" t="s">
        <v>3</v>
      </c>
      <c r="C65" s="25"/>
      <c r="D65" s="21">
        <f>+D16-D18+D63</f>
        <v>-77391.169999999969</v>
      </c>
      <c r="E65" s="13"/>
      <c r="F65" s="20">
        <f>IF(D$12=0,0,D65/D$12)</f>
        <v>0</v>
      </c>
      <c r="G65" s="13"/>
      <c r="H65" s="21">
        <f>+H16-H18+H63</f>
        <v>-109711.65</v>
      </c>
      <c r="I65" s="13"/>
      <c r="J65" s="20">
        <f>IF(H$12=0,0,H65/H$12)</f>
        <v>0</v>
      </c>
      <c r="K65" s="16"/>
      <c r="L65" s="21">
        <f>+D65-H65</f>
        <v>32320.480000000025</v>
      </c>
      <c r="M65" s="16"/>
      <c r="N65" s="20">
        <f>IF(H65=0,0,L65/H65)</f>
        <v>-0.29459478551275114</v>
      </c>
      <c r="O65" s="26"/>
      <c r="P65" s="21">
        <f>+P16-P18+P63</f>
        <v>-77391.169999999969</v>
      </c>
      <c r="Q65" s="13"/>
      <c r="R65" s="20">
        <f>IF(P$12=0,0,P65/P$12)</f>
        <v>0</v>
      </c>
      <c r="S65" s="13"/>
      <c r="T65" s="21">
        <f>+T16-T18+T63</f>
        <v>-109711.65</v>
      </c>
      <c r="U65" s="13"/>
      <c r="V65" s="20">
        <f>IF(T$12=0,0,T65/T$12)</f>
        <v>0</v>
      </c>
      <c r="W65" s="16"/>
      <c r="X65" s="21">
        <f>+P65-T65</f>
        <v>32320.480000000025</v>
      </c>
      <c r="Y65" s="16"/>
      <c r="Z65" s="20">
        <f>IF(T65=0,0,X65/T65)</f>
        <v>-0.29459478551275114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4</v>
      </c>
      <c r="C69" s="25"/>
      <c r="D69" s="33">
        <f>+D65-D67</f>
        <v>-77391.169999999969</v>
      </c>
      <c r="E69" s="13"/>
      <c r="F69" s="34">
        <f>IF(D$12=0,0,D69/D$12)</f>
        <v>0</v>
      </c>
      <c r="G69" s="13"/>
      <c r="H69" s="33">
        <f>+H65-H67</f>
        <v>-109711.65</v>
      </c>
      <c r="I69" s="13"/>
      <c r="J69" s="34">
        <f>IF(H$12=0,0,H69/H$12)</f>
        <v>0</v>
      </c>
      <c r="K69" s="16"/>
      <c r="L69" s="33">
        <f>D69-H69</f>
        <v>32320.480000000025</v>
      </c>
      <c r="M69" s="16"/>
      <c r="N69" s="34">
        <f>IF(H69=0,0,L69/H69)</f>
        <v>-0.29459478551275114</v>
      </c>
      <c r="O69" s="26"/>
      <c r="P69" s="33">
        <f>+P65-P67</f>
        <v>-77391.169999999969</v>
      </c>
      <c r="Q69" s="13"/>
      <c r="R69" s="34">
        <f>IF(P$12=0,0,P69/P$12)</f>
        <v>0</v>
      </c>
      <c r="S69" s="13"/>
      <c r="T69" s="33">
        <f>+T65-T67</f>
        <v>-109711.65</v>
      </c>
      <c r="U69" s="13"/>
      <c r="V69" s="34">
        <f>IF(T$12=0,0,T69/T$12)</f>
        <v>0</v>
      </c>
      <c r="W69" s="16"/>
      <c r="X69" s="33">
        <f>P69-T69</f>
        <v>32320.480000000025</v>
      </c>
      <c r="Y69" s="16"/>
      <c r="Z69" s="34">
        <f>IF(T69=0,0,X69/T69)</f>
        <v>-0.29459478551275114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5</v>
      </c>
      <c r="C72" s="25"/>
      <c r="D72" s="31">
        <f>SUM(D69:D71)</f>
        <v>-77391.169999999969</v>
      </c>
      <c r="E72" s="13"/>
      <c r="F72" s="30">
        <f>IF(D$12=0,0,D72/D$12)</f>
        <v>0</v>
      </c>
      <c r="G72" s="13"/>
      <c r="H72" s="31">
        <f>SUM(H69:H71)</f>
        <v>-109711.65</v>
      </c>
      <c r="I72" s="13"/>
      <c r="J72" s="30">
        <f>IF(H$12=0,0,H72/H$12)</f>
        <v>0</v>
      </c>
      <c r="K72" s="16"/>
      <c r="L72" s="31">
        <f>+D72-H72</f>
        <v>32320.480000000025</v>
      </c>
      <c r="M72" s="16"/>
      <c r="N72" s="30">
        <f>IF(H72=0,0,L72/H72)</f>
        <v>-0.29459478551275114</v>
      </c>
      <c r="O72" s="26"/>
      <c r="P72" s="31">
        <f>SUM(P69:P71)</f>
        <v>-77391.169999999969</v>
      </c>
      <c r="Q72" s="13"/>
      <c r="R72" s="30">
        <f>IF(P$12=0,0,P72/P$12)</f>
        <v>0</v>
      </c>
      <c r="S72" s="13"/>
      <c r="T72" s="31">
        <f>SUM(T69:T71)</f>
        <v>-109711.65</v>
      </c>
      <c r="U72" s="13"/>
      <c r="V72" s="30">
        <f>IF(T$12=0,0,T72/T$12)</f>
        <v>0</v>
      </c>
      <c r="W72" s="16"/>
      <c r="X72" s="31">
        <f>+P72-T72</f>
        <v>32320.480000000025</v>
      </c>
      <c r="Y72" s="16"/>
      <c r="Z72" s="30">
        <f>IF(T72=0,0,X72/T72)</f>
        <v>-0.29459478551275114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6">
        <v>43726.6816215625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3" t="s">
        <v>313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55287.26</v>
      </c>
      <c r="E18" s="19"/>
      <c r="F18" s="35">
        <f t="shared" ref="F18:F27" si="0">IF(D$12=0,0,D18/D$12)</f>
        <v>0</v>
      </c>
      <c r="G18" s="19"/>
      <c r="H18" s="19">
        <f>SUM(OSRRefH22x_0)</f>
        <v>50775.790000000015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4511.4699999999866</v>
      </c>
      <c r="M18" s="4"/>
      <c r="N18" s="35">
        <f t="shared" ref="N18:N27" si="3">IF(H18=0,0,L18/H18)</f>
        <v>8.8850808623558306E-2</v>
      </c>
      <c r="O18" s="10"/>
      <c r="P18" s="19">
        <f>SUM(OSRRefP22x_0)</f>
        <v>55287.26</v>
      </c>
      <c r="Q18" s="19"/>
      <c r="R18" s="35">
        <f t="shared" ref="R18:R27" si="4">IF(P$12=0,0,P18/P$12)</f>
        <v>0</v>
      </c>
      <c r="S18" s="19"/>
      <c r="T18" s="19">
        <f>SUM(OSRRefT22x_0)</f>
        <v>50775.790000000015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4511.4699999999866</v>
      </c>
      <c r="Y18" s="4"/>
      <c r="Z18" s="35">
        <f t="shared" ref="Z18:Z27" si="7">IF(T18=0,0,X18/T18)</f>
        <v>8.8850808623558306E-2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17830.54</v>
      </c>
      <c r="E19" s="1"/>
      <c r="F19" s="5">
        <f t="shared" si="0"/>
        <v>0</v>
      </c>
      <c r="G19" s="1"/>
      <c r="H19" s="1">
        <f>SUM(OSRRefH22_0x_0)</f>
        <v>14204.28</v>
      </c>
      <c r="I19" s="1"/>
      <c r="J19" s="5">
        <f t="shared" si="1"/>
        <v>0</v>
      </c>
      <c r="K19" s="1"/>
      <c r="L19" s="1">
        <f t="shared" si="2"/>
        <v>3626.26</v>
      </c>
      <c r="M19" s="1"/>
      <c r="N19" s="5">
        <f t="shared" si="3"/>
        <v>0.25529347492445942</v>
      </c>
      <c r="O19" s="14"/>
      <c r="P19" s="1">
        <f>SUM(OSRRefP22_0x_0)</f>
        <v>17830.54</v>
      </c>
      <c r="Q19" s="1"/>
      <c r="R19" s="5">
        <f t="shared" si="4"/>
        <v>0</v>
      </c>
      <c r="S19" s="1"/>
      <c r="T19" s="1">
        <f>SUM(OSRRefT22_0x_0)</f>
        <v>14204.28</v>
      </c>
      <c r="U19" s="1"/>
      <c r="V19" s="5">
        <f t="shared" si="5"/>
        <v>0</v>
      </c>
      <c r="W19" s="1"/>
      <c r="X19" s="1">
        <f t="shared" si="6"/>
        <v>3626.26</v>
      </c>
      <c r="Y19" s="1"/>
      <c r="Z19" s="5">
        <f t="shared" si="7"/>
        <v>0.25529347492445942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2161.67</v>
      </c>
      <c r="E20" s="2"/>
      <c r="F20" s="6">
        <f t="shared" si="0"/>
        <v>0</v>
      </c>
      <c r="G20" s="2"/>
      <c r="H20" s="7">
        <v>2010.79</v>
      </c>
      <c r="I20" s="2"/>
      <c r="J20" s="6">
        <f t="shared" si="1"/>
        <v>0</v>
      </c>
      <c r="K20" s="2"/>
      <c r="L20" s="7">
        <f t="shared" si="2"/>
        <v>150.88000000000011</v>
      </c>
      <c r="M20" s="2"/>
      <c r="N20" s="6">
        <f t="shared" si="3"/>
        <v>7.5035185175975669E-2</v>
      </c>
      <c r="O20" s="11"/>
      <c r="P20" s="7">
        <v>2161.67</v>
      </c>
      <c r="Q20" s="2"/>
      <c r="R20" s="6">
        <f t="shared" si="4"/>
        <v>0</v>
      </c>
      <c r="S20" s="2"/>
      <c r="T20" s="7">
        <v>2010.79</v>
      </c>
      <c r="U20" s="2"/>
      <c r="V20" s="6">
        <f t="shared" si="5"/>
        <v>0</v>
      </c>
      <c r="W20" s="2"/>
      <c r="X20" s="7">
        <f t="shared" si="6"/>
        <v>150.88000000000011</v>
      </c>
      <c r="Y20" s="2"/>
      <c r="Z20" s="6">
        <f t="shared" si="7"/>
        <v>7.5035185175975669E-2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96.59</v>
      </c>
      <c r="E21" s="2"/>
      <c r="F21" s="6">
        <f t="shared" si="0"/>
        <v>0</v>
      </c>
      <c r="G21" s="2"/>
      <c r="H21" s="7">
        <v>123.49</v>
      </c>
      <c r="I21" s="2"/>
      <c r="J21" s="6">
        <f t="shared" si="1"/>
        <v>0</v>
      </c>
      <c r="K21" s="2"/>
      <c r="L21" s="7">
        <f t="shared" si="2"/>
        <v>-26.899999999999991</v>
      </c>
      <c r="M21" s="2"/>
      <c r="N21" s="6">
        <f t="shared" si="3"/>
        <v>-0.21783140335249812</v>
      </c>
      <c r="O21" s="11"/>
      <c r="P21" s="7">
        <v>96.59</v>
      </c>
      <c r="Q21" s="2"/>
      <c r="R21" s="6">
        <f t="shared" si="4"/>
        <v>0</v>
      </c>
      <c r="S21" s="2"/>
      <c r="T21" s="7">
        <v>123.49</v>
      </c>
      <c r="U21" s="2"/>
      <c r="V21" s="6">
        <f t="shared" si="5"/>
        <v>0</v>
      </c>
      <c r="W21" s="2"/>
      <c r="X21" s="7">
        <f t="shared" si="6"/>
        <v>-26.899999999999991</v>
      </c>
      <c r="Y21" s="2"/>
      <c r="Z21" s="6">
        <f t="shared" si="7"/>
        <v>-0.21783140335249812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5942.02</v>
      </c>
      <c r="E22" s="2"/>
      <c r="F22" s="6">
        <f t="shared" si="0"/>
        <v>0</v>
      </c>
      <c r="G22" s="2"/>
      <c r="H22" s="7">
        <v>2599.9</v>
      </c>
      <c r="I22" s="2"/>
      <c r="J22" s="6">
        <f t="shared" si="1"/>
        <v>0</v>
      </c>
      <c r="K22" s="2"/>
      <c r="L22" s="7">
        <f t="shared" si="2"/>
        <v>3342.1200000000003</v>
      </c>
      <c r="M22" s="2"/>
      <c r="N22" s="6">
        <f t="shared" si="3"/>
        <v>1.2854802107773378</v>
      </c>
      <c r="O22" s="11"/>
      <c r="P22" s="7">
        <v>5942.02</v>
      </c>
      <c r="Q22" s="2"/>
      <c r="R22" s="6">
        <f t="shared" si="4"/>
        <v>0</v>
      </c>
      <c r="S22" s="2"/>
      <c r="T22" s="7">
        <v>2599.9</v>
      </c>
      <c r="U22" s="2"/>
      <c r="V22" s="6">
        <f t="shared" si="5"/>
        <v>0</v>
      </c>
      <c r="W22" s="2"/>
      <c r="X22" s="7">
        <f t="shared" si="6"/>
        <v>3342.1200000000003</v>
      </c>
      <c r="Y22" s="2"/>
      <c r="Z22" s="6">
        <f t="shared" si="7"/>
        <v>1.2854802107773378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73.86</v>
      </c>
      <c r="E23" s="2"/>
      <c r="F23" s="6">
        <f t="shared" si="0"/>
        <v>0</v>
      </c>
      <c r="G23" s="2"/>
      <c r="H23" s="7">
        <v>103.57</v>
      </c>
      <c r="I23" s="2"/>
      <c r="J23" s="6">
        <f t="shared" si="1"/>
        <v>0</v>
      </c>
      <c r="K23" s="2"/>
      <c r="L23" s="7">
        <f t="shared" si="2"/>
        <v>-29.709999999999994</v>
      </c>
      <c r="M23" s="2"/>
      <c r="N23" s="6">
        <f t="shared" si="3"/>
        <v>-0.28685912909143568</v>
      </c>
      <c r="O23" s="11"/>
      <c r="P23" s="7">
        <v>73.86</v>
      </c>
      <c r="Q23" s="2"/>
      <c r="R23" s="6">
        <f t="shared" si="4"/>
        <v>0</v>
      </c>
      <c r="S23" s="2"/>
      <c r="T23" s="7">
        <v>103.57</v>
      </c>
      <c r="U23" s="2"/>
      <c r="V23" s="6">
        <f t="shared" si="5"/>
        <v>0</v>
      </c>
      <c r="W23" s="2"/>
      <c r="X23" s="7">
        <f t="shared" si="6"/>
        <v>-29.709999999999994</v>
      </c>
      <c r="Y23" s="2"/>
      <c r="Z23" s="6">
        <f t="shared" si="7"/>
        <v>-0.28685912909143568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2196.79</v>
      </c>
      <c r="E24" s="2"/>
      <c r="F24" s="6">
        <f t="shared" si="0"/>
        <v>0</v>
      </c>
      <c r="G24" s="2"/>
      <c r="H24" s="7">
        <v>2806.62</v>
      </c>
      <c r="I24" s="2"/>
      <c r="J24" s="6">
        <f t="shared" si="1"/>
        <v>0</v>
      </c>
      <c r="K24" s="2"/>
      <c r="L24" s="7">
        <f t="shared" si="2"/>
        <v>-609.82999999999993</v>
      </c>
      <c r="M24" s="2"/>
      <c r="N24" s="6">
        <f t="shared" si="3"/>
        <v>-0.21728271016382694</v>
      </c>
      <c r="O24" s="11"/>
      <c r="P24" s="7">
        <v>2196.79</v>
      </c>
      <c r="Q24" s="2"/>
      <c r="R24" s="6">
        <f t="shared" si="4"/>
        <v>0</v>
      </c>
      <c r="S24" s="2"/>
      <c r="T24" s="7">
        <v>2806.62</v>
      </c>
      <c r="U24" s="2"/>
      <c r="V24" s="6">
        <f t="shared" si="5"/>
        <v>0</v>
      </c>
      <c r="W24" s="2"/>
      <c r="X24" s="7">
        <f t="shared" si="6"/>
        <v>-609.82999999999993</v>
      </c>
      <c r="Y24" s="2"/>
      <c r="Z24" s="6">
        <f t="shared" si="7"/>
        <v>-0.21728271016382694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2741.18</v>
      </c>
      <c r="E25" s="2"/>
      <c r="F25" s="6">
        <f t="shared" si="0"/>
        <v>0</v>
      </c>
      <c r="G25" s="2"/>
      <c r="H25" s="7">
        <v>2496.23</v>
      </c>
      <c r="I25" s="2"/>
      <c r="J25" s="6">
        <f t="shared" si="1"/>
        <v>0</v>
      </c>
      <c r="K25" s="2"/>
      <c r="L25" s="7">
        <f t="shared" si="2"/>
        <v>244.94999999999982</v>
      </c>
      <c r="M25" s="2"/>
      <c r="N25" s="6">
        <f t="shared" si="3"/>
        <v>9.8127976989299787E-2</v>
      </c>
      <c r="O25" s="11"/>
      <c r="P25" s="7">
        <v>2741.18</v>
      </c>
      <c r="Q25" s="2"/>
      <c r="R25" s="6">
        <f t="shared" si="4"/>
        <v>0</v>
      </c>
      <c r="S25" s="2"/>
      <c r="T25" s="7">
        <v>2496.23</v>
      </c>
      <c r="U25" s="2"/>
      <c r="V25" s="6">
        <f t="shared" si="5"/>
        <v>0</v>
      </c>
      <c r="W25" s="2"/>
      <c r="X25" s="7">
        <f t="shared" si="6"/>
        <v>244.94999999999982</v>
      </c>
      <c r="Y25" s="2"/>
      <c r="Z25" s="6">
        <f t="shared" si="7"/>
        <v>9.8127976989299787E-2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3934.91</v>
      </c>
      <c r="E26" s="2"/>
      <c r="F26" s="6">
        <f t="shared" si="0"/>
        <v>0</v>
      </c>
      <c r="G26" s="2"/>
      <c r="H26" s="7">
        <v>3329.16</v>
      </c>
      <c r="I26" s="2"/>
      <c r="J26" s="6">
        <f t="shared" si="1"/>
        <v>0</v>
      </c>
      <c r="K26" s="2"/>
      <c r="L26" s="7">
        <f t="shared" si="2"/>
        <v>605.75</v>
      </c>
      <c r="M26" s="2"/>
      <c r="N26" s="6">
        <f t="shared" si="3"/>
        <v>0.1819528049117495</v>
      </c>
      <c r="O26" s="11"/>
      <c r="P26" s="7">
        <v>3934.91</v>
      </c>
      <c r="Q26" s="2"/>
      <c r="R26" s="6">
        <f t="shared" si="4"/>
        <v>0</v>
      </c>
      <c r="S26" s="2"/>
      <c r="T26" s="7">
        <v>3329.16</v>
      </c>
      <c r="U26" s="2"/>
      <c r="V26" s="6">
        <f t="shared" si="5"/>
        <v>0</v>
      </c>
      <c r="W26" s="2"/>
      <c r="X26" s="7">
        <f t="shared" si="6"/>
        <v>605.75</v>
      </c>
      <c r="Y26" s="2"/>
      <c r="Z26" s="6">
        <f t="shared" si="7"/>
        <v>0.1819528049117495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683.52</v>
      </c>
      <c r="E27" s="2"/>
      <c r="F27" s="6">
        <f t="shared" si="0"/>
        <v>0</v>
      </c>
      <c r="G27" s="2"/>
      <c r="H27" s="7">
        <v>734.52</v>
      </c>
      <c r="I27" s="2"/>
      <c r="J27" s="6">
        <f t="shared" si="1"/>
        <v>0</v>
      </c>
      <c r="K27" s="2"/>
      <c r="L27" s="7">
        <f t="shared" si="2"/>
        <v>-51</v>
      </c>
      <c r="M27" s="2"/>
      <c r="N27" s="6">
        <f t="shared" si="3"/>
        <v>-6.9433099166802806E-2</v>
      </c>
      <c r="O27" s="11"/>
      <c r="P27" s="7">
        <v>683.52</v>
      </c>
      <c r="Q27" s="2"/>
      <c r="R27" s="6">
        <f t="shared" si="4"/>
        <v>0</v>
      </c>
      <c r="S27" s="2"/>
      <c r="T27" s="7">
        <v>734.52</v>
      </c>
      <c r="U27" s="2"/>
      <c r="V27" s="6">
        <f t="shared" si="5"/>
        <v>0</v>
      </c>
      <c r="W27" s="2"/>
      <c r="X27" s="7">
        <f t="shared" si="6"/>
        <v>-51</v>
      </c>
      <c r="Y27" s="2"/>
      <c r="Z27" s="6">
        <f t="shared" si="7"/>
        <v>-6.9433099166802806E-2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33760.5</v>
      </c>
      <c r="E28" s="1"/>
      <c r="F28" s="5">
        <f t="shared" ref="F28:F32" si="8">IF(D$12=0,0,D28/D$12)</f>
        <v>0</v>
      </c>
      <c r="G28" s="1"/>
      <c r="H28" s="1">
        <f>SUM(OSRRefH22_1x_0)</f>
        <v>31195.81</v>
      </c>
      <c r="I28" s="1"/>
      <c r="J28" s="5">
        <f t="shared" ref="J28:J32" si="9">IF(H$12=0,0,H28/H$12)</f>
        <v>0</v>
      </c>
      <c r="K28" s="1"/>
      <c r="L28" s="1">
        <f t="shared" ref="L28:L32" si="10">+D28-H28</f>
        <v>2564.6899999999987</v>
      </c>
      <c r="M28" s="1"/>
      <c r="N28" s="5">
        <f t="shared" ref="N28:N32" si="11">IF(H28=0,0,L28/H28)</f>
        <v>8.2212643300494478E-2</v>
      </c>
      <c r="O28" s="14"/>
      <c r="P28" s="1">
        <f>SUM(OSRRefP22_1x_0)</f>
        <v>33760.5</v>
      </c>
      <c r="Q28" s="1"/>
      <c r="R28" s="5">
        <f t="shared" ref="R28:R32" si="12">IF(P$12=0,0,P28/P$12)</f>
        <v>0</v>
      </c>
      <c r="S28" s="1"/>
      <c r="T28" s="1">
        <f>SUM(OSRRefT22_1x_0)</f>
        <v>31195.81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2564.6899999999987</v>
      </c>
      <c r="Y28" s="1"/>
      <c r="Z28" s="5">
        <f t="shared" ref="Z28:Z32" si="15">IF(T28=0,0,X28/T28)</f>
        <v>8.2212643300494478E-2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29175.53</v>
      </c>
      <c r="E29" s="2"/>
      <c r="F29" s="6">
        <f t="shared" si="8"/>
        <v>0</v>
      </c>
      <c r="G29" s="2"/>
      <c r="H29" s="7">
        <v>26427.670000000002</v>
      </c>
      <c r="I29" s="2"/>
      <c r="J29" s="6">
        <f t="shared" si="9"/>
        <v>0</v>
      </c>
      <c r="K29" s="2"/>
      <c r="L29" s="7">
        <f t="shared" si="10"/>
        <v>2747.8599999999969</v>
      </c>
      <c r="M29" s="2"/>
      <c r="N29" s="6">
        <f t="shared" si="11"/>
        <v>0.10397662752713337</v>
      </c>
      <c r="O29" s="11"/>
      <c r="P29" s="7">
        <v>29175.53</v>
      </c>
      <c r="Q29" s="2"/>
      <c r="R29" s="6">
        <f t="shared" si="12"/>
        <v>0</v>
      </c>
      <c r="S29" s="2"/>
      <c r="T29" s="7">
        <v>26427.670000000002</v>
      </c>
      <c r="U29" s="2"/>
      <c r="V29" s="6">
        <f t="shared" si="13"/>
        <v>0</v>
      </c>
      <c r="W29" s="2"/>
      <c r="X29" s="7">
        <f t="shared" si="14"/>
        <v>2747.8599999999969</v>
      </c>
      <c r="Y29" s="2"/>
      <c r="Z29" s="6">
        <f t="shared" si="15"/>
        <v>0.10397662752713337</v>
      </c>
    </row>
    <row r="30" spans="1:26" s="24" customFormat="1" hidden="1" outlineLevel="2" x14ac:dyDescent="0.25">
      <c r="A30" s="29"/>
      <c r="B30" s="11" t="str">
        <f>CONCATENATE("          ", "6005", " - ", "TEMPORARY WAGES-HOURLY")</f>
        <v xml:space="preserve">          6005 - TEMPORARY WAGES-HOURLY</v>
      </c>
      <c r="C30" s="11"/>
      <c r="D30" s="7">
        <v>1745.35</v>
      </c>
      <c r="E30" s="2"/>
      <c r="F30" s="6">
        <f t="shared" si="8"/>
        <v>0</v>
      </c>
      <c r="G30" s="2"/>
      <c r="H30" s="7">
        <v>1503.8</v>
      </c>
      <c r="I30" s="2"/>
      <c r="J30" s="6">
        <f t="shared" si="9"/>
        <v>0</v>
      </c>
      <c r="K30" s="2"/>
      <c r="L30" s="7">
        <f t="shared" si="10"/>
        <v>241.54999999999995</v>
      </c>
      <c r="M30" s="2"/>
      <c r="N30" s="6">
        <f t="shared" si="11"/>
        <v>0.16062641308684664</v>
      </c>
      <c r="O30" s="11"/>
      <c r="P30" s="7">
        <v>1745.35</v>
      </c>
      <c r="Q30" s="2"/>
      <c r="R30" s="6">
        <f t="shared" si="12"/>
        <v>0</v>
      </c>
      <c r="S30" s="2"/>
      <c r="T30" s="7">
        <v>1503.8</v>
      </c>
      <c r="U30" s="2"/>
      <c r="V30" s="6">
        <f t="shared" si="13"/>
        <v>0</v>
      </c>
      <c r="W30" s="2"/>
      <c r="X30" s="7">
        <f t="shared" si="14"/>
        <v>241.54999999999995</v>
      </c>
      <c r="Y30" s="2"/>
      <c r="Z30" s="6">
        <f t="shared" si="15"/>
        <v>0.16062641308684664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7">
        <v>2689.62</v>
      </c>
      <c r="E31" s="2"/>
      <c r="F31" s="6">
        <f t="shared" si="8"/>
        <v>0</v>
      </c>
      <c r="G31" s="2"/>
      <c r="H31" s="7">
        <v>3264.34</v>
      </c>
      <c r="I31" s="2"/>
      <c r="J31" s="6">
        <f t="shared" si="9"/>
        <v>0</v>
      </c>
      <c r="K31" s="2"/>
      <c r="L31" s="7">
        <f t="shared" si="10"/>
        <v>-574.72000000000025</v>
      </c>
      <c r="M31" s="2"/>
      <c r="N31" s="6">
        <f t="shared" si="11"/>
        <v>-0.17606009177965537</v>
      </c>
      <c r="O31" s="11"/>
      <c r="P31" s="7">
        <v>2689.62</v>
      </c>
      <c r="Q31" s="2"/>
      <c r="R31" s="6">
        <f t="shared" si="12"/>
        <v>0</v>
      </c>
      <c r="S31" s="2"/>
      <c r="T31" s="7">
        <v>3264.34</v>
      </c>
      <c r="U31" s="2"/>
      <c r="V31" s="6">
        <f t="shared" si="13"/>
        <v>0</v>
      </c>
      <c r="W31" s="2"/>
      <c r="X31" s="7">
        <f t="shared" si="14"/>
        <v>-574.72000000000025</v>
      </c>
      <c r="Y31" s="2"/>
      <c r="Z31" s="6">
        <f t="shared" si="15"/>
        <v>-0.17606009177965537</v>
      </c>
    </row>
    <row r="32" spans="1:26" s="24" customFormat="1" hidden="1" outlineLevel="2" x14ac:dyDescent="0.25">
      <c r="A32" s="29"/>
      <c r="B32" s="11" t="str">
        <f>CONCATENATE("          ", "6008", " - ", "STUDENT HOURLY-FICA EXEMPT")</f>
        <v xml:space="preserve">          6008 - STUDENT HOURLY-FICA EXEMPT</v>
      </c>
      <c r="C32" s="11"/>
      <c r="D32" s="7">
        <v>150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150</v>
      </c>
      <c r="M32" s="2"/>
      <c r="N32" s="6">
        <f t="shared" si="11"/>
        <v>0</v>
      </c>
      <c r="O32" s="11"/>
      <c r="P32" s="7">
        <v>150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150</v>
      </c>
      <c r="Y32" s="2"/>
      <c r="Z32" s="6">
        <f t="shared" si="15"/>
        <v>0</v>
      </c>
    </row>
    <row r="33" spans="1:26" s="28" customFormat="1" outlineLevel="1" collapsed="1" x14ac:dyDescent="0.25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1558.88</v>
      </c>
      <c r="E33" s="1"/>
      <c r="F33" s="5">
        <f t="shared" ref="F33:F52" si="16">IF(D$12=0,0,D33/D$12)</f>
        <v>0</v>
      </c>
      <c r="G33" s="1"/>
      <c r="H33" s="1">
        <f>SUM(OSRRefH22_2x_0)</f>
        <v>1558.88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0</v>
      </c>
      <c r="M33" s="1"/>
      <c r="N33" s="5">
        <f t="shared" ref="N33:N52" si="19">IF(H33=0,0,L33/H33)</f>
        <v>0</v>
      </c>
      <c r="O33" s="14"/>
      <c r="P33" s="1">
        <f>SUM(OSRRefP22_2x_0)</f>
        <v>1558.88</v>
      </c>
      <c r="Q33" s="1"/>
      <c r="R33" s="5">
        <f t="shared" ref="R33:R52" si="20">IF(P$12=0,0,P33/P$12)</f>
        <v>0</v>
      </c>
      <c r="S33" s="1"/>
      <c r="T33" s="1">
        <f>SUM(OSRRefT22_2x_0)</f>
        <v>1558.88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0</v>
      </c>
      <c r="Y33" s="1"/>
      <c r="Z33" s="5">
        <f t="shared" ref="Z33:Z52" si="23">IF(T33=0,0,X33/T33)</f>
        <v>0</v>
      </c>
    </row>
    <row r="34" spans="1:26" s="24" customFormat="1" hidden="1" outlineLevel="2" x14ac:dyDescent="0.25">
      <c r="A34" s="29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1558.88</v>
      </c>
      <c r="E34" s="2"/>
      <c r="F34" s="6">
        <f t="shared" si="16"/>
        <v>0</v>
      </c>
      <c r="G34" s="2"/>
      <c r="H34" s="7">
        <v>1558.88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1558.88</v>
      </c>
      <c r="Q34" s="2"/>
      <c r="R34" s="6">
        <f t="shared" si="20"/>
        <v>0</v>
      </c>
      <c r="S34" s="2"/>
      <c r="T34" s="7">
        <v>1558.88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8" customFormat="1" outlineLevel="1" collapsed="1" x14ac:dyDescent="0.25">
      <c r="A35" s="27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91.26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91.26</v>
      </c>
      <c r="Q35" s="1"/>
      <c r="R35" s="5">
        <f t="shared" si="20"/>
        <v>0</v>
      </c>
      <c r="S35" s="1"/>
      <c r="T35" s="1">
        <f>SUM(OSRRefT22_3x_0)</f>
        <v>91.26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"6351", " - ", "EQUIPMENT RENTAL")</f>
        <v xml:space="preserve">          6351 - EQUIPMENT RENTAL</v>
      </c>
      <c r="C36" s="11"/>
      <c r="D36" s="7">
        <v>91.26</v>
      </c>
      <c r="E36" s="2"/>
      <c r="F36" s="6">
        <f t="shared" si="16"/>
        <v>0</v>
      </c>
      <c r="G36" s="2"/>
      <c r="H36" s="7">
        <v>91.26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91.26</v>
      </c>
      <c r="Q36" s="2"/>
      <c r="R36" s="6">
        <f t="shared" si="20"/>
        <v>0</v>
      </c>
      <c r="S36" s="2"/>
      <c r="T36" s="7">
        <v>91.26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8" customFormat="1" outlineLevel="1" collapsed="1" x14ac:dyDescent="0.25">
      <c r="A37" s="27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SUM(OSRRefD22_4x_0)</f>
        <v>71</v>
      </c>
      <c r="E37" s="1"/>
      <c r="F37" s="5">
        <f t="shared" si="16"/>
        <v>0</v>
      </c>
      <c r="G37" s="1"/>
      <c r="H37" s="1">
        <f>SUM(OSRRefH22_4x_0)</f>
        <v>68.099999999999994</v>
      </c>
      <c r="I37" s="1"/>
      <c r="J37" s="5">
        <f t="shared" si="17"/>
        <v>0</v>
      </c>
      <c r="K37" s="1"/>
      <c r="L37" s="1">
        <f t="shared" si="18"/>
        <v>2.9000000000000057</v>
      </c>
      <c r="M37" s="1"/>
      <c r="N37" s="5">
        <f t="shared" si="19"/>
        <v>4.2584434654919325E-2</v>
      </c>
      <c r="O37" s="14"/>
      <c r="P37" s="1">
        <f>SUM(OSRRefP22_4x_0)</f>
        <v>71</v>
      </c>
      <c r="Q37" s="1"/>
      <c r="R37" s="5">
        <f t="shared" si="20"/>
        <v>0</v>
      </c>
      <c r="S37" s="1"/>
      <c r="T37" s="1">
        <f>SUM(OSRRefT22_4x_0)</f>
        <v>68.099999999999994</v>
      </c>
      <c r="U37" s="1"/>
      <c r="V37" s="5">
        <f t="shared" si="21"/>
        <v>0</v>
      </c>
      <c r="W37" s="1"/>
      <c r="X37" s="1">
        <f t="shared" si="22"/>
        <v>2.9000000000000057</v>
      </c>
      <c r="Y37" s="1"/>
      <c r="Z37" s="5">
        <f t="shared" si="23"/>
        <v>4.2584434654919325E-2</v>
      </c>
    </row>
    <row r="38" spans="1:26" s="24" customFormat="1" hidden="1" outlineLevel="2" x14ac:dyDescent="0.25">
      <c r="A38" s="29"/>
      <c r="B38" s="11" t="str">
        <f>CONCATENATE("          ", "6307", " - ", "POSTAGE")</f>
        <v xml:space="preserve">          6307 - POSTAGE</v>
      </c>
      <c r="C38" s="11"/>
      <c r="D38" s="7">
        <v>71</v>
      </c>
      <c r="E38" s="2"/>
      <c r="F38" s="6">
        <f t="shared" si="16"/>
        <v>0</v>
      </c>
      <c r="G38" s="2"/>
      <c r="H38" s="7">
        <v>68.099999999999994</v>
      </c>
      <c r="I38" s="2"/>
      <c r="J38" s="6">
        <f t="shared" si="17"/>
        <v>0</v>
      </c>
      <c r="K38" s="2"/>
      <c r="L38" s="7">
        <f t="shared" si="18"/>
        <v>2.9000000000000057</v>
      </c>
      <c r="M38" s="2"/>
      <c r="N38" s="6">
        <f t="shared" si="19"/>
        <v>4.2584434654919325E-2</v>
      </c>
      <c r="O38" s="11"/>
      <c r="P38" s="7">
        <v>71</v>
      </c>
      <c r="Q38" s="2"/>
      <c r="R38" s="6">
        <f t="shared" si="20"/>
        <v>0</v>
      </c>
      <c r="S38" s="2"/>
      <c r="T38" s="7">
        <v>68.099999999999994</v>
      </c>
      <c r="U38" s="2"/>
      <c r="V38" s="6">
        <f t="shared" si="21"/>
        <v>0</v>
      </c>
      <c r="W38" s="2"/>
      <c r="X38" s="7">
        <f t="shared" si="22"/>
        <v>2.9000000000000057</v>
      </c>
      <c r="Y38" s="2"/>
      <c r="Z38" s="6">
        <f t="shared" si="23"/>
        <v>4.2584434654919325E-2</v>
      </c>
    </row>
    <row r="39" spans="1:26" s="28" customFormat="1" outlineLevel="1" collapsed="1" x14ac:dyDescent="0.25">
      <c r="A39" s="27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132.16999999999999</v>
      </c>
      <c r="E39" s="1"/>
      <c r="F39" s="5">
        <f t="shared" si="16"/>
        <v>0</v>
      </c>
      <c r="G39" s="1"/>
      <c r="H39" s="1">
        <f>SUM(OSRRefH22_5x_0)</f>
        <v>124.52</v>
      </c>
      <c r="I39" s="1"/>
      <c r="J39" s="5">
        <f t="shared" si="17"/>
        <v>0</v>
      </c>
      <c r="K39" s="1"/>
      <c r="L39" s="1">
        <f t="shared" si="18"/>
        <v>7.6499999999999915</v>
      </c>
      <c r="M39" s="1"/>
      <c r="N39" s="5">
        <f t="shared" si="19"/>
        <v>6.1435913909412075E-2</v>
      </c>
      <c r="O39" s="14"/>
      <c r="P39" s="1">
        <f>SUM(OSRRefP22_5x_0)</f>
        <v>132.16999999999999</v>
      </c>
      <c r="Q39" s="1"/>
      <c r="R39" s="5">
        <f t="shared" si="20"/>
        <v>0</v>
      </c>
      <c r="S39" s="1"/>
      <c r="T39" s="1">
        <f>SUM(OSRRefT22_5x_0)</f>
        <v>124.52</v>
      </c>
      <c r="U39" s="1"/>
      <c r="V39" s="5">
        <f t="shared" si="21"/>
        <v>0</v>
      </c>
      <c r="W39" s="1"/>
      <c r="X39" s="1">
        <f t="shared" si="22"/>
        <v>7.6499999999999915</v>
      </c>
      <c r="Y39" s="1"/>
      <c r="Z39" s="5">
        <f t="shared" si="23"/>
        <v>6.1435913909412075E-2</v>
      </c>
    </row>
    <row r="40" spans="1:26" s="24" customFormat="1" hidden="1" outlineLevel="2" x14ac:dyDescent="0.25">
      <c r="A40" s="29"/>
      <c r="B40" s="11" t="str">
        <f>CONCATENATE("          ", "6314", " - ", "LIABILITY INSURANCE")</f>
        <v xml:space="preserve">          6314 - LIABILITY INSURANCE</v>
      </c>
      <c r="C40" s="11"/>
      <c r="D40" s="7">
        <v>132.16999999999999</v>
      </c>
      <c r="E40" s="2"/>
      <c r="F40" s="6">
        <f t="shared" si="16"/>
        <v>0</v>
      </c>
      <c r="G40" s="2"/>
      <c r="H40" s="7">
        <v>124.52</v>
      </c>
      <c r="I40" s="2"/>
      <c r="J40" s="6">
        <f t="shared" si="17"/>
        <v>0</v>
      </c>
      <c r="K40" s="2"/>
      <c r="L40" s="7">
        <f t="shared" si="18"/>
        <v>7.6499999999999915</v>
      </c>
      <c r="M40" s="2"/>
      <c r="N40" s="6">
        <f t="shared" si="19"/>
        <v>6.1435913909412075E-2</v>
      </c>
      <c r="O40" s="11"/>
      <c r="P40" s="7">
        <v>132.16999999999999</v>
      </c>
      <c r="Q40" s="2"/>
      <c r="R40" s="6">
        <f t="shared" si="20"/>
        <v>0</v>
      </c>
      <c r="S40" s="2"/>
      <c r="T40" s="7">
        <v>124.52</v>
      </c>
      <c r="U40" s="2"/>
      <c r="V40" s="6">
        <f t="shared" si="21"/>
        <v>0</v>
      </c>
      <c r="W40" s="2"/>
      <c r="X40" s="7">
        <f t="shared" si="22"/>
        <v>7.6499999999999915</v>
      </c>
      <c r="Y40" s="2"/>
      <c r="Z40" s="6">
        <f t="shared" si="23"/>
        <v>6.1435913909412075E-2</v>
      </c>
    </row>
    <row r="41" spans="1:26" s="28" customFormat="1" outlineLevel="1" collapsed="1" x14ac:dyDescent="0.25">
      <c r="A41" s="27"/>
      <c r="B41" s="14" t="str">
        <f>CONCATENATE("     ","Professional Services                             ")</f>
        <v xml:space="preserve">     Professional Services                             </v>
      </c>
      <c r="C41" s="14"/>
      <c r="D41" s="1">
        <f>SUM(OSRRefD22_6x_0)</f>
        <v>82.5</v>
      </c>
      <c r="E41" s="1"/>
      <c r="F41" s="5">
        <f t="shared" si="16"/>
        <v>0</v>
      </c>
      <c r="G41" s="1"/>
      <c r="H41" s="1">
        <f>SUM(OSRRefH22_6x_0)</f>
        <v>0</v>
      </c>
      <c r="I41" s="1"/>
      <c r="J41" s="5">
        <f t="shared" si="17"/>
        <v>0</v>
      </c>
      <c r="K41" s="1"/>
      <c r="L41" s="1">
        <f t="shared" si="18"/>
        <v>82.5</v>
      </c>
      <c r="M41" s="1"/>
      <c r="N41" s="5">
        <f t="shared" si="19"/>
        <v>0</v>
      </c>
      <c r="O41" s="14"/>
      <c r="P41" s="1">
        <f>SUM(OSRRefP22_6x_0)</f>
        <v>82.5</v>
      </c>
      <c r="Q41" s="1"/>
      <c r="R41" s="5">
        <f t="shared" si="20"/>
        <v>0</v>
      </c>
      <c r="S41" s="1"/>
      <c r="T41" s="1">
        <f>SUM(OSRRefT22_6x_0)</f>
        <v>0</v>
      </c>
      <c r="U41" s="1"/>
      <c r="V41" s="5">
        <f t="shared" si="21"/>
        <v>0</v>
      </c>
      <c r="W41" s="1"/>
      <c r="X41" s="1">
        <f t="shared" si="22"/>
        <v>82.5</v>
      </c>
      <c r="Y41" s="1"/>
      <c r="Z41" s="5">
        <f t="shared" si="23"/>
        <v>0</v>
      </c>
    </row>
    <row r="42" spans="1:26" s="24" customFormat="1" hidden="1" outlineLevel="2" x14ac:dyDescent="0.25">
      <c r="A42" s="29"/>
      <c r="B42" s="11" t="str">
        <f>CONCATENATE("          ", "6332", " - ", "CONSULTANT FEES")</f>
        <v xml:space="preserve">          6332 - CONSULTANT FEES</v>
      </c>
      <c r="C42" s="11"/>
      <c r="D42" s="7">
        <v>82.5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82.5</v>
      </c>
      <c r="M42" s="2"/>
      <c r="N42" s="6">
        <f t="shared" si="19"/>
        <v>0</v>
      </c>
      <c r="O42" s="11"/>
      <c r="P42" s="7">
        <v>82.5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82.5</v>
      </c>
      <c r="Y42" s="2"/>
      <c r="Z42" s="6">
        <f t="shared" si="23"/>
        <v>0</v>
      </c>
    </row>
    <row r="43" spans="1:26" s="28" customFormat="1" outlineLevel="1" collapsed="1" x14ac:dyDescent="0.25">
      <c r="A43" s="27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SUM(OSRRefD22_7x_0)</f>
        <v>22</v>
      </c>
      <c r="E43" s="1"/>
      <c r="F43" s="5">
        <f t="shared" si="16"/>
        <v>0</v>
      </c>
      <c r="G43" s="1"/>
      <c r="H43" s="1">
        <f>SUM(OSRRefH22_7x_0)</f>
        <v>37.409999999999997</v>
      </c>
      <c r="I43" s="1"/>
      <c r="J43" s="5">
        <f t="shared" si="17"/>
        <v>0</v>
      </c>
      <c r="K43" s="1"/>
      <c r="L43" s="1">
        <f t="shared" si="18"/>
        <v>-15.409999999999997</v>
      </c>
      <c r="M43" s="1"/>
      <c r="N43" s="5">
        <f t="shared" si="19"/>
        <v>-0.41192194600374227</v>
      </c>
      <c r="O43" s="14"/>
      <c r="P43" s="1">
        <f>SUM(OSRRefP22_7x_0)</f>
        <v>22</v>
      </c>
      <c r="Q43" s="1"/>
      <c r="R43" s="5">
        <f t="shared" si="20"/>
        <v>0</v>
      </c>
      <c r="S43" s="1"/>
      <c r="T43" s="1">
        <f>SUM(OSRRefT22_7x_0)</f>
        <v>37.409999999999997</v>
      </c>
      <c r="U43" s="1"/>
      <c r="V43" s="5">
        <f t="shared" si="21"/>
        <v>0</v>
      </c>
      <c r="W43" s="1"/>
      <c r="X43" s="1">
        <f t="shared" si="22"/>
        <v>-15.409999999999997</v>
      </c>
      <c r="Y43" s="1"/>
      <c r="Z43" s="5">
        <f t="shared" si="23"/>
        <v>-0.41192194600374227</v>
      </c>
    </row>
    <row r="44" spans="1:26" s="24" customFormat="1" hidden="1" outlineLevel="2" x14ac:dyDescent="0.25">
      <c r="A44" s="29"/>
      <c r="B44" s="11" t="str">
        <f>CONCATENATE("          ", "6373", " - ", "MAINTENANCE CONTRACTS")</f>
        <v xml:space="preserve">          6373 - MAINTENANCE CONTRACTS</v>
      </c>
      <c r="C44" s="11"/>
      <c r="D44" s="7">
        <v>22</v>
      </c>
      <c r="E44" s="2"/>
      <c r="F44" s="6">
        <f t="shared" si="16"/>
        <v>0</v>
      </c>
      <c r="G44" s="2"/>
      <c r="H44" s="7">
        <v>37.409999999999997</v>
      </c>
      <c r="I44" s="2"/>
      <c r="J44" s="6">
        <f t="shared" si="17"/>
        <v>0</v>
      </c>
      <c r="K44" s="2"/>
      <c r="L44" s="7">
        <f t="shared" si="18"/>
        <v>-15.409999999999997</v>
      </c>
      <c r="M44" s="2"/>
      <c r="N44" s="6">
        <f t="shared" si="19"/>
        <v>-0.41192194600374227</v>
      </c>
      <c r="O44" s="11"/>
      <c r="P44" s="7">
        <v>22</v>
      </c>
      <c r="Q44" s="2"/>
      <c r="R44" s="6">
        <f t="shared" si="20"/>
        <v>0</v>
      </c>
      <c r="S44" s="2"/>
      <c r="T44" s="7">
        <v>37.409999999999997</v>
      </c>
      <c r="U44" s="2"/>
      <c r="V44" s="6">
        <f t="shared" si="21"/>
        <v>0</v>
      </c>
      <c r="W44" s="2"/>
      <c r="X44" s="7">
        <f t="shared" si="22"/>
        <v>-15.409999999999997</v>
      </c>
      <c r="Y44" s="2"/>
      <c r="Z44" s="6">
        <f t="shared" si="23"/>
        <v>-0.41192194600374227</v>
      </c>
    </row>
    <row r="45" spans="1:26" s="28" customFormat="1" outlineLevel="1" collapsed="1" x14ac:dyDescent="0.25">
      <c r="A45" s="27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SUM(OSRRefD22_8x_0)</f>
        <v>1013.7</v>
      </c>
      <c r="E45" s="1"/>
      <c r="F45" s="5">
        <f t="shared" si="16"/>
        <v>0</v>
      </c>
      <c r="G45" s="1"/>
      <c r="H45" s="1">
        <f>SUM(OSRRefH22_8x_0)</f>
        <v>566.83000000000004</v>
      </c>
      <c r="I45" s="1"/>
      <c r="J45" s="5">
        <f t="shared" si="17"/>
        <v>0</v>
      </c>
      <c r="K45" s="1"/>
      <c r="L45" s="1">
        <f t="shared" si="18"/>
        <v>446.87</v>
      </c>
      <c r="M45" s="1"/>
      <c r="N45" s="5">
        <f t="shared" si="19"/>
        <v>0.78836688248681253</v>
      </c>
      <c r="O45" s="14"/>
      <c r="P45" s="1">
        <f>SUM(OSRRefP22_8x_0)</f>
        <v>1013.7</v>
      </c>
      <c r="Q45" s="1"/>
      <c r="R45" s="5">
        <f t="shared" si="20"/>
        <v>0</v>
      </c>
      <c r="S45" s="1"/>
      <c r="T45" s="1">
        <f>SUM(OSRRefT22_8x_0)</f>
        <v>566.83000000000004</v>
      </c>
      <c r="U45" s="1"/>
      <c r="V45" s="5">
        <f t="shared" si="21"/>
        <v>0</v>
      </c>
      <c r="W45" s="1"/>
      <c r="X45" s="1">
        <f t="shared" si="22"/>
        <v>446.87</v>
      </c>
      <c r="Y45" s="1"/>
      <c r="Z45" s="5">
        <f t="shared" si="23"/>
        <v>0.78836688248681253</v>
      </c>
    </row>
    <row r="46" spans="1:26" s="24" customFormat="1" hidden="1" outlineLevel="2" x14ac:dyDescent="0.25">
      <c r="A46" s="29"/>
      <c r="B46" s="11" t="str">
        <f>CONCATENATE("          ", "6281", " - ", "STORAGE FEE")</f>
        <v xml:space="preserve">          6281 - STORAGE FEE</v>
      </c>
      <c r="C46" s="11"/>
      <c r="D46" s="7">
        <v>1013.7</v>
      </c>
      <c r="E46" s="2"/>
      <c r="F46" s="6">
        <f t="shared" si="16"/>
        <v>0</v>
      </c>
      <c r="G46" s="2"/>
      <c r="H46" s="7">
        <v>566.83000000000004</v>
      </c>
      <c r="I46" s="2"/>
      <c r="J46" s="6">
        <f t="shared" si="17"/>
        <v>0</v>
      </c>
      <c r="K46" s="2"/>
      <c r="L46" s="7">
        <f t="shared" si="18"/>
        <v>446.87</v>
      </c>
      <c r="M46" s="2"/>
      <c r="N46" s="6">
        <f t="shared" si="19"/>
        <v>0.78836688248681253</v>
      </c>
      <c r="O46" s="11"/>
      <c r="P46" s="7">
        <v>1013.7</v>
      </c>
      <c r="Q46" s="2"/>
      <c r="R46" s="6">
        <f t="shared" si="20"/>
        <v>0</v>
      </c>
      <c r="S46" s="2"/>
      <c r="T46" s="7">
        <v>566.83000000000004</v>
      </c>
      <c r="U46" s="2"/>
      <c r="V46" s="6">
        <f t="shared" si="21"/>
        <v>0</v>
      </c>
      <c r="W46" s="2"/>
      <c r="X46" s="7">
        <f t="shared" si="22"/>
        <v>446.87</v>
      </c>
      <c r="Y46" s="2"/>
      <c r="Z46" s="6">
        <f t="shared" si="23"/>
        <v>0.78836688248681253</v>
      </c>
    </row>
    <row r="47" spans="1:26" s="28" customFormat="1" outlineLevel="1" collapsed="1" x14ac:dyDescent="0.25">
      <c r="A47" s="27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SUM(OSRRefD22_9x_0)</f>
        <v>358.91</v>
      </c>
      <c r="E47" s="1"/>
      <c r="F47" s="5">
        <f t="shared" si="16"/>
        <v>0</v>
      </c>
      <c r="G47" s="1"/>
      <c r="H47" s="1">
        <f>SUM(OSRRefH22_9x_0)</f>
        <v>75.55</v>
      </c>
      <c r="I47" s="1"/>
      <c r="J47" s="5">
        <f t="shared" si="17"/>
        <v>0</v>
      </c>
      <c r="K47" s="1"/>
      <c r="L47" s="1">
        <f t="shared" si="18"/>
        <v>283.36</v>
      </c>
      <c r="M47" s="1"/>
      <c r="N47" s="5">
        <f t="shared" si="19"/>
        <v>3.7506287227001986</v>
      </c>
      <c r="O47" s="14"/>
      <c r="P47" s="1">
        <f>SUM(OSRRefP22_9x_0)</f>
        <v>358.91</v>
      </c>
      <c r="Q47" s="1"/>
      <c r="R47" s="5">
        <f t="shared" si="20"/>
        <v>0</v>
      </c>
      <c r="S47" s="1"/>
      <c r="T47" s="1">
        <f>SUM(OSRRefT22_9x_0)</f>
        <v>75.55</v>
      </c>
      <c r="U47" s="1"/>
      <c r="V47" s="5">
        <f t="shared" si="21"/>
        <v>0</v>
      </c>
      <c r="W47" s="1"/>
      <c r="X47" s="1">
        <f t="shared" si="22"/>
        <v>283.36</v>
      </c>
      <c r="Y47" s="1"/>
      <c r="Z47" s="5">
        <f t="shared" si="23"/>
        <v>3.7506287227001986</v>
      </c>
    </row>
    <row r="48" spans="1:26" s="24" customFormat="1" hidden="1" outlineLevel="2" x14ac:dyDescent="0.25">
      <c r="A48" s="29"/>
      <c r="B48" s="11" t="str">
        <f>CONCATENATE("          ", "6241", " - ", "OFFICE EXPENSE")</f>
        <v xml:space="preserve">          6241 - OFFICE EXPENSE</v>
      </c>
      <c r="C48" s="11"/>
      <c r="D48" s="7">
        <v>358.91</v>
      </c>
      <c r="E48" s="2"/>
      <c r="F48" s="6">
        <f t="shared" si="16"/>
        <v>0</v>
      </c>
      <c r="G48" s="2"/>
      <c r="H48" s="7">
        <v>75.55</v>
      </c>
      <c r="I48" s="2"/>
      <c r="J48" s="6">
        <f t="shared" si="17"/>
        <v>0</v>
      </c>
      <c r="K48" s="2"/>
      <c r="L48" s="7">
        <f t="shared" si="18"/>
        <v>283.36</v>
      </c>
      <c r="M48" s="2"/>
      <c r="N48" s="6">
        <f t="shared" si="19"/>
        <v>3.7506287227001986</v>
      </c>
      <c r="O48" s="11"/>
      <c r="P48" s="7">
        <v>358.91</v>
      </c>
      <c r="Q48" s="2"/>
      <c r="R48" s="6">
        <f t="shared" si="20"/>
        <v>0</v>
      </c>
      <c r="S48" s="2"/>
      <c r="T48" s="7">
        <v>75.55</v>
      </c>
      <c r="U48" s="2"/>
      <c r="V48" s="6">
        <f t="shared" si="21"/>
        <v>0</v>
      </c>
      <c r="W48" s="2"/>
      <c r="X48" s="7">
        <f t="shared" si="22"/>
        <v>283.36</v>
      </c>
      <c r="Y48" s="2"/>
      <c r="Z48" s="6">
        <f t="shared" si="23"/>
        <v>3.7506287227001986</v>
      </c>
    </row>
    <row r="49" spans="1:26" s="28" customFormat="1" outlineLevel="1" collapsed="1" x14ac:dyDescent="0.25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SUM(OSRRefD22_10x_0)</f>
        <v>365.8</v>
      </c>
      <c r="E49" s="1"/>
      <c r="F49" s="5">
        <f t="shared" si="16"/>
        <v>0</v>
      </c>
      <c r="G49" s="1"/>
      <c r="H49" s="1">
        <f>SUM(OSRRefH22_10x_0)</f>
        <v>353.15</v>
      </c>
      <c r="I49" s="1"/>
      <c r="J49" s="5">
        <f t="shared" si="17"/>
        <v>0</v>
      </c>
      <c r="K49" s="1"/>
      <c r="L49" s="1">
        <f t="shared" si="18"/>
        <v>12.650000000000034</v>
      </c>
      <c r="M49" s="1"/>
      <c r="N49" s="5">
        <f t="shared" si="19"/>
        <v>3.5820472886875364E-2</v>
      </c>
      <c r="O49" s="14"/>
      <c r="P49" s="1">
        <f>SUM(OSRRefP22_10x_0)</f>
        <v>365.8</v>
      </c>
      <c r="Q49" s="1"/>
      <c r="R49" s="5">
        <f t="shared" si="20"/>
        <v>0</v>
      </c>
      <c r="S49" s="1"/>
      <c r="T49" s="1">
        <f>SUM(OSRRefT22_10x_0)</f>
        <v>353.15</v>
      </c>
      <c r="U49" s="1"/>
      <c r="V49" s="5">
        <f t="shared" si="21"/>
        <v>0</v>
      </c>
      <c r="W49" s="1"/>
      <c r="X49" s="1">
        <f t="shared" si="22"/>
        <v>12.650000000000034</v>
      </c>
      <c r="Y49" s="1"/>
      <c r="Z49" s="5">
        <f t="shared" si="23"/>
        <v>3.5820472886875364E-2</v>
      </c>
    </row>
    <row r="50" spans="1:26" s="24" customFormat="1" hidden="1" outlineLevel="2" x14ac:dyDescent="0.25">
      <c r="A50" s="29"/>
      <c r="B50" s="11" t="str">
        <f>CONCATENATE("          ", "6309", " - ", "TELEPHONE")</f>
        <v xml:space="preserve">          6309 - TELEPHONE</v>
      </c>
      <c r="C50" s="11"/>
      <c r="D50" s="7">
        <v>365.8</v>
      </c>
      <c r="E50" s="2"/>
      <c r="F50" s="6">
        <f t="shared" si="16"/>
        <v>0</v>
      </c>
      <c r="G50" s="2"/>
      <c r="H50" s="7">
        <v>353.15</v>
      </c>
      <c r="I50" s="2"/>
      <c r="J50" s="6">
        <f t="shared" si="17"/>
        <v>0</v>
      </c>
      <c r="K50" s="2"/>
      <c r="L50" s="7">
        <f t="shared" si="18"/>
        <v>12.650000000000034</v>
      </c>
      <c r="M50" s="2"/>
      <c r="N50" s="6">
        <f t="shared" si="19"/>
        <v>3.5820472886875364E-2</v>
      </c>
      <c r="O50" s="11"/>
      <c r="P50" s="7">
        <v>365.8</v>
      </c>
      <c r="Q50" s="2"/>
      <c r="R50" s="6">
        <f t="shared" si="20"/>
        <v>0</v>
      </c>
      <c r="S50" s="2"/>
      <c r="T50" s="7">
        <v>353.15</v>
      </c>
      <c r="U50" s="2"/>
      <c r="V50" s="6">
        <f t="shared" si="21"/>
        <v>0</v>
      </c>
      <c r="W50" s="2"/>
      <c r="X50" s="7">
        <f t="shared" si="22"/>
        <v>12.650000000000034</v>
      </c>
      <c r="Y50" s="2"/>
      <c r="Z50" s="6">
        <f t="shared" si="23"/>
        <v>3.5820472886875364E-2</v>
      </c>
    </row>
    <row r="51" spans="1:26" s="28" customFormat="1" outlineLevel="1" collapsed="1" x14ac:dyDescent="0.25">
      <c r="A51" s="27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SUM(OSRRefD22_11x_0)</f>
        <v>0</v>
      </c>
      <c r="E51" s="1"/>
      <c r="F51" s="5">
        <f t="shared" si="16"/>
        <v>0</v>
      </c>
      <c r="G51" s="1"/>
      <c r="H51" s="1">
        <f>SUM(OSRRefH22_11x_0)</f>
        <v>2500</v>
      </c>
      <c r="I51" s="1"/>
      <c r="J51" s="5">
        <f t="shared" si="17"/>
        <v>0</v>
      </c>
      <c r="K51" s="1"/>
      <c r="L51" s="1">
        <f t="shared" si="18"/>
        <v>-2500</v>
      </c>
      <c r="M51" s="1"/>
      <c r="N51" s="5">
        <f t="shared" si="19"/>
        <v>-1</v>
      </c>
      <c r="O51" s="14"/>
      <c r="P51" s="1">
        <f>SUM(OSRRefP22_11x_0)</f>
        <v>0</v>
      </c>
      <c r="Q51" s="1"/>
      <c r="R51" s="5">
        <f t="shared" si="20"/>
        <v>0</v>
      </c>
      <c r="S51" s="1"/>
      <c r="T51" s="1">
        <f>SUM(OSRRefT22_11x_0)</f>
        <v>2500</v>
      </c>
      <c r="U51" s="1"/>
      <c r="V51" s="5">
        <f t="shared" si="21"/>
        <v>0</v>
      </c>
      <c r="W51" s="1"/>
      <c r="X51" s="1">
        <f t="shared" si="22"/>
        <v>-2500</v>
      </c>
      <c r="Y51" s="1"/>
      <c r="Z51" s="5">
        <f t="shared" si="23"/>
        <v>-1</v>
      </c>
    </row>
    <row r="52" spans="1:26" s="24" customFormat="1" hidden="1" outlineLevel="2" x14ac:dyDescent="0.25">
      <c r="A52" s="29"/>
      <c r="B52" s="11" t="str">
        <f>CONCATENATE("          ", "6376", " - ", "TRAINING")</f>
        <v xml:space="preserve">          6376 - TRAINING</v>
      </c>
      <c r="C52" s="11"/>
      <c r="D52" s="7"/>
      <c r="E52" s="2"/>
      <c r="F52" s="6">
        <f t="shared" si="16"/>
        <v>0</v>
      </c>
      <c r="G52" s="2"/>
      <c r="H52" s="7">
        <v>2500</v>
      </c>
      <c r="I52" s="2"/>
      <c r="J52" s="6">
        <f t="shared" si="17"/>
        <v>0</v>
      </c>
      <c r="K52" s="2"/>
      <c r="L52" s="7">
        <f t="shared" si="18"/>
        <v>-2500</v>
      </c>
      <c r="M52" s="2"/>
      <c r="N52" s="6">
        <f t="shared" si="19"/>
        <v>-1</v>
      </c>
      <c r="O52" s="11"/>
      <c r="P52" s="7"/>
      <c r="Q52" s="2"/>
      <c r="R52" s="6">
        <f t="shared" si="20"/>
        <v>0</v>
      </c>
      <c r="S52" s="2"/>
      <c r="T52" s="7">
        <v>2500</v>
      </c>
      <c r="U52" s="2"/>
      <c r="V52" s="6">
        <f t="shared" si="21"/>
        <v>0</v>
      </c>
      <c r="W52" s="2"/>
      <c r="X52" s="7">
        <f t="shared" si="22"/>
        <v>-2500</v>
      </c>
      <c r="Y52" s="2"/>
      <c r="Z52" s="6">
        <f t="shared" si="23"/>
        <v>-1</v>
      </c>
    </row>
    <row r="53" spans="1:26" s="54" customFormat="1" x14ac:dyDescent="0.25">
      <c r="A53" s="37"/>
      <c r="B53" s="37"/>
      <c r="C53" s="37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0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3</v>
      </c>
      <c r="C56" s="25"/>
      <c r="D56" s="21">
        <f>+D16-D18+D54</f>
        <v>-55287.26</v>
      </c>
      <c r="E56" s="13"/>
      <c r="F56" s="20">
        <f>IF(D$12=0,0,D56/D$12)</f>
        <v>0</v>
      </c>
      <c r="G56" s="13"/>
      <c r="H56" s="21">
        <f>+H16-H18+H54</f>
        <v>-50775.790000000015</v>
      </c>
      <c r="I56" s="13"/>
      <c r="J56" s="20">
        <f>IF(H$12=0,0,H56/H$12)</f>
        <v>0</v>
      </c>
      <c r="K56" s="16"/>
      <c r="L56" s="21">
        <f>+D56-H56</f>
        <v>-4511.4699999999866</v>
      </c>
      <c r="M56" s="16"/>
      <c r="N56" s="20">
        <f>IF(H56=0,0,L56/H56)</f>
        <v>8.8850808623558306E-2</v>
      </c>
      <c r="O56" s="26"/>
      <c r="P56" s="21">
        <f>+P16-P18+P54</f>
        <v>-55287.26</v>
      </c>
      <c r="Q56" s="13"/>
      <c r="R56" s="20">
        <f>IF(P$12=0,0,P56/P$12)</f>
        <v>0</v>
      </c>
      <c r="S56" s="13"/>
      <c r="T56" s="21">
        <f>+T16-T18+T54</f>
        <v>-50775.790000000015</v>
      </c>
      <c r="U56" s="13"/>
      <c r="V56" s="20">
        <f>IF(T$12=0,0,T56/T$12)</f>
        <v>0</v>
      </c>
      <c r="W56" s="16"/>
      <c r="X56" s="21">
        <f>+P56-T56</f>
        <v>-4511.4699999999866</v>
      </c>
      <c r="Y56" s="16"/>
      <c r="Z56" s="20">
        <f>IF(T56=0,0,X56/T56)</f>
        <v>8.8850808623558306E-2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1"/>
      <c r="B58" s="10" t="s">
        <v>13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5" t="s">
        <v>4</v>
      </c>
      <c r="C60" s="25"/>
      <c r="D60" s="33">
        <f>+D56-D58</f>
        <v>-55287.26</v>
      </c>
      <c r="E60" s="13"/>
      <c r="F60" s="34">
        <f>IF(D$12=0,0,D60/D$12)</f>
        <v>0</v>
      </c>
      <c r="G60" s="13"/>
      <c r="H60" s="33">
        <f>+H56-H58</f>
        <v>-50775.790000000015</v>
      </c>
      <c r="I60" s="13"/>
      <c r="J60" s="34">
        <f>IF(H$12=0,0,H60/H$12)</f>
        <v>0</v>
      </c>
      <c r="K60" s="16"/>
      <c r="L60" s="33">
        <f>D60-H60</f>
        <v>-4511.4699999999866</v>
      </c>
      <c r="M60" s="16"/>
      <c r="N60" s="34">
        <f>IF(H60=0,0,L60/H60)</f>
        <v>8.8850808623558306E-2</v>
      </c>
      <c r="O60" s="26"/>
      <c r="P60" s="33">
        <f>+P56-P58</f>
        <v>-55287.26</v>
      </c>
      <c r="Q60" s="13"/>
      <c r="R60" s="34">
        <f>IF(P$12=0,0,P60/P$12)</f>
        <v>0</v>
      </c>
      <c r="S60" s="13"/>
      <c r="T60" s="33">
        <f>+T56-T58</f>
        <v>-50775.790000000015</v>
      </c>
      <c r="U60" s="13"/>
      <c r="V60" s="34">
        <f>IF(T$12=0,0,T60/T$12)</f>
        <v>0</v>
      </c>
      <c r="W60" s="16"/>
      <c r="X60" s="33">
        <f>P60-T60</f>
        <v>-4511.4699999999866</v>
      </c>
      <c r="Y60" s="16"/>
      <c r="Z60" s="34">
        <f>IF(T60=0,0,X60/T60)</f>
        <v>8.8850808623558306E-2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5</v>
      </c>
      <c r="C63" s="25"/>
      <c r="D63" s="31">
        <f>SUM(D60:D62)</f>
        <v>-55287.26</v>
      </c>
      <c r="E63" s="13"/>
      <c r="F63" s="30">
        <f>IF(D$12=0,0,D63/D$12)</f>
        <v>0</v>
      </c>
      <c r="G63" s="13"/>
      <c r="H63" s="31">
        <f>SUM(H60:H62)</f>
        <v>-50775.790000000015</v>
      </c>
      <c r="I63" s="13"/>
      <c r="J63" s="30">
        <f>IF(H$12=0,0,H63/H$12)</f>
        <v>0</v>
      </c>
      <c r="K63" s="16"/>
      <c r="L63" s="31">
        <f>+D63-H63</f>
        <v>-4511.4699999999866</v>
      </c>
      <c r="M63" s="16"/>
      <c r="N63" s="30">
        <f>IF(H63=0,0,L63/H63)</f>
        <v>8.8850808623558306E-2</v>
      </c>
      <c r="O63" s="26"/>
      <c r="P63" s="31">
        <f>SUM(P60:P62)</f>
        <v>-55287.26</v>
      </c>
      <c r="Q63" s="13"/>
      <c r="R63" s="30">
        <f>IF(P$12=0,0,P63/P$12)</f>
        <v>0</v>
      </c>
      <c r="S63" s="13"/>
      <c r="T63" s="31">
        <f>SUM(T60:T62)</f>
        <v>-50775.790000000015</v>
      </c>
      <c r="U63" s="13"/>
      <c r="V63" s="30">
        <f>IF(T$12=0,0,T63/T$12)</f>
        <v>0</v>
      </c>
      <c r="W63" s="16"/>
      <c r="X63" s="31">
        <f>+P63-T63</f>
        <v>-4511.4699999999866</v>
      </c>
      <c r="Y63" s="16"/>
      <c r="Z63" s="30">
        <f>IF(T63=0,0,X63/T63)</f>
        <v>8.8850808623558306E-2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6">
        <v>43726.68163564815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3" t="s">
        <v>313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65612.84</v>
      </c>
      <c r="E18" s="19"/>
      <c r="F18" s="35">
        <f t="shared" ref="F18:F28" si="0">IF(D$12=0,0,D18/D$12)</f>
        <v>0</v>
      </c>
      <c r="G18" s="19"/>
      <c r="H18" s="19">
        <f>SUM(OSRRefH22x_0)</f>
        <v>61456.369999999995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4156.4700000000012</v>
      </c>
      <c r="M18" s="4"/>
      <c r="N18" s="35">
        <f t="shared" ref="N18:N28" si="3">IF(H18=0,0,L18/H18)</f>
        <v>6.7632858888346345E-2</v>
      </c>
      <c r="O18" s="10"/>
      <c r="P18" s="19">
        <f>SUM(OSRRefP22x_0)</f>
        <v>65612.84</v>
      </c>
      <c r="Q18" s="19"/>
      <c r="R18" s="35">
        <f t="shared" ref="R18:R28" si="4">IF(P$12=0,0,P18/P$12)</f>
        <v>0</v>
      </c>
      <c r="S18" s="19"/>
      <c r="T18" s="19">
        <f>SUM(OSRRefT22x_0)</f>
        <v>61456.369999999995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4156.4700000000012</v>
      </c>
      <c r="Y18" s="4"/>
      <c r="Z18" s="35">
        <f t="shared" ref="Z18:Z28" si="7">IF(T18=0,0,X18/T18)</f>
        <v>6.7632858888346345E-2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16041.999999999998</v>
      </c>
      <c r="E19" s="1"/>
      <c r="F19" s="5">
        <f t="shared" si="0"/>
        <v>0</v>
      </c>
      <c r="G19" s="1"/>
      <c r="H19" s="1">
        <f>SUM(OSRRefH22_0x_0)</f>
        <v>7719.82</v>
      </c>
      <c r="I19" s="1"/>
      <c r="J19" s="5">
        <f t="shared" si="1"/>
        <v>0</v>
      </c>
      <c r="K19" s="1"/>
      <c r="L19" s="1">
        <f t="shared" si="2"/>
        <v>8322.1799999999985</v>
      </c>
      <c r="M19" s="1"/>
      <c r="N19" s="5">
        <f t="shared" si="3"/>
        <v>1.0780277260350628</v>
      </c>
      <c r="O19" s="14"/>
      <c r="P19" s="1">
        <f>SUM(OSRRefP22_0x_0)</f>
        <v>16041.999999999998</v>
      </c>
      <c r="Q19" s="1"/>
      <c r="R19" s="5">
        <f t="shared" si="4"/>
        <v>0</v>
      </c>
      <c r="S19" s="1"/>
      <c r="T19" s="1">
        <f>SUM(OSRRefT22_0x_0)</f>
        <v>7719.82</v>
      </c>
      <c r="U19" s="1"/>
      <c r="V19" s="5">
        <f t="shared" si="5"/>
        <v>0</v>
      </c>
      <c r="W19" s="1"/>
      <c r="X19" s="1">
        <f t="shared" si="6"/>
        <v>8322.1799999999985</v>
      </c>
      <c r="Y19" s="1"/>
      <c r="Z19" s="5">
        <f t="shared" si="7"/>
        <v>1.0780277260350628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1763.78</v>
      </c>
      <c r="E20" s="2"/>
      <c r="F20" s="6">
        <f t="shared" si="0"/>
        <v>0</v>
      </c>
      <c r="G20" s="2"/>
      <c r="H20" s="7">
        <v>1962.21</v>
      </c>
      <c r="I20" s="2"/>
      <c r="J20" s="6">
        <f t="shared" si="1"/>
        <v>0</v>
      </c>
      <c r="K20" s="2"/>
      <c r="L20" s="7">
        <f t="shared" si="2"/>
        <v>-198.43000000000006</v>
      </c>
      <c r="M20" s="2"/>
      <c r="N20" s="6">
        <f t="shared" si="3"/>
        <v>-0.10112577145157758</v>
      </c>
      <c r="O20" s="11"/>
      <c r="P20" s="7">
        <v>1763.78</v>
      </c>
      <c r="Q20" s="2"/>
      <c r="R20" s="6">
        <f t="shared" si="4"/>
        <v>0</v>
      </c>
      <c r="S20" s="2"/>
      <c r="T20" s="7">
        <v>1962.21</v>
      </c>
      <c r="U20" s="2"/>
      <c r="V20" s="6">
        <f t="shared" si="5"/>
        <v>0</v>
      </c>
      <c r="W20" s="2"/>
      <c r="X20" s="7">
        <f t="shared" si="6"/>
        <v>-198.43000000000006</v>
      </c>
      <c r="Y20" s="2"/>
      <c r="Z20" s="6">
        <f t="shared" si="7"/>
        <v>-0.10112577145157758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78.290000000000006</v>
      </c>
      <c r="E21" s="2"/>
      <c r="F21" s="6">
        <f t="shared" si="0"/>
        <v>0</v>
      </c>
      <c r="G21" s="2"/>
      <c r="H21" s="7">
        <v>101.15</v>
      </c>
      <c r="I21" s="2"/>
      <c r="J21" s="6">
        <f t="shared" si="1"/>
        <v>0</v>
      </c>
      <c r="K21" s="2"/>
      <c r="L21" s="7">
        <f t="shared" si="2"/>
        <v>-22.86</v>
      </c>
      <c r="M21" s="2"/>
      <c r="N21" s="6">
        <f t="shared" si="3"/>
        <v>-0.22600098863074639</v>
      </c>
      <c r="O21" s="11"/>
      <c r="P21" s="7">
        <v>78.290000000000006</v>
      </c>
      <c r="Q21" s="2"/>
      <c r="R21" s="6">
        <f t="shared" si="4"/>
        <v>0</v>
      </c>
      <c r="S21" s="2"/>
      <c r="T21" s="7">
        <v>101.15</v>
      </c>
      <c r="U21" s="2"/>
      <c r="V21" s="6">
        <f t="shared" si="5"/>
        <v>0</v>
      </c>
      <c r="W21" s="2"/>
      <c r="X21" s="7">
        <f t="shared" si="6"/>
        <v>-22.86</v>
      </c>
      <c r="Y21" s="2"/>
      <c r="Z21" s="6">
        <f t="shared" si="7"/>
        <v>-0.22600098863074639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5861.61</v>
      </c>
      <c r="E22" s="2"/>
      <c r="F22" s="6">
        <f t="shared" si="0"/>
        <v>0</v>
      </c>
      <c r="G22" s="2"/>
      <c r="H22" s="7">
        <v>1609.21</v>
      </c>
      <c r="I22" s="2"/>
      <c r="J22" s="6">
        <f t="shared" si="1"/>
        <v>0</v>
      </c>
      <c r="K22" s="2"/>
      <c r="L22" s="7">
        <f t="shared" si="2"/>
        <v>4252.3999999999996</v>
      </c>
      <c r="M22" s="2"/>
      <c r="N22" s="6">
        <f t="shared" si="3"/>
        <v>2.6425388855401093</v>
      </c>
      <c r="O22" s="11"/>
      <c r="P22" s="7">
        <v>5861.61</v>
      </c>
      <c r="Q22" s="2"/>
      <c r="R22" s="6">
        <f t="shared" si="4"/>
        <v>0</v>
      </c>
      <c r="S22" s="2"/>
      <c r="T22" s="7">
        <v>1609.21</v>
      </c>
      <c r="U22" s="2"/>
      <c r="V22" s="6">
        <f t="shared" si="5"/>
        <v>0</v>
      </c>
      <c r="W22" s="2"/>
      <c r="X22" s="7">
        <f t="shared" si="6"/>
        <v>4252.3999999999996</v>
      </c>
      <c r="Y22" s="2"/>
      <c r="Z22" s="6">
        <f t="shared" si="7"/>
        <v>2.6425388855401093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59.87</v>
      </c>
      <c r="E23" s="2"/>
      <c r="F23" s="6">
        <f t="shared" si="0"/>
        <v>0</v>
      </c>
      <c r="G23" s="2"/>
      <c r="H23" s="7">
        <v>84.84</v>
      </c>
      <c r="I23" s="2"/>
      <c r="J23" s="6">
        <f t="shared" si="1"/>
        <v>0</v>
      </c>
      <c r="K23" s="2"/>
      <c r="L23" s="7">
        <f t="shared" si="2"/>
        <v>-24.970000000000006</v>
      </c>
      <c r="M23" s="2"/>
      <c r="N23" s="6">
        <f t="shared" si="3"/>
        <v>-0.29431871758604439</v>
      </c>
      <c r="O23" s="11"/>
      <c r="P23" s="7">
        <v>59.87</v>
      </c>
      <c r="Q23" s="2"/>
      <c r="R23" s="6">
        <f t="shared" si="4"/>
        <v>0</v>
      </c>
      <c r="S23" s="2"/>
      <c r="T23" s="7">
        <v>84.84</v>
      </c>
      <c r="U23" s="2"/>
      <c r="V23" s="6">
        <f t="shared" si="5"/>
        <v>0</v>
      </c>
      <c r="W23" s="2"/>
      <c r="X23" s="7">
        <f t="shared" si="6"/>
        <v>-24.970000000000006</v>
      </c>
      <c r="Y23" s="2"/>
      <c r="Z23" s="6">
        <f t="shared" si="7"/>
        <v>-0.29431871758604439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919.4</v>
      </c>
      <c r="E24" s="2"/>
      <c r="F24" s="6">
        <f t="shared" si="0"/>
        <v>0</v>
      </c>
      <c r="G24" s="2"/>
      <c r="H24" s="7">
        <v>1080.17</v>
      </c>
      <c r="I24" s="2"/>
      <c r="J24" s="6">
        <f t="shared" si="1"/>
        <v>0</v>
      </c>
      <c r="K24" s="2"/>
      <c r="L24" s="7">
        <f t="shared" si="2"/>
        <v>-160.7700000000001</v>
      </c>
      <c r="M24" s="2"/>
      <c r="N24" s="6">
        <f t="shared" si="3"/>
        <v>-0.14883768295731234</v>
      </c>
      <c r="O24" s="11"/>
      <c r="P24" s="7">
        <v>919.4</v>
      </c>
      <c r="Q24" s="2"/>
      <c r="R24" s="6">
        <f t="shared" si="4"/>
        <v>0</v>
      </c>
      <c r="S24" s="2"/>
      <c r="T24" s="7">
        <v>1080.17</v>
      </c>
      <c r="U24" s="2"/>
      <c r="V24" s="6">
        <f t="shared" si="5"/>
        <v>0</v>
      </c>
      <c r="W24" s="2"/>
      <c r="X24" s="7">
        <f t="shared" si="6"/>
        <v>-160.7700000000001</v>
      </c>
      <c r="Y24" s="2"/>
      <c r="Z24" s="6">
        <f t="shared" si="7"/>
        <v>-0.14883768295731234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435.72</v>
      </c>
      <c r="E25" s="2"/>
      <c r="F25" s="6">
        <f t="shared" si="0"/>
        <v>0</v>
      </c>
      <c r="G25" s="2"/>
      <c r="H25" s="7">
        <v>218.24</v>
      </c>
      <c r="I25" s="2"/>
      <c r="J25" s="6">
        <f t="shared" si="1"/>
        <v>0</v>
      </c>
      <c r="K25" s="2"/>
      <c r="L25" s="7">
        <f t="shared" si="2"/>
        <v>217.48000000000002</v>
      </c>
      <c r="M25" s="2"/>
      <c r="N25" s="6">
        <f t="shared" si="3"/>
        <v>0.99651759530791795</v>
      </c>
      <c r="O25" s="11"/>
      <c r="P25" s="7">
        <v>435.72</v>
      </c>
      <c r="Q25" s="2"/>
      <c r="R25" s="6">
        <f t="shared" si="4"/>
        <v>0</v>
      </c>
      <c r="S25" s="2"/>
      <c r="T25" s="7">
        <v>218.24</v>
      </c>
      <c r="U25" s="2"/>
      <c r="V25" s="6">
        <f t="shared" si="5"/>
        <v>0</v>
      </c>
      <c r="W25" s="2"/>
      <c r="X25" s="7">
        <f t="shared" si="6"/>
        <v>217.48000000000002</v>
      </c>
      <c r="Y25" s="2"/>
      <c r="Z25" s="6">
        <f t="shared" si="7"/>
        <v>0.99651759530791795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4461.43</v>
      </c>
      <c r="E26" s="2"/>
      <c r="F26" s="6">
        <f t="shared" si="0"/>
        <v>0</v>
      </c>
      <c r="G26" s="2"/>
      <c r="H26" s="7">
        <v>1452.65</v>
      </c>
      <c r="I26" s="2"/>
      <c r="J26" s="6">
        <f t="shared" si="1"/>
        <v>0</v>
      </c>
      <c r="K26" s="2"/>
      <c r="L26" s="7">
        <f t="shared" si="2"/>
        <v>3008.78</v>
      </c>
      <c r="M26" s="2"/>
      <c r="N26" s="6">
        <f t="shared" si="3"/>
        <v>2.0712353285375005</v>
      </c>
      <c r="O26" s="11"/>
      <c r="P26" s="7">
        <v>4461.43</v>
      </c>
      <c r="Q26" s="2"/>
      <c r="R26" s="6">
        <f t="shared" si="4"/>
        <v>0</v>
      </c>
      <c r="S26" s="2"/>
      <c r="T26" s="7">
        <v>1452.65</v>
      </c>
      <c r="U26" s="2"/>
      <c r="V26" s="6">
        <f t="shared" si="5"/>
        <v>0</v>
      </c>
      <c r="W26" s="2"/>
      <c r="X26" s="7">
        <f t="shared" si="6"/>
        <v>3008.78</v>
      </c>
      <c r="Y26" s="2"/>
      <c r="Z26" s="6">
        <f t="shared" si="7"/>
        <v>2.0712353285375005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2102.69</v>
      </c>
      <c r="E27" s="2"/>
      <c r="F27" s="6">
        <f t="shared" si="0"/>
        <v>0</v>
      </c>
      <c r="G27" s="2"/>
      <c r="H27" s="7">
        <v>872.96</v>
      </c>
      <c r="I27" s="2"/>
      <c r="J27" s="6">
        <f t="shared" si="1"/>
        <v>0</v>
      </c>
      <c r="K27" s="2"/>
      <c r="L27" s="7">
        <f t="shared" si="2"/>
        <v>1229.73</v>
      </c>
      <c r="M27" s="2"/>
      <c r="N27" s="6">
        <f t="shared" si="3"/>
        <v>1.408689974340176</v>
      </c>
      <c r="O27" s="11"/>
      <c r="P27" s="7">
        <v>2102.69</v>
      </c>
      <c r="Q27" s="2"/>
      <c r="R27" s="6">
        <f t="shared" si="4"/>
        <v>0</v>
      </c>
      <c r="S27" s="2"/>
      <c r="T27" s="7">
        <v>872.96</v>
      </c>
      <c r="U27" s="2"/>
      <c r="V27" s="6">
        <f t="shared" si="5"/>
        <v>0</v>
      </c>
      <c r="W27" s="2"/>
      <c r="X27" s="7">
        <f t="shared" si="6"/>
        <v>1229.73</v>
      </c>
      <c r="Y27" s="2"/>
      <c r="Z27" s="6">
        <f t="shared" si="7"/>
        <v>1.408689974340176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359.21</v>
      </c>
      <c r="E28" s="2"/>
      <c r="F28" s="6">
        <f t="shared" si="0"/>
        <v>0</v>
      </c>
      <c r="G28" s="2"/>
      <c r="H28" s="7">
        <v>338.39</v>
      </c>
      <c r="I28" s="2"/>
      <c r="J28" s="6">
        <f t="shared" si="1"/>
        <v>0</v>
      </c>
      <c r="K28" s="2"/>
      <c r="L28" s="7">
        <f t="shared" si="2"/>
        <v>20.819999999999993</v>
      </c>
      <c r="M28" s="2"/>
      <c r="N28" s="6">
        <f t="shared" si="3"/>
        <v>6.1526640858181374E-2</v>
      </c>
      <c r="O28" s="11"/>
      <c r="P28" s="7">
        <v>359.21</v>
      </c>
      <c r="Q28" s="2"/>
      <c r="R28" s="6">
        <f t="shared" si="4"/>
        <v>0</v>
      </c>
      <c r="S28" s="2"/>
      <c r="T28" s="7">
        <v>338.39</v>
      </c>
      <c r="U28" s="2"/>
      <c r="V28" s="6">
        <f t="shared" si="5"/>
        <v>0</v>
      </c>
      <c r="W28" s="2"/>
      <c r="X28" s="7">
        <f t="shared" si="6"/>
        <v>20.819999999999993</v>
      </c>
      <c r="Y28" s="2"/>
      <c r="Z28" s="6">
        <f t="shared" si="7"/>
        <v>6.1526640858181374E-2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28330.95</v>
      </c>
      <c r="E29" s="1"/>
      <c r="F29" s="5">
        <f t="shared" ref="F29:F33" si="8">IF(D$12=0,0,D29/D$12)</f>
        <v>0</v>
      </c>
      <c r="G29" s="1"/>
      <c r="H29" s="1">
        <f>SUM(OSRRefH22_1x_0)</f>
        <v>28255.96</v>
      </c>
      <c r="I29" s="1"/>
      <c r="J29" s="5">
        <f t="shared" ref="J29:J33" si="9">IF(H$12=0,0,H29/H$12)</f>
        <v>0</v>
      </c>
      <c r="K29" s="1"/>
      <c r="L29" s="1">
        <f t="shared" ref="L29:L33" si="10">+D29-H29</f>
        <v>74.990000000001601</v>
      </c>
      <c r="M29" s="1"/>
      <c r="N29" s="5">
        <f t="shared" ref="N29:N33" si="11">IF(H29=0,0,L29/H29)</f>
        <v>2.6539533606361847E-3</v>
      </c>
      <c r="O29" s="14"/>
      <c r="P29" s="1">
        <f>SUM(OSRRefP22_1x_0)</f>
        <v>28330.95</v>
      </c>
      <c r="Q29" s="1"/>
      <c r="R29" s="5">
        <f t="shared" ref="R29:R33" si="12">IF(P$12=0,0,P29/P$12)</f>
        <v>0</v>
      </c>
      <c r="S29" s="1"/>
      <c r="T29" s="1">
        <f>SUM(OSRRefT22_1x_0)</f>
        <v>28255.96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74.990000000001601</v>
      </c>
      <c r="Y29" s="1"/>
      <c r="Z29" s="5">
        <f t="shared" ref="Z29:Z33" si="15">IF(T29=0,0,X29/T29)</f>
        <v>2.6539533606361847E-3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11244.16</v>
      </c>
      <c r="E30" s="2"/>
      <c r="F30" s="6">
        <f t="shared" si="8"/>
        <v>0</v>
      </c>
      <c r="G30" s="2"/>
      <c r="H30" s="7">
        <v>9660.4599999999991</v>
      </c>
      <c r="I30" s="2"/>
      <c r="J30" s="6">
        <f t="shared" si="9"/>
        <v>0</v>
      </c>
      <c r="K30" s="2"/>
      <c r="L30" s="7">
        <f t="shared" si="10"/>
        <v>1583.7000000000007</v>
      </c>
      <c r="M30" s="2"/>
      <c r="N30" s="6">
        <f t="shared" si="11"/>
        <v>0.16393629288874451</v>
      </c>
      <c r="O30" s="11"/>
      <c r="P30" s="7">
        <v>11244.16</v>
      </c>
      <c r="Q30" s="2"/>
      <c r="R30" s="6">
        <f t="shared" si="12"/>
        <v>0</v>
      </c>
      <c r="S30" s="2"/>
      <c r="T30" s="7">
        <v>9660.4599999999991</v>
      </c>
      <c r="U30" s="2"/>
      <c r="V30" s="6">
        <f t="shared" si="13"/>
        <v>0</v>
      </c>
      <c r="W30" s="2"/>
      <c r="X30" s="7">
        <f t="shared" si="14"/>
        <v>1583.7000000000007</v>
      </c>
      <c r="Y30" s="2"/>
      <c r="Z30" s="6">
        <f t="shared" si="15"/>
        <v>0.16393629288874451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8636.86</v>
      </c>
      <c r="E31" s="2"/>
      <c r="F31" s="6">
        <f t="shared" si="8"/>
        <v>0</v>
      </c>
      <c r="G31" s="2"/>
      <c r="H31" s="7">
        <v>8345.5300000000007</v>
      </c>
      <c r="I31" s="2"/>
      <c r="J31" s="6">
        <f t="shared" si="9"/>
        <v>0</v>
      </c>
      <c r="K31" s="2"/>
      <c r="L31" s="7">
        <f t="shared" si="10"/>
        <v>291.32999999999993</v>
      </c>
      <c r="M31" s="2"/>
      <c r="N31" s="6">
        <f t="shared" si="11"/>
        <v>3.4908507907826097E-2</v>
      </c>
      <c r="O31" s="11"/>
      <c r="P31" s="7">
        <v>8636.86</v>
      </c>
      <c r="Q31" s="2"/>
      <c r="R31" s="6">
        <f t="shared" si="12"/>
        <v>0</v>
      </c>
      <c r="S31" s="2"/>
      <c r="T31" s="7">
        <v>8345.5300000000007</v>
      </c>
      <c r="U31" s="2"/>
      <c r="V31" s="6">
        <f t="shared" si="13"/>
        <v>0</v>
      </c>
      <c r="W31" s="2"/>
      <c r="X31" s="7">
        <f t="shared" si="14"/>
        <v>291.32999999999993</v>
      </c>
      <c r="Y31" s="2"/>
      <c r="Z31" s="6">
        <f t="shared" si="15"/>
        <v>3.4908507907826097E-2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5163.93</v>
      </c>
      <c r="E32" s="2"/>
      <c r="F32" s="6">
        <f t="shared" si="8"/>
        <v>0</v>
      </c>
      <c r="G32" s="2"/>
      <c r="H32" s="7">
        <v>4072.14</v>
      </c>
      <c r="I32" s="2"/>
      <c r="J32" s="6">
        <f t="shared" si="9"/>
        <v>0</v>
      </c>
      <c r="K32" s="2"/>
      <c r="L32" s="7">
        <f t="shared" si="10"/>
        <v>1091.7900000000004</v>
      </c>
      <c r="M32" s="2"/>
      <c r="N32" s="6">
        <f t="shared" si="11"/>
        <v>0.26811209830703275</v>
      </c>
      <c r="O32" s="11"/>
      <c r="P32" s="7">
        <v>5163.93</v>
      </c>
      <c r="Q32" s="2"/>
      <c r="R32" s="6">
        <f t="shared" si="12"/>
        <v>0</v>
      </c>
      <c r="S32" s="2"/>
      <c r="T32" s="7">
        <v>4072.14</v>
      </c>
      <c r="U32" s="2"/>
      <c r="V32" s="6">
        <f t="shared" si="13"/>
        <v>0</v>
      </c>
      <c r="W32" s="2"/>
      <c r="X32" s="7">
        <f t="shared" si="14"/>
        <v>1091.7900000000004</v>
      </c>
      <c r="Y32" s="2"/>
      <c r="Z32" s="6">
        <f t="shared" si="15"/>
        <v>0.26811209830703275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3286</v>
      </c>
      <c r="E33" s="2"/>
      <c r="F33" s="6">
        <f t="shared" si="8"/>
        <v>0</v>
      </c>
      <c r="G33" s="2"/>
      <c r="H33" s="7">
        <v>6177.83</v>
      </c>
      <c r="I33" s="2"/>
      <c r="J33" s="6">
        <f t="shared" si="9"/>
        <v>0</v>
      </c>
      <c r="K33" s="2"/>
      <c r="L33" s="7">
        <f t="shared" si="10"/>
        <v>-2891.83</v>
      </c>
      <c r="M33" s="2"/>
      <c r="N33" s="6">
        <f t="shared" si="11"/>
        <v>-0.4680980214735595</v>
      </c>
      <c r="O33" s="11"/>
      <c r="P33" s="7">
        <v>3286</v>
      </c>
      <c r="Q33" s="2"/>
      <c r="R33" s="6">
        <f t="shared" si="12"/>
        <v>0</v>
      </c>
      <c r="S33" s="2"/>
      <c r="T33" s="7">
        <v>6177.83</v>
      </c>
      <c r="U33" s="2"/>
      <c r="V33" s="6">
        <f t="shared" si="13"/>
        <v>0</v>
      </c>
      <c r="W33" s="2"/>
      <c r="X33" s="7">
        <f t="shared" si="14"/>
        <v>-2891.83</v>
      </c>
      <c r="Y33" s="2"/>
      <c r="Z33" s="6">
        <f t="shared" si="15"/>
        <v>-0.4680980214735595</v>
      </c>
    </row>
    <row r="34" spans="1:26" s="28" customFormat="1" outlineLevel="1" collapsed="1" x14ac:dyDescent="0.25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588.74</v>
      </c>
      <c r="E34" s="1"/>
      <c r="F34" s="5">
        <f t="shared" ref="F34:F50" si="16">IF(D$12=0,0,D34/D$12)</f>
        <v>0</v>
      </c>
      <c r="G34" s="1"/>
      <c r="H34" s="1">
        <f>SUM(OSRRefH22_2x_0)</f>
        <v>526.53</v>
      </c>
      <c r="I34" s="1"/>
      <c r="J34" s="5">
        <f t="shared" ref="J34:J50" si="17">IF(H$12=0,0,H34/H$12)</f>
        <v>0</v>
      </c>
      <c r="K34" s="1"/>
      <c r="L34" s="1">
        <f t="shared" ref="L34:L50" si="18">+D34-H34</f>
        <v>62.210000000000036</v>
      </c>
      <c r="M34" s="1"/>
      <c r="N34" s="5">
        <f t="shared" ref="N34:N50" si="19">IF(H34=0,0,L34/H34)</f>
        <v>0.1181509125785806</v>
      </c>
      <c r="O34" s="14"/>
      <c r="P34" s="1">
        <f>SUM(OSRRefP22_2x_0)</f>
        <v>588.74</v>
      </c>
      <c r="Q34" s="1"/>
      <c r="R34" s="5">
        <f t="shared" ref="R34:R50" si="20">IF(P$12=0,0,P34/P$12)</f>
        <v>0</v>
      </c>
      <c r="S34" s="1"/>
      <c r="T34" s="1">
        <f>SUM(OSRRefT22_2x_0)</f>
        <v>526.53</v>
      </c>
      <c r="U34" s="1"/>
      <c r="V34" s="5">
        <f t="shared" ref="V34:V50" si="21">IF(T$12=0,0,T34/T$12)</f>
        <v>0</v>
      </c>
      <c r="W34" s="1"/>
      <c r="X34" s="1">
        <f t="shared" ref="X34:X50" si="22">+P34-T34</f>
        <v>62.210000000000036</v>
      </c>
      <c r="Y34" s="1"/>
      <c r="Z34" s="5">
        <f t="shared" ref="Z34:Z50" si="23">IF(T34=0,0,X34/T34)</f>
        <v>0.1181509125785806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7">
        <v>588.74</v>
      </c>
      <c r="E35" s="2"/>
      <c r="F35" s="6">
        <f t="shared" si="16"/>
        <v>0</v>
      </c>
      <c r="G35" s="2"/>
      <c r="H35" s="7">
        <v>526.53</v>
      </c>
      <c r="I35" s="2"/>
      <c r="J35" s="6">
        <f t="shared" si="17"/>
        <v>0</v>
      </c>
      <c r="K35" s="2"/>
      <c r="L35" s="7">
        <f t="shared" si="18"/>
        <v>62.210000000000036</v>
      </c>
      <c r="M35" s="2"/>
      <c r="N35" s="6">
        <f t="shared" si="19"/>
        <v>0.1181509125785806</v>
      </c>
      <c r="O35" s="11"/>
      <c r="P35" s="7">
        <v>588.74</v>
      </c>
      <c r="Q35" s="2"/>
      <c r="R35" s="6">
        <f t="shared" si="20"/>
        <v>0</v>
      </c>
      <c r="S35" s="2"/>
      <c r="T35" s="7">
        <v>526.53</v>
      </c>
      <c r="U35" s="2"/>
      <c r="V35" s="6">
        <f t="shared" si="21"/>
        <v>0</v>
      </c>
      <c r="W35" s="2"/>
      <c r="X35" s="7">
        <f t="shared" si="22"/>
        <v>62.210000000000036</v>
      </c>
      <c r="Y35" s="2"/>
      <c r="Z35" s="6">
        <f t="shared" si="23"/>
        <v>0.1181509125785806</v>
      </c>
    </row>
    <row r="36" spans="1:26" s="28" customFormat="1" outlineLevel="1" collapsed="1" x14ac:dyDescent="0.25">
      <c r="A36" s="27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224.18</v>
      </c>
      <c r="E36" s="1"/>
      <c r="F36" s="5">
        <f t="shared" si="16"/>
        <v>0</v>
      </c>
      <c r="G36" s="1"/>
      <c r="H36" s="1">
        <f>SUM(OSRRefH22_3x_0)</f>
        <v>224.17</v>
      </c>
      <c r="I36" s="1"/>
      <c r="J36" s="5">
        <f t="shared" si="17"/>
        <v>0</v>
      </c>
      <c r="K36" s="1"/>
      <c r="L36" s="1">
        <f t="shared" si="18"/>
        <v>1.0000000000019327E-2</v>
      </c>
      <c r="M36" s="1"/>
      <c r="N36" s="5">
        <f t="shared" si="19"/>
        <v>4.4609002096709314E-5</v>
      </c>
      <c r="O36" s="14"/>
      <c r="P36" s="1">
        <f>SUM(OSRRefP22_3x_0)</f>
        <v>224.18</v>
      </c>
      <c r="Q36" s="1"/>
      <c r="R36" s="5">
        <f t="shared" si="20"/>
        <v>0</v>
      </c>
      <c r="S36" s="1"/>
      <c r="T36" s="1">
        <f>SUM(OSRRefT22_3x_0)</f>
        <v>224.17</v>
      </c>
      <c r="U36" s="1"/>
      <c r="V36" s="5">
        <f t="shared" si="21"/>
        <v>0</v>
      </c>
      <c r="W36" s="1"/>
      <c r="X36" s="1">
        <f t="shared" si="22"/>
        <v>1.0000000000019327E-2</v>
      </c>
      <c r="Y36" s="1"/>
      <c r="Z36" s="5">
        <f t="shared" si="23"/>
        <v>4.4609002096709314E-5</v>
      </c>
    </row>
    <row r="37" spans="1:26" s="24" customFormat="1" hidden="1" outlineLevel="2" x14ac:dyDescent="0.25">
      <c r="A37" s="29"/>
      <c r="B37" s="11" t="str">
        <f>CONCATENATE("          ", "6322", " - ", "EQUIPMENT DEPRECIATION EXPENSE")</f>
        <v xml:space="preserve">          6322 - EQUIPMENT DEPRECIATION EXPENSE</v>
      </c>
      <c r="C37" s="11"/>
      <c r="D37" s="7">
        <v>224.18</v>
      </c>
      <c r="E37" s="2"/>
      <c r="F37" s="6">
        <f t="shared" si="16"/>
        <v>0</v>
      </c>
      <c r="G37" s="2"/>
      <c r="H37" s="7">
        <v>224.17</v>
      </c>
      <c r="I37" s="2"/>
      <c r="J37" s="6">
        <f t="shared" si="17"/>
        <v>0</v>
      </c>
      <c r="K37" s="2"/>
      <c r="L37" s="7">
        <f t="shared" si="18"/>
        <v>1.0000000000019327E-2</v>
      </c>
      <c r="M37" s="2"/>
      <c r="N37" s="6">
        <f t="shared" si="19"/>
        <v>4.4609002096709314E-5</v>
      </c>
      <c r="O37" s="11"/>
      <c r="P37" s="7">
        <v>224.18</v>
      </c>
      <c r="Q37" s="2"/>
      <c r="R37" s="6">
        <f t="shared" si="20"/>
        <v>0</v>
      </c>
      <c r="S37" s="2"/>
      <c r="T37" s="7">
        <v>224.17</v>
      </c>
      <c r="U37" s="2"/>
      <c r="V37" s="6">
        <f t="shared" si="21"/>
        <v>0</v>
      </c>
      <c r="W37" s="2"/>
      <c r="X37" s="7">
        <f t="shared" si="22"/>
        <v>1.0000000000019327E-2</v>
      </c>
      <c r="Y37" s="2"/>
      <c r="Z37" s="6">
        <f t="shared" si="23"/>
        <v>4.4609002096709314E-5</v>
      </c>
    </row>
    <row r="38" spans="1:26" s="28" customFormat="1" outlineLevel="1" collapsed="1" x14ac:dyDescent="0.25">
      <c r="A38" s="27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SUM(OSRRefD22_4x_0)</f>
        <v>5147.58</v>
      </c>
      <c r="E38" s="1"/>
      <c r="F38" s="5">
        <f t="shared" si="16"/>
        <v>0</v>
      </c>
      <c r="G38" s="1"/>
      <c r="H38" s="1">
        <f>SUM(OSRRefH22_4x_0)</f>
        <v>6936.76</v>
      </c>
      <c r="I38" s="1"/>
      <c r="J38" s="5">
        <f t="shared" si="17"/>
        <v>0</v>
      </c>
      <c r="K38" s="1"/>
      <c r="L38" s="1">
        <f t="shared" si="18"/>
        <v>-1789.1800000000003</v>
      </c>
      <c r="M38" s="1"/>
      <c r="N38" s="5">
        <f t="shared" si="19"/>
        <v>-0.25792733206857382</v>
      </c>
      <c r="O38" s="14"/>
      <c r="P38" s="1">
        <f>SUM(OSRRefP22_4x_0)</f>
        <v>5147.58</v>
      </c>
      <c r="Q38" s="1"/>
      <c r="R38" s="5">
        <f t="shared" si="20"/>
        <v>0</v>
      </c>
      <c r="S38" s="1"/>
      <c r="T38" s="1">
        <f>SUM(OSRRefT22_4x_0)</f>
        <v>6936.76</v>
      </c>
      <c r="U38" s="1"/>
      <c r="V38" s="5">
        <f t="shared" si="21"/>
        <v>0</v>
      </c>
      <c r="W38" s="1"/>
      <c r="X38" s="1">
        <f t="shared" si="22"/>
        <v>-1789.1800000000003</v>
      </c>
      <c r="Y38" s="1"/>
      <c r="Z38" s="5">
        <f t="shared" si="23"/>
        <v>-0.25792733206857382</v>
      </c>
    </row>
    <row r="39" spans="1:26" s="24" customFormat="1" hidden="1" outlineLevel="2" x14ac:dyDescent="0.25">
      <c r="A39" s="29"/>
      <c r="B39" s="11" t="str">
        <f>CONCATENATE("          ", "6277", " - ", "EMPLOYEE APPRECIATION")</f>
        <v xml:space="preserve">          6277 - EMPLOYEE APPRECIATION</v>
      </c>
      <c r="C39" s="11"/>
      <c r="D39" s="7">
        <v>5147.58</v>
      </c>
      <c r="E39" s="2"/>
      <c r="F39" s="6">
        <f t="shared" si="16"/>
        <v>0</v>
      </c>
      <c r="G39" s="2"/>
      <c r="H39" s="7">
        <v>6936.76</v>
      </c>
      <c r="I39" s="2"/>
      <c r="J39" s="6">
        <f t="shared" si="17"/>
        <v>0</v>
      </c>
      <c r="K39" s="2"/>
      <c r="L39" s="7">
        <f t="shared" si="18"/>
        <v>-1789.1800000000003</v>
      </c>
      <c r="M39" s="2"/>
      <c r="N39" s="6">
        <f t="shared" si="19"/>
        <v>-0.25792733206857382</v>
      </c>
      <c r="O39" s="11"/>
      <c r="P39" s="7">
        <v>5147.58</v>
      </c>
      <c r="Q39" s="2"/>
      <c r="R39" s="6">
        <f t="shared" si="20"/>
        <v>0</v>
      </c>
      <c r="S39" s="2"/>
      <c r="T39" s="7">
        <v>6936.76</v>
      </c>
      <c r="U39" s="2"/>
      <c r="V39" s="6">
        <f t="shared" si="21"/>
        <v>0</v>
      </c>
      <c r="W39" s="2"/>
      <c r="X39" s="7">
        <f t="shared" si="22"/>
        <v>-1789.1800000000003</v>
      </c>
      <c r="Y39" s="2"/>
      <c r="Z39" s="6">
        <f t="shared" si="23"/>
        <v>-0.25792733206857382</v>
      </c>
    </row>
    <row r="40" spans="1:26" s="28" customFormat="1" outlineLevel="1" collapsed="1" x14ac:dyDescent="0.25">
      <c r="A40" s="27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4"/>
      <c r="P40" s="1">
        <f>SUM(OSRRefP22_5x_0)</f>
        <v>91.26</v>
      </c>
      <c r="Q40" s="1"/>
      <c r="R40" s="5">
        <f t="shared" si="20"/>
        <v>0</v>
      </c>
      <c r="S40" s="1"/>
      <c r="T40" s="1">
        <f>SUM(OSRRefT22_5x_0)</f>
        <v>91.26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4" customFormat="1" hidden="1" outlineLevel="2" x14ac:dyDescent="0.25">
      <c r="A41" s="29"/>
      <c r="B41" s="11" t="str">
        <f>CONCATENATE("          ", "6351", " - ", "EQUIPMENT RENTAL")</f>
        <v xml:space="preserve">          6351 - EQUIPMENT RENTAL</v>
      </c>
      <c r="C41" s="11"/>
      <c r="D41" s="7">
        <v>91.26</v>
      </c>
      <c r="E41" s="2"/>
      <c r="F41" s="6">
        <f t="shared" si="16"/>
        <v>0</v>
      </c>
      <c r="G41" s="2"/>
      <c r="H41" s="7">
        <v>91.26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91.26</v>
      </c>
      <c r="Q41" s="2"/>
      <c r="R41" s="6">
        <f t="shared" si="20"/>
        <v>0</v>
      </c>
      <c r="S41" s="2"/>
      <c r="T41" s="7">
        <v>91.26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7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SUM(OSRRefD22_6x_0)</f>
        <v>37.65</v>
      </c>
      <c r="E42" s="1"/>
      <c r="F42" s="5">
        <f t="shared" si="16"/>
        <v>0</v>
      </c>
      <c r="G42" s="1"/>
      <c r="H42" s="1">
        <f>SUM(OSRRefH22_6x_0)</f>
        <v>78.39</v>
      </c>
      <c r="I42" s="1"/>
      <c r="J42" s="5">
        <f t="shared" si="17"/>
        <v>0</v>
      </c>
      <c r="K42" s="1"/>
      <c r="L42" s="1">
        <f t="shared" si="18"/>
        <v>-40.74</v>
      </c>
      <c r="M42" s="1"/>
      <c r="N42" s="5">
        <f t="shared" si="19"/>
        <v>-0.51970914657481826</v>
      </c>
      <c r="O42" s="14"/>
      <c r="P42" s="1">
        <f>SUM(OSRRefP22_6x_0)</f>
        <v>37.65</v>
      </c>
      <c r="Q42" s="1"/>
      <c r="R42" s="5">
        <f t="shared" si="20"/>
        <v>0</v>
      </c>
      <c r="S42" s="1"/>
      <c r="T42" s="1">
        <f>SUM(OSRRefT22_6x_0)</f>
        <v>78.39</v>
      </c>
      <c r="U42" s="1"/>
      <c r="V42" s="5">
        <f t="shared" si="21"/>
        <v>0</v>
      </c>
      <c r="W42" s="1"/>
      <c r="X42" s="1">
        <f t="shared" si="22"/>
        <v>-40.74</v>
      </c>
      <c r="Y42" s="1"/>
      <c r="Z42" s="5">
        <f t="shared" si="23"/>
        <v>-0.51970914657481826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7">
        <v>37.65</v>
      </c>
      <c r="E43" s="2"/>
      <c r="F43" s="6">
        <f t="shared" si="16"/>
        <v>0</v>
      </c>
      <c r="G43" s="2"/>
      <c r="H43" s="7">
        <v>78.39</v>
      </c>
      <c r="I43" s="2"/>
      <c r="J43" s="6">
        <f t="shared" si="17"/>
        <v>0</v>
      </c>
      <c r="K43" s="2"/>
      <c r="L43" s="7">
        <f t="shared" si="18"/>
        <v>-40.74</v>
      </c>
      <c r="M43" s="2"/>
      <c r="N43" s="6">
        <f t="shared" si="19"/>
        <v>-0.51970914657481826</v>
      </c>
      <c r="O43" s="11"/>
      <c r="P43" s="7">
        <v>37.65</v>
      </c>
      <c r="Q43" s="2"/>
      <c r="R43" s="6">
        <f t="shared" si="20"/>
        <v>0</v>
      </c>
      <c r="S43" s="2"/>
      <c r="T43" s="7">
        <v>78.39</v>
      </c>
      <c r="U43" s="2"/>
      <c r="V43" s="6">
        <f t="shared" si="21"/>
        <v>0</v>
      </c>
      <c r="W43" s="2"/>
      <c r="X43" s="7">
        <f t="shared" si="22"/>
        <v>-40.74</v>
      </c>
      <c r="Y43" s="2"/>
      <c r="Z43" s="6">
        <f t="shared" si="23"/>
        <v>-0.51970914657481826</v>
      </c>
    </row>
    <row r="44" spans="1:26" s="28" customFormat="1" outlineLevel="1" collapsed="1" x14ac:dyDescent="0.25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SUM(OSRRefD22_7x_0)</f>
        <v>65.47</v>
      </c>
      <c r="E44" s="1"/>
      <c r="F44" s="5">
        <f t="shared" si="16"/>
        <v>0</v>
      </c>
      <c r="G44" s="1"/>
      <c r="H44" s="1">
        <f>SUM(OSRRefH22_7x_0)</f>
        <v>61.68</v>
      </c>
      <c r="I44" s="1"/>
      <c r="J44" s="5">
        <f t="shared" si="17"/>
        <v>0</v>
      </c>
      <c r="K44" s="1"/>
      <c r="L44" s="1">
        <f t="shared" si="18"/>
        <v>3.7899999999999991</v>
      </c>
      <c r="M44" s="1"/>
      <c r="N44" s="5">
        <f t="shared" si="19"/>
        <v>6.1446173800259393E-2</v>
      </c>
      <c r="O44" s="14"/>
      <c r="P44" s="1">
        <f>SUM(OSRRefP22_7x_0)</f>
        <v>65.47</v>
      </c>
      <c r="Q44" s="1"/>
      <c r="R44" s="5">
        <f t="shared" si="20"/>
        <v>0</v>
      </c>
      <c r="S44" s="1"/>
      <c r="T44" s="1">
        <f>SUM(OSRRefT22_7x_0)</f>
        <v>61.68</v>
      </c>
      <c r="U44" s="1"/>
      <c r="V44" s="5">
        <f t="shared" si="21"/>
        <v>0</v>
      </c>
      <c r="W44" s="1"/>
      <c r="X44" s="1">
        <f t="shared" si="22"/>
        <v>3.7899999999999991</v>
      </c>
      <c r="Y44" s="1"/>
      <c r="Z44" s="5">
        <f t="shared" si="23"/>
        <v>6.1446173800259393E-2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7">
        <v>65.47</v>
      </c>
      <c r="E45" s="2"/>
      <c r="F45" s="6">
        <f t="shared" si="16"/>
        <v>0</v>
      </c>
      <c r="G45" s="2"/>
      <c r="H45" s="7">
        <v>61.68</v>
      </c>
      <c r="I45" s="2"/>
      <c r="J45" s="6">
        <f t="shared" si="17"/>
        <v>0</v>
      </c>
      <c r="K45" s="2"/>
      <c r="L45" s="7">
        <f t="shared" si="18"/>
        <v>3.7899999999999991</v>
      </c>
      <c r="M45" s="2"/>
      <c r="N45" s="6">
        <f t="shared" si="19"/>
        <v>6.1446173800259393E-2</v>
      </c>
      <c r="O45" s="11"/>
      <c r="P45" s="7">
        <v>65.47</v>
      </c>
      <c r="Q45" s="2"/>
      <c r="R45" s="6">
        <f t="shared" si="20"/>
        <v>0</v>
      </c>
      <c r="S45" s="2"/>
      <c r="T45" s="7">
        <v>61.68</v>
      </c>
      <c r="U45" s="2"/>
      <c r="V45" s="6">
        <f t="shared" si="21"/>
        <v>0</v>
      </c>
      <c r="W45" s="2"/>
      <c r="X45" s="7">
        <f t="shared" si="22"/>
        <v>3.7899999999999991</v>
      </c>
      <c r="Y45" s="2"/>
      <c r="Z45" s="6">
        <f t="shared" si="23"/>
        <v>6.1446173800259393E-2</v>
      </c>
    </row>
    <row r="46" spans="1:26" s="28" customFormat="1" outlineLevel="1" collapsed="1" x14ac:dyDescent="0.25">
      <c r="A46" s="27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SUM(OSRRefD22_8x_0)</f>
        <v>653.74</v>
      </c>
      <c r="E46" s="1"/>
      <c r="F46" s="5">
        <f t="shared" si="16"/>
        <v>0</v>
      </c>
      <c r="G46" s="1"/>
      <c r="H46" s="1">
        <f>SUM(OSRRefH22_8x_0)</f>
        <v>312.75</v>
      </c>
      <c r="I46" s="1"/>
      <c r="J46" s="5">
        <f t="shared" si="17"/>
        <v>0</v>
      </c>
      <c r="K46" s="1"/>
      <c r="L46" s="1">
        <f t="shared" si="18"/>
        <v>340.99</v>
      </c>
      <c r="M46" s="1"/>
      <c r="N46" s="5">
        <f t="shared" si="19"/>
        <v>1.0902957633892887</v>
      </c>
      <c r="O46" s="14"/>
      <c r="P46" s="1">
        <f>SUM(OSRRefP22_8x_0)</f>
        <v>653.74</v>
      </c>
      <c r="Q46" s="1"/>
      <c r="R46" s="5">
        <f t="shared" si="20"/>
        <v>0</v>
      </c>
      <c r="S46" s="1"/>
      <c r="T46" s="1">
        <f>SUM(OSRRefT22_8x_0)</f>
        <v>312.75</v>
      </c>
      <c r="U46" s="1"/>
      <c r="V46" s="5">
        <f t="shared" si="21"/>
        <v>0</v>
      </c>
      <c r="W46" s="1"/>
      <c r="X46" s="1">
        <f t="shared" si="22"/>
        <v>340.99</v>
      </c>
      <c r="Y46" s="1"/>
      <c r="Z46" s="5">
        <f t="shared" si="23"/>
        <v>1.0902957633892887</v>
      </c>
    </row>
    <row r="47" spans="1:26" s="24" customFormat="1" hidden="1" outlineLevel="2" x14ac:dyDescent="0.25">
      <c r="A47" s="29"/>
      <c r="B47" s="11" t="str">
        <f>CONCATENATE("          ", "6336", " - ", "PROFESSIONAL SERVICES")</f>
        <v xml:space="preserve">          6336 - PROFESSIONAL SERVICES</v>
      </c>
      <c r="C47" s="11"/>
      <c r="D47" s="7">
        <v>653.74</v>
      </c>
      <c r="E47" s="2"/>
      <c r="F47" s="6">
        <f t="shared" si="16"/>
        <v>0</v>
      </c>
      <c r="G47" s="2"/>
      <c r="H47" s="7">
        <v>312.75</v>
      </c>
      <c r="I47" s="2"/>
      <c r="J47" s="6">
        <f t="shared" si="17"/>
        <v>0</v>
      </c>
      <c r="K47" s="2"/>
      <c r="L47" s="7">
        <f t="shared" si="18"/>
        <v>340.99</v>
      </c>
      <c r="M47" s="2"/>
      <c r="N47" s="6">
        <f t="shared" si="19"/>
        <v>1.0902957633892887</v>
      </c>
      <c r="O47" s="11"/>
      <c r="P47" s="7">
        <v>653.74</v>
      </c>
      <c r="Q47" s="2"/>
      <c r="R47" s="6">
        <f t="shared" si="20"/>
        <v>0</v>
      </c>
      <c r="S47" s="2"/>
      <c r="T47" s="7">
        <v>312.75</v>
      </c>
      <c r="U47" s="2"/>
      <c r="V47" s="6">
        <f t="shared" si="21"/>
        <v>0</v>
      </c>
      <c r="W47" s="2"/>
      <c r="X47" s="7">
        <f t="shared" si="22"/>
        <v>340.99</v>
      </c>
      <c r="Y47" s="2"/>
      <c r="Z47" s="6">
        <f t="shared" si="23"/>
        <v>1.0902957633892887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SUM(OSRRefD22_9x_0)</f>
        <v>10694.3</v>
      </c>
      <c r="E48" s="1"/>
      <c r="F48" s="5">
        <f t="shared" si="16"/>
        <v>0</v>
      </c>
      <c r="G48" s="1"/>
      <c r="H48" s="1">
        <f>SUM(OSRRefH22_9x_0)</f>
        <v>11335.67</v>
      </c>
      <c r="I48" s="1"/>
      <c r="J48" s="5">
        <f t="shared" si="17"/>
        <v>0</v>
      </c>
      <c r="K48" s="1"/>
      <c r="L48" s="1">
        <f t="shared" si="18"/>
        <v>-641.3700000000008</v>
      </c>
      <c r="M48" s="1"/>
      <c r="N48" s="5">
        <f t="shared" si="19"/>
        <v>-5.6579805163700141E-2</v>
      </c>
      <c r="O48" s="14"/>
      <c r="P48" s="1">
        <f>SUM(OSRRefP22_9x_0)</f>
        <v>10694.3</v>
      </c>
      <c r="Q48" s="1"/>
      <c r="R48" s="5">
        <f t="shared" si="20"/>
        <v>0</v>
      </c>
      <c r="S48" s="1"/>
      <c r="T48" s="1">
        <f>SUM(OSRRefT22_9x_0)</f>
        <v>11335.67</v>
      </c>
      <c r="U48" s="1"/>
      <c r="V48" s="5">
        <f t="shared" si="21"/>
        <v>0</v>
      </c>
      <c r="W48" s="1"/>
      <c r="X48" s="1">
        <f t="shared" si="22"/>
        <v>-641.3700000000008</v>
      </c>
      <c r="Y48" s="1"/>
      <c r="Z48" s="5">
        <f t="shared" si="23"/>
        <v>-5.6579805163700141E-2</v>
      </c>
    </row>
    <row r="49" spans="1:26" s="24" customFormat="1" hidden="1" outlineLevel="2" x14ac:dyDescent="0.25">
      <c r="A49" s="29"/>
      <c r="B49" s="11" t="str">
        <f>CONCATENATE("          ", "6371", " - ", "COMPUTER SOFTWARE MAINTENANCE")</f>
        <v xml:space="preserve">          6371 - COMPUTER SOFTWARE MAINTENANCE</v>
      </c>
      <c r="C49" s="11"/>
      <c r="D49" s="7">
        <v>10664.96</v>
      </c>
      <c r="E49" s="2"/>
      <c r="F49" s="6">
        <f t="shared" si="16"/>
        <v>0</v>
      </c>
      <c r="G49" s="2"/>
      <c r="H49" s="7">
        <v>11294.53</v>
      </c>
      <c r="I49" s="2"/>
      <c r="J49" s="6">
        <f t="shared" si="17"/>
        <v>0</v>
      </c>
      <c r="K49" s="2"/>
      <c r="L49" s="7">
        <f t="shared" si="18"/>
        <v>-629.57000000000153</v>
      </c>
      <c r="M49" s="2"/>
      <c r="N49" s="6">
        <f t="shared" si="19"/>
        <v>-5.5741141951015358E-2</v>
      </c>
      <c r="O49" s="11"/>
      <c r="P49" s="7">
        <v>10664.96</v>
      </c>
      <c r="Q49" s="2"/>
      <c r="R49" s="6">
        <f t="shared" si="20"/>
        <v>0</v>
      </c>
      <c r="S49" s="2"/>
      <c r="T49" s="7">
        <v>11294.53</v>
      </c>
      <c r="U49" s="2"/>
      <c r="V49" s="6">
        <f t="shared" si="21"/>
        <v>0</v>
      </c>
      <c r="W49" s="2"/>
      <c r="X49" s="7">
        <f t="shared" si="22"/>
        <v>-629.57000000000153</v>
      </c>
      <c r="Y49" s="2"/>
      <c r="Z49" s="6">
        <f t="shared" si="23"/>
        <v>-5.5741141951015358E-2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7">
        <v>29.34</v>
      </c>
      <c r="E50" s="2"/>
      <c r="F50" s="6">
        <f t="shared" si="16"/>
        <v>0</v>
      </c>
      <c r="G50" s="2"/>
      <c r="H50" s="7">
        <v>41.14</v>
      </c>
      <c r="I50" s="2"/>
      <c r="J50" s="6">
        <f t="shared" si="17"/>
        <v>0</v>
      </c>
      <c r="K50" s="2"/>
      <c r="L50" s="7">
        <f t="shared" si="18"/>
        <v>-11.8</v>
      </c>
      <c r="M50" s="2"/>
      <c r="N50" s="6">
        <f t="shared" si="19"/>
        <v>-0.28682547399124941</v>
      </c>
      <c r="O50" s="11"/>
      <c r="P50" s="7">
        <v>29.34</v>
      </c>
      <c r="Q50" s="2"/>
      <c r="R50" s="6">
        <f t="shared" si="20"/>
        <v>0</v>
      </c>
      <c r="S50" s="2"/>
      <c r="T50" s="7">
        <v>41.14</v>
      </c>
      <c r="U50" s="2"/>
      <c r="V50" s="6">
        <f t="shared" si="21"/>
        <v>0</v>
      </c>
      <c r="W50" s="2"/>
      <c r="X50" s="7">
        <f t="shared" si="22"/>
        <v>-11.8</v>
      </c>
      <c r="Y50" s="2"/>
      <c r="Z50" s="6">
        <f t="shared" si="23"/>
        <v>-0.28682547399124941</v>
      </c>
    </row>
    <row r="51" spans="1:26" s="28" customFormat="1" outlineLevel="1" collapsed="1" x14ac:dyDescent="0.25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SUM(OSRRefD22_10x_0)</f>
        <v>2451.34</v>
      </c>
      <c r="E51" s="1"/>
      <c r="F51" s="5">
        <f t="shared" ref="F51:F54" si="24">IF(D$12=0,0,D51/D$12)</f>
        <v>0</v>
      </c>
      <c r="G51" s="1"/>
      <c r="H51" s="1">
        <f>SUM(OSRRefH22_10x_0)</f>
        <v>2228.3200000000002</v>
      </c>
      <c r="I51" s="1"/>
      <c r="J51" s="5">
        <f t="shared" ref="J51:J54" si="25">IF(H$12=0,0,H51/H$12)</f>
        <v>0</v>
      </c>
      <c r="K51" s="1"/>
      <c r="L51" s="1">
        <f t="shared" ref="L51:L54" si="26">+D51-H51</f>
        <v>223.01999999999998</v>
      </c>
      <c r="M51" s="1"/>
      <c r="N51" s="5">
        <f t="shared" ref="N51:N54" si="27">IF(H51=0,0,L51/H51)</f>
        <v>0.10008436849285558</v>
      </c>
      <c r="O51" s="14"/>
      <c r="P51" s="1">
        <f>SUM(OSRRefP22_10x_0)</f>
        <v>2451.34</v>
      </c>
      <c r="Q51" s="1"/>
      <c r="R51" s="5">
        <f t="shared" ref="R51:R54" si="28">IF(P$12=0,0,P51/P$12)</f>
        <v>0</v>
      </c>
      <c r="S51" s="1"/>
      <c r="T51" s="1">
        <f>SUM(OSRRefT22_10x_0)</f>
        <v>2228.3200000000002</v>
      </c>
      <c r="U51" s="1"/>
      <c r="V51" s="5">
        <f t="shared" ref="V51:V54" si="29">IF(T$12=0,0,T51/T$12)</f>
        <v>0</v>
      </c>
      <c r="W51" s="1"/>
      <c r="X51" s="1">
        <f t="shared" ref="X51:X54" si="30">+P51-T51</f>
        <v>223.01999999999998</v>
      </c>
      <c r="Y51" s="1"/>
      <c r="Z51" s="5">
        <f t="shared" ref="Z51:Z54" si="31">IF(T51=0,0,X51/T51)</f>
        <v>0.10008436849285558</v>
      </c>
    </row>
    <row r="52" spans="1:26" s="24" customFormat="1" hidden="1" outlineLevel="2" x14ac:dyDescent="0.25">
      <c r="A52" s="29"/>
      <c r="B52" s="11" t="str">
        <f>CONCATENATE("          ", "6241", " - ", "OFFICE EXPENSE")</f>
        <v xml:space="preserve">          6241 - OFFICE EXPENSE</v>
      </c>
      <c r="C52" s="11"/>
      <c r="D52" s="7">
        <v>1746.59</v>
      </c>
      <c r="E52" s="2"/>
      <c r="F52" s="6">
        <f t="shared" si="24"/>
        <v>0</v>
      </c>
      <c r="G52" s="2"/>
      <c r="H52" s="7">
        <v>2102.92</v>
      </c>
      <c r="I52" s="2"/>
      <c r="J52" s="6">
        <f t="shared" si="25"/>
        <v>0</v>
      </c>
      <c r="K52" s="2"/>
      <c r="L52" s="7">
        <f t="shared" si="26"/>
        <v>-356.33000000000015</v>
      </c>
      <c r="M52" s="2"/>
      <c r="N52" s="6">
        <f t="shared" si="27"/>
        <v>-0.16944534266638775</v>
      </c>
      <c r="O52" s="11"/>
      <c r="P52" s="7">
        <v>1746.59</v>
      </c>
      <c r="Q52" s="2"/>
      <c r="R52" s="6">
        <f t="shared" si="28"/>
        <v>0</v>
      </c>
      <c r="S52" s="2"/>
      <c r="T52" s="7">
        <v>2102.92</v>
      </c>
      <c r="U52" s="2"/>
      <c r="V52" s="6">
        <f t="shared" si="29"/>
        <v>0</v>
      </c>
      <c r="W52" s="2"/>
      <c r="X52" s="7">
        <f t="shared" si="30"/>
        <v>-356.33000000000015</v>
      </c>
      <c r="Y52" s="2"/>
      <c r="Z52" s="6">
        <f t="shared" si="31"/>
        <v>-0.16944534266638775</v>
      </c>
    </row>
    <row r="53" spans="1:26" s="24" customFormat="1" hidden="1" outlineLevel="2" x14ac:dyDescent="0.25">
      <c r="A53" s="29"/>
      <c r="B53" s="11" t="str">
        <f>CONCATENATE("          ", "6244", " - ", "SAFETY SUPPLY EXPENSE")</f>
        <v xml:space="preserve">          6244 - SAFETY SUPPLY EXPENSE</v>
      </c>
      <c r="C53" s="11"/>
      <c r="D53" s="7">
        <v>127.92</v>
      </c>
      <c r="E53" s="2"/>
      <c r="F53" s="6">
        <f t="shared" si="24"/>
        <v>0</v>
      </c>
      <c r="G53" s="2"/>
      <c r="H53" s="7">
        <v>125</v>
      </c>
      <c r="I53" s="2"/>
      <c r="J53" s="6">
        <f t="shared" si="25"/>
        <v>0</v>
      </c>
      <c r="K53" s="2"/>
      <c r="L53" s="7">
        <f t="shared" si="26"/>
        <v>2.9200000000000017</v>
      </c>
      <c r="M53" s="2"/>
      <c r="N53" s="6">
        <f t="shared" si="27"/>
        <v>2.3360000000000013E-2</v>
      </c>
      <c r="O53" s="11"/>
      <c r="P53" s="7">
        <v>127.92</v>
      </c>
      <c r="Q53" s="2"/>
      <c r="R53" s="6">
        <f t="shared" si="28"/>
        <v>0</v>
      </c>
      <c r="S53" s="2"/>
      <c r="T53" s="7">
        <v>125</v>
      </c>
      <c r="U53" s="2"/>
      <c r="V53" s="6">
        <f t="shared" si="29"/>
        <v>0</v>
      </c>
      <c r="W53" s="2"/>
      <c r="X53" s="7">
        <f t="shared" si="30"/>
        <v>2.9200000000000017</v>
      </c>
      <c r="Y53" s="2"/>
      <c r="Z53" s="6">
        <f t="shared" si="31"/>
        <v>2.3360000000000013E-2</v>
      </c>
    </row>
    <row r="54" spans="1:26" s="24" customFormat="1" hidden="1" outlineLevel="2" x14ac:dyDescent="0.25">
      <c r="A54" s="29"/>
      <c r="B54" s="11" t="str">
        <f>CONCATENATE("          ", "6245", " - ", "PRINTING")</f>
        <v xml:space="preserve">          6245 - PRINTING</v>
      </c>
      <c r="C54" s="11"/>
      <c r="D54" s="7">
        <v>576.83000000000004</v>
      </c>
      <c r="E54" s="2"/>
      <c r="F54" s="6">
        <f t="shared" si="24"/>
        <v>0</v>
      </c>
      <c r="G54" s="2"/>
      <c r="H54" s="7">
        <v>0.4</v>
      </c>
      <c r="I54" s="2"/>
      <c r="J54" s="6">
        <f t="shared" si="25"/>
        <v>0</v>
      </c>
      <c r="K54" s="2"/>
      <c r="L54" s="7">
        <f t="shared" si="26"/>
        <v>576.43000000000006</v>
      </c>
      <c r="M54" s="2"/>
      <c r="N54" s="6">
        <f t="shared" si="27"/>
        <v>1441.075</v>
      </c>
      <c r="O54" s="11"/>
      <c r="P54" s="7">
        <v>576.83000000000004</v>
      </c>
      <c r="Q54" s="2"/>
      <c r="R54" s="6">
        <f t="shared" si="28"/>
        <v>0</v>
      </c>
      <c r="S54" s="2"/>
      <c r="T54" s="7">
        <v>0.4</v>
      </c>
      <c r="U54" s="2"/>
      <c r="V54" s="6">
        <f t="shared" si="29"/>
        <v>0</v>
      </c>
      <c r="W54" s="2"/>
      <c r="X54" s="7">
        <f t="shared" si="30"/>
        <v>576.43000000000006</v>
      </c>
      <c r="Y54" s="2"/>
      <c r="Z54" s="6">
        <f t="shared" si="31"/>
        <v>1441.075</v>
      </c>
    </row>
    <row r="55" spans="1:26" s="28" customFormat="1" outlineLevel="1" collapsed="1" x14ac:dyDescent="0.25">
      <c r="A55" s="27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SUM(OSRRefD22_11x_0)</f>
        <v>339.85</v>
      </c>
      <c r="E55" s="1"/>
      <c r="F55" s="5">
        <f t="shared" ref="F55:F60" si="32">IF(D$12=0,0,D55/D$12)</f>
        <v>0</v>
      </c>
      <c r="G55" s="1"/>
      <c r="H55" s="1">
        <f>SUM(OSRRefH22_11x_0)</f>
        <v>354.95</v>
      </c>
      <c r="I55" s="1"/>
      <c r="J55" s="5">
        <f t="shared" ref="J55:J60" si="33">IF(H$12=0,0,H55/H$12)</f>
        <v>0</v>
      </c>
      <c r="K55" s="1"/>
      <c r="L55" s="1">
        <f t="shared" ref="L55:L60" si="34">+D55-H55</f>
        <v>-15.099999999999966</v>
      </c>
      <c r="M55" s="1"/>
      <c r="N55" s="5">
        <f t="shared" ref="N55:N60" si="35">IF(H55=0,0,L55/H55)</f>
        <v>-4.2541202986336006E-2</v>
      </c>
      <c r="O55" s="14"/>
      <c r="P55" s="1">
        <f>SUM(OSRRefP22_11x_0)</f>
        <v>339.85</v>
      </c>
      <c r="Q55" s="1"/>
      <c r="R55" s="5">
        <f t="shared" ref="R55:R60" si="36">IF(P$12=0,0,P55/P$12)</f>
        <v>0</v>
      </c>
      <c r="S55" s="1"/>
      <c r="T55" s="1">
        <f>SUM(OSRRefT22_11x_0)</f>
        <v>354.95</v>
      </c>
      <c r="U55" s="1"/>
      <c r="V55" s="5">
        <f t="shared" ref="V55:V60" si="37">IF(T$12=0,0,T55/T$12)</f>
        <v>0</v>
      </c>
      <c r="W55" s="1"/>
      <c r="X55" s="1">
        <f t="shared" ref="X55:X60" si="38">+P55-T55</f>
        <v>-15.099999999999966</v>
      </c>
      <c r="Y55" s="1"/>
      <c r="Z55" s="5">
        <f t="shared" ref="Z55:Z60" si="39">IF(T55=0,0,X55/T55)</f>
        <v>-4.2541202986336006E-2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7">
        <v>339.85</v>
      </c>
      <c r="E56" s="2"/>
      <c r="F56" s="6">
        <f t="shared" si="32"/>
        <v>0</v>
      </c>
      <c r="G56" s="2"/>
      <c r="H56" s="7">
        <v>354.95</v>
      </c>
      <c r="I56" s="2"/>
      <c r="J56" s="6">
        <f t="shared" si="33"/>
        <v>0</v>
      </c>
      <c r="K56" s="2"/>
      <c r="L56" s="7">
        <f t="shared" si="34"/>
        <v>-15.099999999999966</v>
      </c>
      <c r="M56" s="2"/>
      <c r="N56" s="6">
        <f t="shared" si="35"/>
        <v>-4.2541202986336006E-2</v>
      </c>
      <c r="O56" s="11"/>
      <c r="P56" s="7">
        <v>339.85</v>
      </c>
      <c r="Q56" s="2"/>
      <c r="R56" s="6">
        <f t="shared" si="36"/>
        <v>0</v>
      </c>
      <c r="S56" s="2"/>
      <c r="T56" s="7">
        <v>354.95</v>
      </c>
      <c r="U56" s="2"/>
      <c r="V56" s="6">
        <f t="shared" si="37"/>
        <v>0</v>
      </c>
      <c r="W56" s="2"/>
      <c r="X56" s="7">
        <f t="shared" si="38"/>
        <v>-15.099999999999966</v>
      </c>
      <c r="Y56" s="2"/>
      <c r="Z56" s="6">
        <f t="shared" si="39"/>
        <v>-4.2541202986336006E-2</v>
      </c>
    </row>
    <row r="57" spans="1:26" s="28" customFormat="1" outlineLevel="1" collapsed="1" x14ac:dyDescent="0.25">
      <c r="A57" s="27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SUM(OSRRefD22_12x_0)</f>
        <v>697.62</v>
      </c>
      <c r="E57" s="1"/>
      <c r="F57" s="5">
        <f t="shared" si="32"/>
        <v>0</v>
      </c>
      <c r="G57" s="1"/>
      <c r="H57" s="1">
        <f>SUM(OSRRefH22_12x_0)</f>
        <v>2497.6799999999998</v>
      </c>
      <c r="I57" s="1"/>
      <c r="J57" s="5">
        <f t="shared" si="33"/>
        <v>0</v>
      </c>
      <c r="K57" s="1"/>
      <c r="L57" s="1">
        <f t="shared" si="34"/>
        <v>-1800.06</v>
      </c>
      <c r="M57" s="1"/>
      <c r="N57" s="5">
        <f t="shared" si="35"/>
        <v>-0.72069280292111082</v>
      </c>
      <c r="O57" s="14"/>
      <c r="P57" s="1">
        <f>SUM(OSRRefP22_12x_0)</f>
        <v>697.62</v>
      </c>
      <c r="Q57" s="1"/>
      <c r="R57" s="5">
        <f t="shared" si="36"/>
        <v>0</v>
      </c>
      <c r="S57" s="1"/>
      <c r="T57" s="1">
        <f>SUM(OSRRefT22_12x_0)</f>
        <v>2497.6799999999998</v>
      </c>
      <c r="U57" s="1"/>
      <c r="V57" s="5">
        <f t="shared" si="37"/>
        <v>0</v>
      </c>
      <c r="W57" s="1"/>
      <c r="X57" s="1">
        <f t="shared" si="38"/>
        <v>-1800.06</v>
      </c>
      <c r="Y57" s="1"/>
      <c r="Z57" s="5">
        <f t="shared" si="39"/>
        <v>-0.72069280292111082</v>
      </c>
    </row>
    <row r="58" spans="1:26" s="24" customFormat="1" hidden="1" outlineLevel="2" x14ac:dyDescent="0.25">
      <c r="A58" s="29"/>
      <c r="B58" s="11" t="str">
        <f>CONCATENATE("          ", "6376", " - ", "TRAINING")</f>
        <v xml:space="preserve">          6376 - TRAINING</v>
      </c>
      <c r="C58" s="11"/>
      <c r="D58" s="7">
        <v>697.62</v>
      </c>
      <c r="E58" s="2"/>
      <c r="F58" s="6">
        <f t="shared" si="32"/>
        <v>0</v>
      </c>
      <c r="G58" s="2"/>
      <c r="H58" s="7">
        <v>2497.6799999999998</v>
      </c>
      <c r="I58" s="2"/>
      <c r="J58" s="6">
        <f t="shared" si="33"/>
        <v>0</v>
      </c>
      <c r="K58" s="2"/>
      <c r="L58" s="7">
        <f t="shared" si="34"/>
        <v>-1800.06</v>
      </c>
      <c r="M58" s="2"/>
      <c r="N58" s="6">
        <f t="shared" si="35"/>
        <v>-0.72069280292111082</v>
      </c>
      <c r="O58" s="11"/>
      <c r="P58" s="7">
        <v>697.62</v>
      </c>
      <c r="Q58" s="2"/>
      <c r="R58" s="6">
        <f t="shared" si="36"/>
        <v>0</v>
      </c>
      <c r="S58" s="2"/>
      <c r="T58" s="7">
        <v>2497.6799999999998</v>
      </c>
      <c r="U58" s="2"/>
      <c r="V58" s="6">
        <f t="shared" si="37"/>
        <v>0</v>
      </c>
      <c r="W58" s="2"/>
      <c r="X58" s="7">
        <f t="shared" si="38"/>
        <v>-1800.06</v>
      </c>
      <c r="Y58" s="2"/>
      <c r="Z58" s="6">
        <f t="shared" si="39"/>
        <v>-0.72069280292111082</v>
      </c>
    </row>
    <row r="59" spans="1:26" s="28" customFormat="1" outlineLevel="1" collapsed="1" x14ac:dyDescent="0.25">
      <c r="A59" s="27"/>
      <c r="B59" s="14" t="str">
        <f>CONCATENATE("     ","Travel                                            ")</f>
        <v xml:space="preserve">     Travel                                            </v>
      </c>
      <c r="C59" s="14"/>
      <c r="D59" s="1">
        <f>SUM(OSRRefD22_13x_0)</f>
        <v>248.16</v>
      </c>
      <c r="E59" s="1"/>
      <c r="F59" s="5">
        <f t="shared" si="32"/>
        <v>0</v>
      </c>
      <c r="G59" s="1"/>
      <c r="H59" s="1">
        <f>SUM(OSRRefH22_13x_0)</f>
        <v>832.43</v>
      </c>
      <c r="I59" s="1"/>
      <c r="J59" s="5">
        <f t="shared" si="33"/>
        <v>0</v>
      </c>
      <c r="K59" s="1"/>
      <c r="L59" s="1">
        <f t="shared" si="34"/>
        <v>-584.27</v>
      </c>
      <c r="M59" s="1"/>
      <c r="N59" s="5">
        <f t="shared" si="35"/>
        <v>-0.70188484316999633</v>
      </c>
      <c r="O59" s="14"/>
      <c r="P59" s="1">
        <f>SUM(OSRRefP22_13x_0)</f>
        <v>248.16</v>
      </c>
      <c r="Q59" s="1"/>
      <c r="R59" s="5">
        <f t="shared" si="36"/>
        <v>0</v>
      </c>
      <c r="S59" s="1"/>
      <c r="T59" s="1">
        <f>SUM(OSRRefT22_13x_0)</f>
        <v>832.43</v>
      </c>
      <c r="U59" s="1"/>
      <c r="V59" s="5">
        <f t="shared" si="37"/>
        <v>0</v>
      </c>
      <c r="W59" s="1"/>
      <c r="X59" s="1">
        <f t="shared" si="38"/>
        <v>-584.27</v>
      </c>
      <c r="Y59" s="1"/>
      <c r="Z59" s="5">
        <f t="shared" si="39"/>
        <v>-0.70188484316999633</v>
      </c>
    </row>
    <row r="60" spans="1:26" s="24" customFormat="1" hidden="1" outlineLevel="2" x14ac:dyDescent="0.25">
      <c r="A60" s="29"/>
      <c r="B60" s="11" t="str">
        <f>CONCATENATE("          ", "6292", " - ", "TRAVEL/CONFERENCE")</f>
        <v xml:space="preserve">          6292 - TRAVEL/CONFERENCE</v>
      </c>
      <c r="C60" s="11"/>
      <c r="D60" s="7">
        <v>248.16</v>
      </c>
      <c r="E60" s="2"/>
      <c r="F60" s="6">
        <f t="shared" si="32"/>
        <v>0</v>
      </c>
      <c r="G60" s="2"/>
      <c r="H60" s="7">
        <v>832.43</v>
      </c>
      <c r="I60" s="2"/>
      <c r="J60" s="6">
        <f t="shared" si="33"/>
        <v>0</v>
      </c>
      <c r="K60" s="2"/>
      <c r="L60" s="7">
        <f t="shared" si="34"/>
        <v>-584.27</v>
      </c>
      <c r="M60" s="2"/>
      <c r="N60" s="6">
        <f t="shared" si="35"/>
        <v>-0.70188484316999633</v>
      </c>
      <c r="O60" s="11"/>
      <c r="P60" s="7">
        <v>248.16</v>
      </c>
      <c r="Q60" s="2"/>
      <c r="R60" s="6">
        <f t="shared" si="36"/>
        <v>0</v>
      </c>
      <c r="S60" s="2"/>
      <c r="T60" s="7">
        <v>832.43</v>
      </c>
      <c r="U60" s="2"/>
      <c r="V60" s="6">
        <f t="shared" si="37"/>
        <v>0</v>
      </c>
      <c r="W60" s="2"/>
      <c r="X60" s="7">
        <f t="shared" si="38"/>
        <v>-584.27</v>
      </c>
      <c r="Y60" s="2"/>
      <c r="Z60" s="6">
        <f t="shared" si="39"/>
        <v>-0.70188484316999633</v>
      </c>
    </row>
    <row r="61" spans="1:26" s="54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6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5" t="s">
        <v>3</v>
      </c>
      <c r="C64" s="25"/>
      <c r="D64" s="21">
        <f>+D16-D18+D62</f>
        <v>-65612.84</v>
      </c>
      <c r="E64" s="13"/>
      <c r="F64" s="20">
        <f>IF(D$12=0,0,D64/D$12)</f>
        <v>0</v>
      </c>
      <c r="G64" s="13"/>
      <c r="H64" s="21">
        <f>+H16-H18+H62</f>
        <v>-61456.369999999995</v>
      </c>
      <c r="I64" s="13"/>
      <c r="J64" s="20">
        <f>IF(H$12=0,0,H64/H$12)</f>
        <v>0</v>
      </c>
      <c r="K64" s="16"/>
      <c r="L64" s="21">
        <f>+D64-H64</f>
        <v>-4156.4700000000012</v>
      </c>
      <c r="M64" s="16"/>
      <c r="N64" s="20">
        <f>IF(H64=0,0,L64/H64)</f>
        <v>6.7632858888346345E-2</v>
      </c>
      <c r="O64" s="26"/>
      <c r="P64" s="21">
        <f>+P16-P18+P62</f>
        <v>-65612.84</v>
      </c>
      <c r="Q64" s="13"/>
      <c r="R64" s="20">
        <f>IF(P$12=0,0,P64/P$12)</f>
        <v>0</v>
      </c>
      <c r="S64" s="13"/>
      <c r="T64" s="21">
        <f>+T16-T18+T62</f>
        <v>-61456.369999999995</v>
      </c>
      <c r="U64" s="13"/>
      <c r="V64" s="20">
        <f>IF(T$12=0,0,T64/T$12)</f>
        <v>0</v>
      </c>
      <c r="W64" s="16"/>
      <c r="X64" s="21">
        <f>+P64-T64</f>
        <v>-4156.4700000000012</v>
      </c>
      <c r="Y64" s="16"/>
      <c r="Z64" s="20">
        <f>IF(T64=0,0,X64/T64)</f>
        <v>6.7632858888346345E-2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/>
      <c r="E66" s="4"/>
      <c r="F66" s="12">
        <f>IF(D$12=0,0,D66/D$12)</f>
        <v>0</v>
      </c>
      <c r="G66" s="4"/>
      <c r="H66" s="4"/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/>
      <c r="Q66" s="4"/>
      <c r="R66" s="12">
        <f>IF(P$12=0,0,P66/P$12)</f>
        <v>0</v>
      </c>
      <c r="S66" s="4"/>
      <c r="T66" s="4"/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5" t="s">
        <v>4</v>
      </c>
      <c r="C68" s="25"/>
      <c r="D68" s="33">
        <f>+D64-D66</f>
        <v>-65612.84</v>
      </c>
      <c r="E68" s="13"/>
      <c r="F68" s="34">
        <f>IF(D$12=0,0,D68/D$12)</f>
        <v>0</v>
      </c>
      <c r="G68" s="13"/>
      <c r="H68" s="33">
        <f>+H64-H66</f>
        <v>-61456.369999999995</v>
      </c>
      <c r="I68" s="13"/>
      <c r="J68" s="34">
        <f>IF(H$12=0,0,H68/H$12)</f>
        <v>0</v>
      </c>
      <c r="K68" s="16"/>
      <c r="L68" s="33">
        <f>D68-H68</f>
        <v>-4156.4700000000012</v>
      </c>
      <c r="M68" s="16"/>
      <c r="N68" s="34">
        <f>IF(H68=0,0,L68/H68)</f>
        <v>6.7632858888346345E-2</v>
      </c>
      <c r="O68" s="26"/>
      <c r="P68" s="33">
        <f>+P64-P66</f>
        <v>-65612.84</v>
      </c>
      <c r="Q68" s="13"/>
      <c r="R68" s="34">
        <f>IF(P$12=0,0,P68/P$12)</f>
        <v>0</v>
      </c>
      <c r="S68" s="13"/>
      <c r="T68" s="33">
        <f>+T64-T66</f>
        <v>-61456.369999999995</v>
      </c>
      <c r="U68" s="13"/>
      <c r="V68" s="34">
        <f>IF(T$12=0,0,T68/T$12)</f>
        <v>0</v>
      </c>
      <c r="W68" s="16"/>
      <c r="X68" s="33">
        <f>P68-T68</f>
        <v>-4156.4700000000012</v>
      </c>
      <c r="Y68" s="16"/>
      <c r="Z68" s="34">
        <f>IF(T68=0,0,X68/T68)</f>
        <v>6.7632858888346345E-2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5" t="s">
        <v>5</v>
      </c>
      <c r="C71" s="25"/>
      <c r="D71" s="31">
        <f>SUM(D68:D70)</f>
        <v>-65612.84</v>
      </c>
      <c r="E71" s="13"/>
      <c r="F71" s="30">
        <f>IF(D$12=0,0,D71/D$12)</f>
        <v>0</v>
      </c>
      <c r="G71" s="13"/>
      <c r="H71" s="31">
        <f>SUM(H68:H70)</f>
        <v>-61456.369999999995</v>
      </c>
      <c r="I71" s="13"/>
      <c r="J71" s="30">
        <f>IF(H$12=0,0,H71/H$12)</f>
        <v>0</v>
      </c>
      <c r="K71" s="16"/>
      <c r="L71" s="31">
        <f>+D71-H71</f>
        <v>-4156.4700000000012</v>
      </c>
      <c r="M71" s="16"/>
      <c r="N71" s="30">
        <f>IF(H71=0,0,L71/H71)</f>
        <v>6.7632858888346345E-2</v>
      </c>
      <c r="O71" s="26"/>
      <c r="P71" s="31">
        <f>SUM(P68:P70)</f>
        <v>-65612.84</v>
      </c>
      <c r="Q71" s="13"/>
      <c r="R71" s="30">
        <f>IF(P$12=0,0,P71/P$12)</f>
        <v>0</v>
      </c>
      <c r="S71" s="13"/>
      <c r="T71" s="31">
        <f>SUM(T68:T70)</f>
        <v>-61456.369999999995</v>
      </c>
      <c r="U71" s="13"/>
      <c r="V71" s="30">
        <f>IF(T$12=0,0,T71/T$12)</f>
        <v>0</v>
      </c>
      <c r="W71" s="16"/>
      <c r="X71" s="31">
        <f>+P71-T71</f>
        <v>-4156.4700000000012</v>
      </c>
      <c r="Y71" s="16"/>
      <c r="Z71" s="30">
        <f>IF(T71=0,0,X71/T71)</f>
        <v>6.7632858888346345E-2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>
        <v>43726.681650775463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3" t="s">
        <v>313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67675.849999999991</v>
      </c>
      <c r="E18" s="19"/>
      <c r="F18" s="35">
        <f t="shared" ref="F18:F28" si="0">IF(D$12=0,0,D18/D$12)</f>
        <v>0</v>
      </c>
      <c r="G18" s="19"/>
      <c r="H18" s="19">
        <f>SUM(OSRRefH22x_0)</f>
        <v>55611.000000000007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12064.849999999984</v>
      </c>
      <c r="M18" s="4"/>
      <c r="N18" s="35">
        <f t="shared" ref="N18:N28" si="3">IF(H18=0,0,L18/H18)</f>
        <v>0.21695078311844748</v>
      </c>
      <c r="O18" s="10"/>
      <c r="P18" s="19">
        <f>SUM(OSRRefP22x_0)</f>
        <v>67675.849999999991</v>
      </c>
      <c r="Q18" s="19"/>
      <c r="R18" s="35">
        <f t="shared" ref="R18:R28" si="4">IF(P$12=0,0,P18/P$12)</f>
        <v>0</v>
      </c>
      <c r="S18" s="19"/>
      <c r="T18" s="19">
        <f>SUM(OSRRefT22x_0)</f>
        <v>55611.000000000007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12064.849999999984</v>
      </c>
      <c r="Y18" s="4"/>
      <c r="Z18" s="35">
        <f t="shared" ref="Z18:Z28" si="7">IF(T18=0,0,X18/T18)</f>
        <v>0.21695078311844748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12650.86</v>
      </c>
      <c r="E19" s="1"/>
      <c r="F19" s="5">
        <f t="shared" si="0"/>
        <v>0</v>
      </c>
      <c r="G19" s="1"/>
      <c r="H19" s="1">
        <f>SUM(OSRRefH22_0x_0)</f>
        <v>11595.490000000002</v>
      </c>
      <c r="I19" s="1"/>
      <c r="J19" s="5">
        <f t="shared" si="1"/>
        <v>0</v>
      </c>
      <c r="K19" s="1"/>
      <c r="L19" s="1">
        <f t="shared" si="2"/>
        <v>1055.369999999999</v>
      </c>
      <c r="M19" s="1"/>
      <c r="N19" s="5">
        <f t="shared" si="3"/>
        <v>9.1015558635296895E-2</v>
      </c>
      <c r="O19" s="14"/>
      <c r="P19" s="1">
        <f>SUM(OSRRefP22_0x_0)</f>
        <v>12650.86</v>
      </c>
      <c r="Q19" s="1"/>
      <c r="R19" s="5">
        <f t="shared" si="4"/>
        <v>0</v>
      </c>
      <c r="S19" s="1"/>
      <c r="T19" s="1">
        <f>SUM(OSRRefT22_0x_0)</f>
        <v>11595.490000000002</v>
      </c>
      <c r="U19" s="1"/>
      <c r="V19" s="5">
        <f t="shared" si="5"/>
        <v>0</v>
      </c>
      <c r="W19" s="1"/>
      <c r="X19" s="1">
        <f t="shared" si="6"/>
        <v>1055.369999999999</v>
      </c>
      <c r="Y19" s="1"/>
      <c r="Z19" s="5">
        <f t="shared" si="7"/>
        <v>9.1015558635296895E-2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1739.07</v>
      </c>
      <c r="E20" s="2"/>
      <c r="F20" s="6">
        <f t="shared" si="0"/>
        <v>0</v>
      </c>
      <c r="G20" s="2"/>
      <c r="H20" s="7">
        <v>1686.27</v>
      </c>
      <c r="I20" s="2"/>
      <c r="J20" s="6">
        <f t="shared" si="1"/>
        <v>0</v>
      </c>
      <c r="K20" s="2"/>
      <c r="L20" s="7">
        <f t="shared" si="2"/>
        <v>52.799999999999955</v>
      </c>
      <c r="M20" s="2"/>
      <c r="N20" s="6">
        <f t="shared" si="3"/>
        <v>3.1311711647600889E-2</v>
      </c>
      <c r="O20" s="11"/>
      <c r="P20" s="7">
        <v>1739.07</v>
      </c>
      <c r="Q20" s="2"/>
      <c r="R20" s="6">
        <f t="shared" si="4"/>
        <v>0</v>
      </c>
      <c r="S20" s="2"/>
      <c r="T20" s="7">
        <v>1686.27</v>
      </c>
      <c r="U20" s="2"/>
      <c r="V20" s="6">
        <f t="shared" si="5"/>
        <v>0</v>
      </c>
      <c r="W20" s="2"/>
      <c r="X20" s="7">
        <f t="shared" si="6"/>
        <v>52.799999999999955</v>
      </c>
      <c r="Y20" s="2"/>
      <c r="Z20" s="6">
        <f t="shared" si="7"/>
        <v>3.1311711647600889E-2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83</v>
      </c>
      <c r="E21" s="2"/>
      <c r="F21" s="6">
        <f t="shared" si="0"/>
        <v>0</v>
      </c>
      <c r="G21" s="2"/>
      <c r="H21" s="7">
        <v>100.85</v>
      </c>
      <c r="I21" s="2"/>
      <c r="J21" s="6">
        <f t="shared" si="1"/>
        <v>0</v>
      </c>
      <c r="K21" s="2"/>
      <c r="L21" s="7">
        <f t="shared" si="2"/>
        <v>-17.849999999999994</v>
      </c>
      <c r="M21" s="2"/>
      <c r="N21" s="6">
        <f t="shared" si="3"/>
        <v>-0.17699553792761522</v>
      </c>
      <c r="O21" s="11"/>
      <c r="P21" s="7">
        <v>83</v>
      </c>
      <c r="Q21" s="2"/>
      <c r="R21" s="6">
        <f t="shared" si="4"/>
        <v>0</v>
      </c>
      <c r="S21" s="2"/>
      <c r="T21" s="7">
        <v>100.85</v>
      </c>
      <c r="U21" s="2"/>
      <c r="V21" s="6">
        <f t="shared" si="5"/>
        <v>0</v>
      </c>
      <c r="W21" s="2"/>
      <c r="X21" s="7">
        <f t="shared" si="6"/>
        <v>-17.849999999999994</v>
      </c>
      <c r="Y21" s="2"/>
      <c r="Z21" s="6">
        <f t="shared" si="7"/>
        <v>-0.17699553792761522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4633.38</v>
      </c>
      <c r="E22" s="2"/>
      <c r="F22" s="6">
        <f t="shared" si="0"/>
        <v>0</v>
      </c>
      <c r="G22" s="2"/>
      <c r="H22" s="7">
        <v>2764.51</v>
      </c>
      <c r="I22" s="2"/>
      <c r="J22" s="6">
        <f t="shared" si="1"/>
        <v>0</v>
      </c>
      <c r="K22" s="2"/>
      <c r="L22" s="7">
        <f t="shared" si="2"/>
        <v>1868.87</v>
      </c>
      <c r="M22" s="2"/>
      <c r="N22" s="6">
        <f t="shared" si="3"/>
        <v>0.67602215220780526</v>
      </c>
      <c r="O22" s="11"/>
      <c r="P22" s="7">
        <v>4633.38</v>
      </c>
      <c r="Q22" s="2"/>
      <c r="R22" s="6">
        <f t="shared" si="4"/>
        <v>0</v>
      </c>
      <c r="S22" s="2"/>
      <c r="T22" s="7">
        <v>2764.51</v>
      </c>
      <c r="U22" s="2"/>
      <c r="V22" s="6">
        <f t="shared" si="5"/>
        <v>0</v>
      </c>
      <c r="W22" s="2"/>
      <c r="X22" s="7">
        <f t="shared" si="6"/>
        <v>1868.87</v>
      </c>
      <c r="Y22" s="2"/>
      <c r="Z22" s="6">
        <f t="shared" si="7"/>
        <v>0.67602215220780526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63.47</v>
      </c>
      <c r="E23" s="2"/>
      <c r="F23" s="6">
        <f t="shared" si="0"/>
        <v>0</v>
      </c>
      <c r="G23" s="2"/>
      <c r="H23" s="7">
        <v>84.58</v>
      </c>
      <c r="I23" s="2"/>
      <c r="J23" s="6">
        <f t="shared" si="1"/>
        <v>0</v>
      </c>
      <c r="K23" s="2"/>
      <c r="L23" s="7">
        <f t="shared" si="2"/>
        <v>-21.11</v>
      </c>
      <c r="M23" s="2"/>
      <c r="N23" s="6">
        <f t="shared" si="3"/>
        <v>-0.24958619058879167</v>
      </c>
      <c r="O23" s="11"/>
      <c r="P23" s="7">
        <v>63.47</v>
      </c>
      <c r="Q23" s="2"/>
      <c r="R23" s="6">
        <f t="shared" si="4"/>
        <v>0</v>
      </c>
      <c r="S23" s="2"/>
      <c r="T23" s="7">
        <v>84.58</v>
      </c>
      <c r="U23" s="2"/>
      <c r="V23" s="6">
        <f t="shared" si="5"/>
        <v>0</v>
      </c>
      <c r="W23" s="2"/>
      <c r="X23" s="7">
        <f t="shared" si="6"/>
        <v>-21.11</v>
      </c>
      <c r="Y23" s="2"/>
      <c r="Z23" s="6">
        <f t="shared" si="7"/>
        <v>-0.24958619058879167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1339.05</v>
      </c>
      <c r="E24" s="2"/>
      <c r="F24" s="6">
        <f t="shared" si="0"/>
        <v>0</v>
      </c>
      <c r="G24" s="2"/>
      <c r="H24" s="7">
        <v>2226.5500000000002</v>
      </c>
      <c r="I24" s="2"/>
      <c r="J24" s="6">
        <f t="shared" si="1"/>
        <v>0</v>
      </c>
      <c r="K24" s="2"/>
      <c r="L24" s="7">
        <f t="shared" si="2"/>
        <v>-887.50000000000023</v>
      </c>
      <c r="M24" s="2"/>
      <c r="N24" s="6">
        <f t="shared" si="3"/>
        <v>-0.39859872897532062</v>
      </c>
      <c r="O24" s="11"/>
      <c r="P24" s="7">
        <v>1339.05</v>
      </c>
      <c r="Q24" s="2"/>
      <c r="R24" s="6">
        <f t="shared" si="4"/>
        <v>0</v>
      </c>
      <c r="S24" s="2"/>
      <c r="T24" s="7">
        <v>2226.5500000000002</v>
      </c>
      <c r="U24" s="2"/>
      <c r="V24" s="6">
        <f t="shared" si="5"/>
        <v>0</v>
      </c>
      <c r="W24" s="2"/>
      <c r="X24" s="7">
        <f t="shared" si="6"/>
        <v>-887.50000000000023</v>
      </c>
      <c r="Y24" s="2"/>
      <c r="Z24" s="6">
        <f t="shared" si="7"/>
        <v>-0.39859872897532062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196.6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196.6</v>
      </c>
      <c r="M25" s="2"/>
      <c r="N25" s="6">
        <f t="shared" si="3"/>
        <v>0</v>
      </c>
      <c r="O25" s="11"/>
      <c r="P25" s="7">
        <v>196.6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196.6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2423.39</v>
      </c>
      <c r="E26" s="2"/>
      <c r="F26" s="6">
        <f t="shared" si="0"/>
        <v>0</v>
      </c>
      <c r="G26" s="2"/>
      <c r="H26" s="7">
        <v>2510.61</v>
      </c>
      <c r="I26" s="2"/>
      <c r="J26" s="6">
        <f t="shared" si="1"/>
        <v>0</v>
      </c>
      <c r="K26" s="2"/>
      <c r="L26" s="7">
        <f t="shared" si="2"/>
        <v>-87.220000000000255</v>
      </c>
      <c r="M26" s="2"/>
      <c r="N26" s="6">
        <f t="shared" si="3"/>
        <v>-3.4740561058866269E-2</v>
      </c>
      <c r="O26" s="11"/>
      <c r="P26" s="7">
        <v>2423.39</v>
      </c>
      <c r="Q26" s="2"/>
      <c r="R26" s="6">
        <f t="shared" si="4"/>
        <v>0</v>
      </c>
      <c r="S26" s="2"/>
      <c r="T26" s="7">
        <v>2510.61</v>
      </c>
      <c r="U26" s="2"/>
      <c r="V26" s="6">
        <f t="shared" si="5"/>
        <v>0</v>
      </c>
      <c r="W26" s="2"/>
      <c r="X26" s="7">
        <f t="shared" si="6"/>
        <v>-87.220000000000255</v>
      </c>
      <c r="Y26" s="2"/>
      <c r="Z26" s="6">
        <f t="shared" si="7"/>
        <v>-3.4740561058866269E-2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1627.31</v>
      </c>
      <c r="E27" s="2"/>
      <c r="F27" s="6">
        <f t="shared" si="0"/>
        <v>0</v>
      </c>
      <c r="G27" s="2"/>
      <c r="H27" s="7">
        <v>1646.26</v>
      </c>
      <c r="I27" s="2"/>
      <c r="J27" s="6">
        <f t="shared" si="1"/>
        <v>0</v>
      </c>
      <c r="K27" s="2"/>
      <c r="L27" s="7">
        <f t="shared" si="2"/>
        <v>-18.950000000000045</v>
      </c>
      <c r="M27" s="2"/>
      <c r="N27" s="6">
        <f t="shared" si="3"/>
        <v>-1.1510939948732306E-2</v>
      </c>
      <c r="O27" s="11"/>
      <c r="P27" s="7">
        <v>1627.31</v>
      </c>
      <c r="Q27" s="2"/>
      <c r="R27" s="6">
        <f t="shared" si="4"/>
        <v>0</v>
      </c>
      <c r="S27" s="2"/>
      <c r="T27" s="7">
        <v>1646.26</v>
      </c>
      <c r="U27" s="2"/>
      <c r="V27" s="6">
        <f t="shared" si="5"/>
        <v>0</v>
      </c>
      <c r="W27" s="2"/>
      <c r="X27" s="7">
        <f t="shared" si="6"/>
        <v>-18.950000000000045</v>
      </c>
      <c r="Y27" s="2"/>
      <c r="Z27" s="6">
        <f t="shared" si="7"/>
        <v>-1.1510939948732306E-2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545.59</v>
      </c>
      <c r="E28" s="2"/>
      <c r="F28" s="6">
        <f t="shared" si="0"/>
        <v>0</v>
      </c>
      <c r="G28" s="2"/>
      <c r="H28" s="7">
        <v>575.86</v>
      </c>
      <c r="I28" s="2"/>
      <c r="J28" s="6">
        <f t="shared" si="1"/>
        <v>0</v>
      </c>
      <c r="K28" s="2"/>
      <c r="L28" s="7">
        <f t="shared" si="2"/>
        <v>-30.269999999999982</v>
      </c>
      <c r="M28" s="2"/>
      <c r="N28" s="6">
        <f t="shared" si="3"/>
        <v>-5.2564859514465288E-2</v>
      </c>
      <c r="O28" s="11"/>
      <c r="P28" s="7">
        <v>545.59</v>
      </c>
      <c r="Q28" s="2"/>
      <c r="R28" s="6">
        <f t="shared" si="4"/>
        <v>0</v>
      </c>
      <c r="S28" s="2"/>
      <c r="T28" s="7">
        <v>575.86</v>
      </c>
      <c r="U28" s="2"/>
      <c r="V28" s="6">
        <f t="shared" si="5"/>
        <v>0</v>
      </c>
      <c r="W28" s="2"/>
      <c r="X28" s="7">
        <f t="shared" si="6"/>
        <v>-30.269999999999982</v>
      </c>
      <c r="Y28" s="2"/>
      <c r="Z28" s="6">
        <f t="shared" si="7"/>
        <v>-5.2564859514465288E-2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28444.059999999998</v>
      </c>
      <c r="E29" s="1"/>
      <c r="F29" s="5">
        <f t="shared" ref="F29:F34" si="8">IF(D$12=0,0,D29/D$12)</f>
        <v>0</v>
      </c>
      <c r="G29" s="1"/>
      <c r="H29" s="1">
        <f>SUM(OSRRefH22_1x_0)</f>
        <v>25826.01</v>
      </c>
      <c r="I29" s="1"/>
      <c r="J29" s="5">
        <f t="shared" ref="J29:J34" si="9">IF(H$12=0,0,H29/H$12)</f>
        <v>0</v>
      </c>
      <c r="K29" s="1"/>
      <c r="L29" s="1">
        <f t="shared" ref="L29:L34" si="10">+D29-H29</f>
        <v>2618.0499999999993</v>
      </c>
      <c r="M29" s="1"/>
      <c r="N29" s="5">
        <f t="shared" ref="N29:N34" si="11">IF(H29=0,0,L29/H29)</f>
        <v>0.1013726084672003</v>
      </c>
      <c r="O29" s="14"/>
      <c r="P29" s="1">
        <f>SUM(OSRRefP22_1x_0)</f>
        <v>28444.059999999998</v>
      </c>
      <c r="Q29" s="1"/>
      <c r="R29" s="5">
        <f t="shared" ref="R29:R34" si="12">IF(P$12=0,0,P29/P$12)</f>
        <v>0</v>
      </c>
      <c r="S29" s="1"/>
      <c r="T29" s="1">
        <f>SUM(OSRRefT22_1x_0)</f>
        <v>25826.01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2618.0499999999993</v>
      </c>
      <c r="Y29" s="1"/>
      <c r="Z29" s="5">
        <f t="shared" ref="Z29:Z34" si="15">IF(T29=0,0,X29/T29)</f>
        <v>0.1013726084672003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13877.4</v>
      </c>
      <c r="E30" s="2"/>
      <c r="F30" s="6">
        <f t="shared" si="8"/>
        <v>0</v>
      </c>
      <c r="G30" s="2"/>
      <c r="H30" s="7">
        <v>18158.46</v>
      </c>
      <c r="I30" s="2"/>
      <c r="J30" s="6">
        <f t="shared" si="9"/>
        <v>0</v>
      </c>
      <c r="K30" s="2"/>
      <c r="L30" s="7">
        <f t="shared" si="10"/>
        <v>-4281.0599999999995</v>
      </c>
      <c r="M30" s="2"/>
      <c r="N30" s="6">
        <f t="shared" si="11"/>
        <v>-0.23576118239101773</v>
      </c>
      <c r="O30" s="11"/>
      <c r="P30" s="7">
        <v>13877.4</v>
      </c>
      <c r="Q30" s="2"/>
      <c r="R30" s="6">
        <f t="shared" si="12"/>
        <v>0</v>
      </c>
      <c r="S30" s="2"/>
      <c r="T30" s="7">
        <v>18158.46</v>
      </c>
      <c r="U30" s="2"/>
      <c r="V30" s="6">
        <f t="shared" si="13"/>
        <v>0</v>
      </c>
      <c r="W30" s="2"/>
      <c r="X30" s="7">
        <f t="shared" si="14"/>
        <v>-4281.0599999999995</v>
      </c>
      <c r="Y30" s="2"/>
      <c r="Z30" s="6">
        <f t="shared" si="15"/>
        <v>-0.23576118239101773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6273.41</v>
      </c>
      <c r="E31" s="2"/>
      <c r="F31" s="6">
        <f t="shared" si="8"/>
        <v>0</v>
      </c>
      <c r="G31" s="2"/>
      <c r="H31" s="7">
        <v>3359.42</v>
      </c>
      <c r="I31" s="2"/>
      <c r="J31" s="6">
        <f t="shared" si="9"/>
        <v>0</v>
      </c>
      <c r="K31" s="2"/>
      <c r="L31" s="7">
        <f t="shared" si="10"/>
        <v>2913.99</v>
      </c>
      <c r="M31" s="2"/>
      <c r="N31" s="6">
        <f t="shared" si="11"/>
        <v>0.86740865982818449</v>
      </c>
      <c r="O31" s="11"/>
      <c r="P31" s="7">
        <v>6273.41</v>
      </c>
      <c r="Q31" s="2"/>
      <c r="R31" s="6">
        <f t="shared" si="12"/>
        <v>0</v>
      </c>
      <c r="S31" s="2"/>
      <c r="T31" s="7">
        <v>3359.42</v>
      </c>
      <c r="U31" s="2"/>
      <c r="V31" s="6">
        <f t="shared" si="13"/>
        <v>0</v>
      </c>
      <c r="W31" s="2"/>
      <c r="X31" s="7">
        <f t="shared" si="14"/>
        <v>2913.99</v>
      </c>
      <c r="Y31" s="2"/>
      <c r="Z31" s="6">
        <f t="shared" si="15"/>
        <v>0.86740865982818449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1446.75</v>
      </c>
      <c r="E32" s="2"/>
      <c r="F32" s="6">
        <f t="shared" si="8"/>
        <v>0</v>
      </c>
      <c r="G32" s="2"/>
      <c r="H32" s="7">
        <v>255</v>
      </c>
      <c r="I32" s="2"/>
      <c r="J32" s="6">
        <f t="shared" si="9"/>
        <v>0</v>
      </c>
      <c r="K32" s="2"/>
      <c r="L32" s="7">
        <f t="shared" si="10"/>
        <v>1191.75</v>
      </c>
      <c r="M32" s="2"/>
      <c r="N32" s="6">
        <f t="shared" si="11"/>
        <v>4.6735294117647062</v>
      </c>
      <c r="O32" s="11"/>
      <c r="P32" s="7">
        <v>1446.75</v>
      </c>
      <c r="Q32" s="2"/>
      <c r="R32" s="6">
        <f t="shared" si="12"/>
        <v>0</v>
      </c>
      <c r="S32" s="2"/>
      <c r="T32" s="7">
        <v>255</v>
      </c>
      <c r="U32" s="2"/>
      <c r="V32" s="6">
        <f t="shared" si="13"/>
        <v>0</v>
      </c>
      <c r="W32" s="2"/>
      <c r="X32" s="7">
        <f t="shared" si="14"/>
        <v>1191.75</v>
      </c>
      <c r="Y32" s="2"/>
      <c r="Z32" s="6">
        <f t="shared" si="15"/>
        <v>4.6735294117647062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5054</v>
      </c>
      <c r="E33" s="2"/>
      <c r="F33" s="6">
        <f t="shared" si="8"/>
        <v>0</v>
      </c>
      <c r="G33" s="2"/>
      <c r="H33" s="7">
        <v>4053.13</v>
      </c>
      <c r="I33" s="2"/>
      <c r="J33" s="6">
        <f t="shared" si="9"/>
        <v>0</v>
      </c>
      <c r="K33" s="2"/>
      <c r="L33" s="7">
        <f t="shared" si="10"/>
        <v>1000.8699999999999</v>
      </c>
      <c r="M33" s="2"/>
      <c r="N33" s="6">
        <f t="shared" si="11"/>
        <v>0.24693755196601141</v>
      </c>
      <c r="O33" s="11"/>
      <c r="P33" s="7">
        <v>5054</v>
      </c>
      <c r="Q33" s="2"/>
      <c r="R33" s="6">
        <f t="shared" si="12"/>
        <v>0</v>
      </c>
      <c r="S33" s="2"/>
      <c r="T33" s="7">
        <v>4053.13</v>
      </c>
      <c r="U33" s="2"/>
      <c r="V33" s="6">
        <f t="shared" si="13"/>
        <v>0</v>
      </c>
      <c r="W33" s="2"/>
      <c r="X33" s="7">
        <f t="shared" si="14"/>
        <v>1000.8699999999999</v>
      </c>
      <c r="Y33" s="2"/>
      <c r="Z33" s="6">
        <f t="shared" si="15"/>
        <v>0.24693755196601141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>
        <v>1792.5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1792.5</v>
      </c>
      <c r="M34" s="2"/>
      <c r="N34" s="6">
        <f t="shared" si="11"/>
        <v>0</v>
      </c>
      <c r="O34" s="11"/>
      <c r="P34" s="7">
        <v>1792.5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1792.5</v>
      </c>
      <c r="Y34" s="2"/>
      <c r="Z34" s="6">
        <f t="shared" si="15"/>
        <v>0</v>
      </c>
    </row>
    <row r="35" spans="1:26" s="28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39" si="16">IF(D$12=0,0,D35/D$12)</f>
        <v>0</v>
      </c>
      <c r="G35" s="1"/>
      <c r="H35" s="1">
        <f>SUM(OSRRefH22_2x_0)</f>
        <v>6</v>
      </c>
      <c r="I35" s="1"/>
      <c r="J35" s="5">
        <f t="shared" ref="J35:J39" si="17">IF(H$12=0,0,H35/H$12)</f>
        <v>0</v>
      </c>
      <c r="K35" s="1"/>
      <c r="L35" s="1">
        <f t="shared" ref="L35:L39" si="18">+D35-H35</f>
        <v>-6</v>
      </c>
      <c r="M35" s="1"/>
      <c r="N35" s="5">
        <f t="shared" ref="N35:N39" si="19">IF(H35=0,0,L35/H35)</f>
        <v>-1</v>
      </c>
      <c r="O35" s="14"/>
      <c r="P35" s="1">
        <f>SUM(OSRRefP22_2x_0)</f>
        <v>0</v>
      </c>
      <c r="Q35" s="1"/>
      <c r="R35" s="5">
        <f t="shared" ref="R35:R39" si="20">IF(P$12=0,0,P35/P$12)</f>
        <v>0</v>
      </c>
      <c r="S35" s="1"/>
      <c r="T35" s="1">
        <f>SUM(OSRRefT22_2x_0)</f>
        <v>6</v>
      </c>
      <c r="U35" s="1"/>
      <c r="V35" s="5">
        <f t="shared" ref="V35:V39" si="21">IF(T$12=0,0,T35/T$12)</f>
        <v>0</v>
      </c>
      <c r="W35" s="1"/>
      <c r="X35" s="1">
        <f t="shared" ref="X35:X39" si="22">+P35-T35</f>
        <v>-6</v>
      </c>
      <c r="Y35" s="1"/>
      <c r="Z35" s="5">
        <f t="shared" ref="Z35:Z39" si="23">IF(T35=0,0,X35/T35)</f>
        <v>-1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>
        <v>6</v>
      </c>
      <c r="I36" s="2"/>
      <c r="J36" s="6">
        <f t="shared" si="17"/>
        <v>0</v>
      </c>
      <c r="K36" s="2"/>
      <c r="L36" s="7">
        <f t="shared" si="18"/>
        <v>-6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6</v>
      </c>
      <c r="U36" s="2"/>
      <c r="V36" s="6">
        <f t="shared" si="21"/>
        <v>0</v>
      </c>
      <c r="W36" s="2"/>
      <c r="X36" s="7">
        <f t="shared" si="22"/>
        <v>-6</v>
      </c>
      <c r="Y36" s="2"/>
      <c r="Z36" s="6">
        <f t="shared" si="23"/>
        <v>-1</v>
      </c>
    </row>
    <row r="37" spans="1:26" s="28" customFormat="1" outlineLevel="1" collapsed="1" x14ac:dyDescent="0.25">
      <c r="A37" s="27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6175.97</v>
      </c>
      <c r="E37" s="1"/>
      <c r="F37" s="5">
        <f t="shared" si="16"/>
        <v>0</v>
      </c>
      <c r="G37" s="1"/>
      <c r="H37" s="1">
        <f>SUM(OSRRefH22_3x_0)</f>
        <v>7869.89</v>
      </c>
      <c r="I37" s="1"/>
      <c r="J37" s="5">
        <f t="shared" si="17"/>
        <v>0</v>
      </c>
      <c r="K37" s="1"/>
      <c r="L37" s="1">
        <f t="shared" si="18"/>
        <v>-1693.92</v>
      </c>
      <c r="M37" s="1"/>
      <c r="N37" s="5">
        <f t="shared" si="19"/>
        <v>-0.21524061962746621</v>
      </c>
      <c r="O37" s="14"/>
      <c r="P37" s="1">
        <f>SUM(OSRRefP22_3x_0)</f>
        <v>6175.97</v>
      </c>
      <c r="Q37" s="1"/>
      <c r="R37" s="5">
        <f t="shared" si="20"/>
        <v>0</v>
      </c>
      <c r="S37" s="1"/>
      <c r="T37" s="1">
        <f>SUM(OSRRefT22_3x_0)</f>
        <v>7869.89</v>
      </c>
      <c r="U37" s="1"/>
      <c r="V37" s="5">
        <f t="shared" si="21"/>
        <v>0</v>
      </c>
      <c r="W37" s="1"/>
      <c r="X37" s="1">
        <f t="shared" si="22"/>
        <v>-1693.92</v>
      </c>
      <c r="Y37" s="1"/>
      <c r="Z37" s="5">
        <f t="shared" si="23"/>
        <v>-0.21524061962746621</v>
      </c>
    </row>
    <row r="38" spans="1:26" s="24" customFormat="1" hidden="1" outlineLevel="2" x14ac:dyDescent="0.25">
      <c r="A38" s="29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6175.97</v>
      </c>
      <c r="E38" s="2"/>
      <c r="F38" s="6">
        <f t="shared" si="16"/>
        <v>0</v>
      </c>
      <c r="G38" s="2"/>
      <c r="H38" s="7">
        <v>7547.85</v>
      </c>
      <c r="I38" s="2"/>
      <c r="J38" s="6">
        <f t="shared" si="17"/>
        <v>0</v>
      </c>
      <c r="K38" s="2"/>
      <c r="L38" s="7">
        <f t="shared" si="18"/>
        <v>-1371.88</v>
      </c>
      <c r="M38" s="2"/>
      <c r="N38" s="6">
        <f t="shared" si="19"/>
        <v>-0.18175771908556743</v>
      </c>
      <c r="O38" s="11"/>
      <c r="P38" s="7">
        <v>6175.97</v>
      </c>
      <c r="Q38" s="2"/>
      <c r="R38" s="6">
        <f t="shared" si="20"/>
        <v>0</v>
      </c>
      <c r="S38" s="2"/>
      <c r="T38" s="7">
        <v>7547.85</v>
      </c>
      <c r="U38" s="2"/>
      <c r="V38" s="6">
        <f t="shared" si="21"/>
        <v>0</v>
      </c>
      <c r="W38" s="2"/>
      <c r="X38" s="7">
        <f t="shared" si="22"/>
        <v>-1371.88</v>
      </c>
      <c r="Y38" s="2"/>
      <c r="Z38" s="6">
        <f t="shared" si="23"/>
        <v>-0.18175771908556743</v>
      </c>
    </row>
    <row r="39" spans="1:26" s="24" customFormat="1" hidden="1" outlineLevel="2" x14ac:dyDescent="0.25">
      <c r="A39" s="29"/>
      <c r="B39" s="11" t="str">
        <f>CONCATENATE("          ", "6324", " - ", "FURNITURE + FIXT DEPRECIATION")</f>
        <v xml:space="preserve">          6324 - FURNITURE + FIXT DEPRECIATION</v>
      </c>
      <c r="C39" s="11"/>
      <c r="D39" s="7"/>
      <c r="E39" s="2"/>
      <c r="F39" s="6">
        <f t="shared" si="16"/>
        <v>0</v>
      </c>
      <c r="G39" s="2"/>
      <c r="H39" s="7">
        <v>322.04000000000002</v>
      </c>
      <c r="I39" s="2"/>
      <c r="J39" s="6">
        <f t="shared" si="17"/>
        <v>0</v>
      </c>
      <c r="K39" s="2"/>
      <c r="L39" s="7">
        <f t="shared" si="18"/>
        <v>-322.04000000000002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322.04000000000002</v>
      </c>
      <c r="U39" s="2"/>
      <c r="V39" s="6">
        <f t="shared" si="21"/>
        <v>0</v>
      </c>
      <c r="W39" s="2"/>
      <c r="X39" s="7">
        <f t="shared" si="22"/>
        <v>-322.04000000000002</v>
      </c>
      <c r="Y39" s="2"/>
      <c r="Z39" s="6">
        <f t="shared" si="23"/>
        <v>-1</v>
      </c>
    </row>
    <row r="40" spans="1:26" s="28" customFormat="1" outlineLevel="1" collapsed="1" x14ac:dyDescent="0.25">
      <c r="A40" s="27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ref="F40:F47" si="24">IF(D$12=0,0,D40/D$12)</f>
        <v>0</v>
      </c>
      <c r="G40" s="1"/>
      <c r="H40" s="1">
        <f>SUM(OSRRefH22_4x_0)</f>
        <v>43.35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-43.35</v>
      </c>
      <c r="M40" s="1"/>
      <c r="N40" s="5">
        <f t="shared" ref="N40:N47" si="27">IF(H40=0,0,L40/H40)</f>
        <v>-1</v>
      </c>
      <c r="O40" s="14"/>
      <c r="P40" s="1">
        <f>SUM(OSRRefP22_4x_0)</f>
        <v>0</v>
      </c>
      <c r="Q40" s="1"/>
      <c r="R40" s="5">
        <f t="shared" ref="R40:R47" si="28">IF(P$12=0,0,P40/P$12)</f>
        <v>0</v>
      </c>
      <c r="S40" s="1"/>
      <c r="T40" s="1">
        <f>SUM(OSRRefT22_4x_0)</f>
        <v>43.35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-43.35</v>
      </c>
      <c r="Y40" s="1"/>
      <c r="Z40" s="5">
        <f t="shared" ref="Z40:Z47" si="31">IF(T40=0,0,X40/T40)</f>
        <v>-1</v>
      </c>
    </row>
    <row r="41" spans="1:26" s="24" customFormat="1" hidden="1" outlineLevel="2" x14ac:dyDescent="0.25">
      <c r="A41" s="29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4"/>
        <v>0</v>
      </c>
      <c r="G41" s="2"/>
      <c r="H41" s="7">
        <v>43.35</v>
      </c>
      <c r="I41" s="2"/>
      <c r="J41" s="6">
        <f t="shared" si="25"/>
        <v>0</v>
      </c>
      <c r="K41" s="2"/>
      <c r="L41" s="7">
        <f t="shared" si="26"/>
        <v>-43.35</v>
      </c>
      <c r="M41" s="2"/>
      <c r="N41" s="6">
        <f t="shared" si="27"/>
        <v>-1</v>
      </c>
      <c r="O41" s="11"/>
      <c r="P41" s="7"/>
      <c r="Q41" s="2"/>
      <c r="R41" s="6">
        <f t="shared" si="28"/>
        <v>0</v>
      </c>
      <c r="S41" s="2"/>
      <c r="T41" s="7">
        <v>43.35</v>
      </c>
      <c r="U41" s="2"/>
      <c r="V41" s="6">
        <f t="shared" si="29"/>
        <v>0</v>
      </c>
      <c r="W41" s="2"/>
      <c r="X41" s="7">
        <f t="shared" si="30"/>
        <v>-43.35</v>
      </c>
      <c r="Y41" s="2"/>
      <c r="Z41" s="6">
        <f t="shared" si="31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56.34</v>
      </c>
      <c r="E42" s="1"/>
      <c r="F42" s="5">
        <f t="shared" si="24"/>
        <v>0</v>
      </c>
      <c r="G42" s="1"/>
      <c r="H42" s="1">
        <f>SUM(OSRRefH22_5x_0)</f>
        <v>53.08</v>
      </c>
      <c r="I42" s="1"/>
      <c r="J42" s="5">
        <f t="shared" si="25"/>
        <v>0</v>
      </c>
      <c r="K42" s="1"/>
      <c r="L42" s="1">
        <f t="shared" si="26"/>
        <v>3.2600000000000051</v>
      </c>
      <c r="M42" s="1"/>
      <c r="N42" s="5">
        <f t="shared" si="27"/>
        <v>6.1416729464958651E-2</v>
      </c>
      <c r="O42" s="14"/>
      <c r="P42" s="1">
        <f>SUM(OSRRefP22_5x_0)</f>
        <v>56.34</v>
      </c>
      <c r="Q42" s="1"/>
      <c r="R42" s="5">
        <f t="shared" si="28"/>
        <v>0</v>
      </c>
      <c r="S42" s="1"/>
      <c r="T42" s="1">
        <f>SUM(OSRRefT22_5x_0)</f>
        <v>53.08</v>
      </c>
      <c r="U42" s="1"/>
      <c r="V42" s="5">
        <f t="shared" si="29"/>
        <v>0</v>
      </c>
      <c r="W42" s="1"/>
      <c r="X42" s="1">
        <f t="shared" si="30"/>
        <v>3.2600000000000051</v>
      </c>
      <c r="Y42" s="1"/>
      <c r="Z42" s="5">
        <f t="shared" si="31"/>
        <v>6.1416729464958651E-2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56.34</v>
      </c>
      <c r="E43" s="2"/>
      <c r="F43" s="6">
        <f t="shared" si="24"/>
        <v>0</v>
      </c>
      <c r="G43" s="2"/>
      <c r="H43" s="7">
        <v>53.08</v>
      </c>
      <c r="I43" s="2"/>
      <c r="J43" s="6">
        <f t="shared" si="25"/>
        <v>0</v>
      </c>
      <c r="K43" s="2"/>
      <c r="L43" s="7">
        <f t="shared" si="26"/>
        <v>3.2600000000000051</v>
      </c>
      <c r="M43" s="2"/>
      <c r="N43" s="6">
        <f t="shared" si="27"/>
        <v>6.1416729464958651E-2</v>
      </c>
      <c r="O43" s="11"/>
      <c r="P43" s="7">
        <v>56.34</v>
      </c>
      <c r="Q43" s="2"/>
      <c r="R43" s="6">
        <f t="shared" si="28"/>
        <v>0</v>
      </c>
      <c r="S43" s="2"/>
      <c r="T43" s="7">
        <v>53.08</v>
      </c>
      <c r="U43" s="2"/>
      <c r="V43" s="6">
        <f t="shared" si="29"/>
        <v>0</v>
      </c>
      <c r="W43" s="2"/>
      <c r="X43" s="7">
        <f t="shared" si="30"/>
        <v>3.2600000000000051</v>
      </c>
      <c r="Y43" s="2"/>
      <c r="Z43" s="6">
        <f t="shared" si="31"/>
        <v>6.1416729464958651E-2</v>
      </c>
    </row>
    <row r="44" spans="1:26" s="28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SUM(OSRRefD22_6x_0)</f>
        <v>9638.7800000000007</v>
      </c>
      <c r="E44" s="1"/>
      <c r="F44" s="5">
        <f t="shared" si="24"/>
        <v>0</v>
      </c>
      <c r="G44" s="1"/>
      <c r="H44" s="1">
        <f>SUM(OSRRefH22_6x_0)</f>
        <v>6785.07</v>
      </c>
      <c r="I44" s="1"/>
      <c r="J44" s="5">
        <f t="shared" si="25"/>
        <v>0</v>
      </c>
      <c r="K44" s="1"/>
      <c r="L44" s="1">
        <f t="shared" si="26"/>
        <v>2853.7100000000009</v>
      </c>
      <c r="M44" s="1"/>
      <c r="N44" s="5">
        <f t="shared" si="27"/>
        <v>0.42058667043965664</v>
      </c>
      <c r="O44" s="14"/>
      <c r="P44" s="1">
        <f>SUM(OSRRefP22_6x_0)</f>
        <v>9638.7800000000007</v>
      </c>
      <c r="Q44" s="1"/>
      <c r="R44" s="5">
        <f t="shared" si="28"/>
        <v>0</v>
      </c>
      <c r="S44" s="1"/>
      <c r="T44" s="1">
        <f>SUM(OSRRefT22_6x_0)</f>
        <v>6785.07</v>
      </c>
      <c r="U44" s="1"/>
      <c r="V44" s="5">
        <f t="shared" si="29"/>
        <v>0</v>
      </c>
      <c r="W44" s="1"/>
      <c r="X44" s="1">
        <f t="shared" si="30"/>
        <v>2853.7100000000009</v>
      </c>
      <c r="Y44" s="1"/>
      <c r="Z44" s="5">
        <f t="shared" si="31"/>
        <v>0.42058667043965664</v>
      </c>
    </row>
    <row r="45" spans="1:26" s="24" customFormat="1" hidden="1" outlineLevel="2" x14ac:dyDescent="0.25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90.95</v>
      </c>
      <c r="E45" s="2"/>
      <c r="F45" s="6">
        <f t="shared" si="24"/>
        <v>0</v>
      </c>
      <c r="G45" s="2"/>
      <c r="H45" s="7">
        <v>93.95</v>
      </c>
      <c r="I45" s="2"/>
      <c r="J45" s="6">
        <f t="shared" si="25"/>
        <v>0</v>
      </c>
      <c r="K45" s="2"/>
      <c r="L45" s="7">
        <f t="shared" si="26"/>
        <v>-3</v>
      </c>
      <c r="M45" s="2"/>
      <c r="N45" s="6">
        <f t="shared" si="27"/>
        <v>-3.1931878658861094E-2</v>
      </c>
      <c r="O45" s="11"/>
      <c r="P45" s="7">
        <v>90.95</v>
      </c>
      <c r="Q45" s="2"/>
      <c r="R45" s="6">
        <f t="shared" si="28"/>
        <v>0</v>
      </c>
      <c r="S45" s="2"/>
      <c r="T45" s="7">
        <v>93.95</v>
      </c>
      <c r="U45" s="2"/>
      <c r="V45" s="6">
        <f t="shared" si="29"/>
        <v>0</v>
      </c>
      <c r="W45" s="2"/>
      <c r="X45" s="7">
        <f t="shared" si="30"/>
        <v>-3</v>
      </c>
      <c r="Y45" s="2"/>
      <c r="Z45" s="6">
        <f t="shared" si="31"/>
        <v>-3.1931878658861094E-2</v>
      </c>
    </row>
    <row r="46" spans="1:26" s="24" customFormat="1" hidden="1" outlineLevel="2" x14ac:dyDescent="0.25">
      <c r="A46" s="29"/>
      <c r="B46" s="11" t="str">
        <f>CONCATENATE("          ", "6373", " - ", "MAINTENANCE CONTRACTS")</f>
        <v xml:space="preserve">          6373 - MAINTENANCE CONTRACTS</v>
      </c>
      <c r="C46" s="11"/>
      <c r="D46" s="7">
        <v>9516.15</v>
      </c>
      <c r="E46" s="2"/>
      <c r="F46" s="6">
        <f t="shared" si="24"/>
        <v>0</v>
      </c>
      <c r="G46" s="2"/>
      <c r="H46" s="7">
        <v>6051.15</v>
      </c>
      <c r="I46" s="2"/>
      <c r="J46" s="6">
        <f t="shared" si="25"/>
        <v>0</v>
      </c>
      <c r="K46" s="2"/>
      <c r="L46" s="7">
        <f t="shared" si="26"/>
        <v>3465</v>
      </c>
      <c r="M46" s="2"/>
      <c r="N46" s="6">
        <f t="shared" si="27"/>
        <v>0.57261842790213435</v>
      </c>
      <c r="O46" s="11"/>
      <c r="P46" s="7">
        <v>9516.15</v>
      </c>
      <c r="Q46" s="2"/>
      <c r="R46" s="6">
        <f t="shared" si="28"/>
        <v>0</v>
      </c>
      <c r="S46" s="2"/>
      <c r="T46" s="7">
        <v>6051.15</v>
      </c>
      <c r="U46" s="2"/>
      <c r="V46" s="6">
        <f t="shared" si="29"/>
        <v>0</v>
      </c>
      <c r="W46" s="2"/>
      <c r="X46" s="7">
        <f t="shared" si="30"/>
        <v>3465</v>
      </c>
      <c r="Y46" s="2"/>
      <c r="Z46" s="6">
        <f t="shared" si="31"/>
        <v>0.57261842790213435</v>
      </c>
    </row>
    <row r="47" spans="1:26" s="24" customFormat="1" hidden="1" outlineLevel="2" x14ac:dyDescent="0.25">
      <c r="A47" s="29"/>
      <c r="B47" s="11" t="str">
        <f>CONCATENATE("          ", "6375", " - ", "OUTSIDE REPAIRS &amp; MAINTENANCE")</f>
        <v xml:space="preserve">          6375 - OUTSIDE REPAIRS &amp; MAINTENANCE</v>
      </c>
      <c r="C47" s="11"/>
      <c r="D47" s="7">
        <v>31.68</v>
      </c>
      <c r="E47" s="2"/>
      <c r="F47" s="6">
        <f t="shared" si="24"/>
        <v>0</v>
      </c>
      <c r="G47" s="2"/>
      <c r="H47" s="7">
        <v>639.97</v>
      </c>
      <c r="I47" s="2"/>
      <c r="J47" s="6">
        <f t="shared" si="25"/>
        <v>0</v>
      </c>
      <c r="K47" s="2"/>
      <c r="L47" s="7">
        <f t="shared" si="26"/>
        <v>-608.29000000000008</v>
      </c>
      <c r="M47" s="2"/>
      <c r="N47" s="6">
        <f t="shared" si="27"/>
        <v>-0.95049767957873033</v>
      </c>
      <c r="O47" s="11"/>
      <c r="P47" s="7">
        <v>31.68</v>
      </c>
      <c r="Q47" s="2"/>
      <c r="R47" s="6">
        <f t="shared" si="28"/>
        <v>0</v>
      </c>
      <c r="S47" s="2"/>
      <c r="T47" s="7">
        <v>639.97</v>
      </c>
      <c r="U47" s="2"/>
      <c r="V47" s="6">
        <f t="shared" si="29"/>
        <v>0</v>
      </c>
      <c r="W47" s="2"/>
      <c r="X47" s="7">
        <f t="shared" si="30"/>
        <v>-608.29000000000008</v>
      </c>
      <c r="Y47" s="2"/>
      <c r="Z47" s="6">
        <f t="shared" si="31"/>
        <v>-0.95049767957873033</v>
      </c>
    </row>
    <row r="48" spans="1:26" s="28" customFormat="1" outlineLevel="1" collapsed="1" x14ac:dyDescent="0.25">
      <c r="A48" s="27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SUM(OSRRefD22_7x_0)</f>
        <v>6611.6</v>
      </c>
      <c r="E48" s="1"/>
      <c r="F48" s="5">
        <f t="shared" ref="F48:F50" si="32">IF(D$12=0,0,D48/D$12)</f>
        <v>0</v>
      </c>
      <c r="G48" s="1"/>
      <c r="H48" s="1">
        <f>SUM(OSRRefH22_7x_0)</f>
        <v>-968.23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7579.83</v>
      </c>
      <c r="M48" s="1"/>
      <c r="N48" s="5">
        <f t="shared" ref="N48:N50" si="35">IF(H48=0,0,L48/H48)</f>
        <v>-7.8285428049120558</v>
      </c>
      <c r="O48" s="14"/>
      <c r="P48" s="1">
        <f>SUM(OSRRefP22_7x_0)</f>
        <v>6611.6</v>
      </c>
      <c r="Q48" s="1"/>
      <c r="R48" s="5">
        <f t="shared" ref="R48:R50" si="36">IF(P$12=0,0,P48/P$12)</f>
        <v>0</v>
      </c>
      <c r="S48" s="1"/>
      <c r="T48" s="1">
        <f>SUM(OSRRefT22_7x_0)</f>
        <v>-968.23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7579.83</v>
      </c>
      <c r="Y48" s="1"/>
      <c r="Z48" s="5">
        <f t="shared" ref="Z48:Z50" si="39">IF(T48=0,0,X48/T48)</f>
        <v>-7.8285428049120558</v>
      </c>
    </row>
    <row r="49" spans="1:26" s="24" customFormat="1" hidden="1" outlineLevel="2" x14ac:dyDescent="0.25">
      <c r="A49" s="29"/>
      <c r="B49" s="11" t="str">
        <f>CONCATENATE("          ", "6234", " - ", "EXPENDABLE SUPPLIES &amp; EQUIPMEN")</f>
        <v xml:space="preserve">          6234 - EXPENDABLE SUPPLIES &amp; EQUIPMEN</v>
      </c>
      <c r="C49" s="11"/>
      <c r="D49" s="7"/>
      <c r="E49" s="2"/>
      <c r="F49" s="6">
        <f t="shared" si="32"/>
        <v>0</v>
      </c>
      <c r="G49" s="2"/>
      <c r="H49" s="7">
        <v>1245.83</v>
      </c>
      <c r="I49" s="2"/>
      <c r="J49" s="6">
        <f t="shared" si="33"/>
        <v>0</v>
      </c>
      <c r="K49" s="2"/>
      <c r="L49" s="7">
        <f t="shared" si="34"/>
        <v>-1245.83</v>
      </c>
      <c r="M49" s="2"/>
      <c r="N49" s="6">
        <f t="shared" si="35"/>
        <v>-1</v>
      </c>
      <c r="O49" s="11"/>
      <c r="P49" s="7"/>
      <c r="Q49" s="2"/>
      <c r="R49" s="6">
        <f t="shared" si="36"/>
        <v>0</v>
      </c>
      <c r="S49" s="2"/>
      <c r="T49" s="7">
        <v>1245.83</v>
      </c>
      <c r="U49" s="2"/>
      <c r="V49" s="6">
        <f t="shared" si="37"/>
        <v>0</v>
      </c>
      <c r="W49" s="2"/>
      <c r="X49" s="7">
        <f t="shared" si="38"/>
        <v>-1245.83</v>
      </c>
      <c r="Y49" s="2"/>
      <c r="Z49" s="6">
        <f t="shared" si="39"/>
        <v>-1</v>
      </c>
    </row>
    <row r="50" spans="1:26" s="24" customFormat="1" hidden="1" outlineLevel="2" x14ac:dyDescent="0.25">
      <c r="A50" s="29"/>
      <c r="B50" s="11" t="str">
        <f>CONCATENATE("          ", "6241", " - ", "OFFICE EXPENSE")</f>
        <v xml:space="preserve">          6241 - OFFICE EXPENSE</v>
      </c>
      <c r="C50" s="11"/>
      <c r="D50" s="7">
        <v>6611.6</v>
      </c>
      <c r="E50" s="2"/>
      <c r="F50" s="6">
        <f t="shared" si="32"/>
        <v>0</v>
      </c>
      <c r="G50" s="2"/>
      <c r="H50" s="7">
        <v>-2214.06</v>
      </c>
      <c r="I50" s="2"/>
      <c r="J50" s="6">
        <f t="shared" si="33"/>
        <v>0</v>
      </c>
      <c r="K50" s="2"/>
      <c r="L50" s="7">
        <f t="shared" si="34"/>
        <v>8825.66</v>
      </c>
      <c r="M50" s="2"/>
      <c r="N50" s="6">
        <f t="shared" si="35"/>
        <v>-3.9861882695139248</v>
      </c>
      <c r="O50" s="11"/>
      <c r="P50" s="7">
        <v>6611.6</v>
      </c>
      <c r="Q50" s="2"/>
      <c r="R50" s="6">
        <f t="shared" si="36"/>
        <v>0</v>
      </c>
      <c r="S50" s="2"/>
      <c r="T50" s="7">
        <v>-2214.06</v>
      </c>
      <c r="U50" s="2"/>
      <c r="V50" s="6">
        <f t="shared" si="37"/>
        <v>0</v>
      </c>
      <c r="W50" s="2"/>
      <c r="X50" s="7">
        <f t="shared" si="38"/>
        <v>8825.66</v>
      </c>
      <c r="Y50" s="2"/>
      <c r="Z50" s="6">
        <f t="shared" si="39"/>
        <v>-3.9861882695139248</v>
      </c>
    </row>
    <row r="51" spans="1:26" s="28" customFormat="1" outlineLevel="1" collapsed="1" x14ac:dyDescent="0.25">
      <c r="A51" s="27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SUM(OSRRefD22_8x_0)</f>
        <v>4049.2400000000002</v>
      </c>
      <c r="E51" s="1"/>
      <c r="F51" s="5">
        <f t="shared" ref="F51:F53" si="40">IF(D$12=0,0,D51/D$12)</f>
        <v>0</v>
      </c>
      <c r="G51" s="1"/>
      <c r="H51" s="1">
        <f>SUM(OSRRefH22_8x_0)</f>
        <v>296.29000000000002</v>
      </c>
      <c r="I51" s="1"/>
      <c r="J51" s="5">
        <f t="shared" ref="J51:J53" si="41">IF(H$12=0,0,H51/H$12)</f>
        <v>0</v>
      </c>
      <c r="K51" s="1"/>
      <c r="L51" s="1">
        <f t="shared" ref="L51:L53" si="42">+D51-H51</f>
        <v>3752.9500000000003</v>
      </c>
      <c r="M51" s="1"/>
      <c r="N51" s="5">
        <f t="shared" ref="N51:N53" si="43">IF(H51=0,0,L51/H51)</f>
        <v>12.666475412602518</v>
      </c>
      <c r="O51" s="14"/>
      <c r="P51" s="1">
        <f>SUM(OSRRefP22_8x_0)</f>
        <v>4049.2400000000002</v>
      </c>
      <c r="Q51" s="1"/>
      <c r="R51" s="5">
        <f t="shared" ref="R51:R53" si="44">IF(P$12=0,0,P51/P$12)</f>
        <v>0</v>
      </c>
      <c r="S51" s="1"/>
      <c r="T51" s="1">
        <f>SUM(OSRRefT22_8x_0)</f>
        <v>296.29000000000002</v>
      </c>
      <c r="U51" s="1"/>
      <c r="V51" s="5">
        <f t="shared" ref="V51:V53" si="45">IF(T$12=0,0,T51/T$12)</f>
        <v>0</v>
      </c>
      <c r="W51" s="1"/>
      <c r="X51" s="1">
        <f t="shared" ref="X51:X53" si="46">+P51-T51</f>
        <v>3752.9500000000003</v>
      </c>
      <c r="Y51" s="1"/>
      <c r="Z51" s="5">
        <f t="shared" ref="Z51:Z53" si="47">IF(T51=0,0,X51/T51)</f>
        <v>12.666475412602518</v>
      </c>
    </row>
    <row r="52" spans="1:26" s="24" customFormat="1" hidden="1" outlineLevel="2" x14ac:dyDescent="0.25">
      <c r="A52" s="29"/>
      <c r="B52" s="11" t="str">
        <f>CONCATENATE("          ", "6303", " - ", "DATA PHONE LINES")</f>
        <v xml:space="preserve">          6303 - DATA PHONE LINES</v>
      </c>
      <c r="C52" s="11"/>
      <c r="D52" s="7">
        <v>195.53</v>
      </c>
      <c r="E52" s="2"/>
      <c r="F52" s="6">
        <f t="shared" si="40"/>
        <v>0</v>
      </c>
      <c r="G52" s="2"/>
      <c r="H52" s="7">
        <v>173.93</v>
      </c>
      <c r="I52" s="2"/>
      <c r="J52" s="6">
        <f t="shared" si="41"/>
        <v>0</v>
      </c>
      <c r="K52" s="2"/>
      <c r="L52" s="7">
        <f t="shared" si="42"/>
        <v>21.599999999999994</v>
      </c>
      <c r="M52" s="2"/>
      <c r="N52" s="6">
        <f t="shared" si="43"/>
        <v>0.1241878916805611</v>
      </c>
      <c r="O52" s="11"/>
      <c r="P52" s="7">
        <v>195.53</v>
      </c>
      <c r="Q52" s="2"/>
      <c r="R52" s="6">
        <f t="shared" si="44"/>
        <v>0</v>
      </c>
      <c r="S52" s="2"/>
      <c r="T52" s="7">
        <v>173.93</v>
      </c>
      <c r="U52" s="2"/>
      <c r="V52" s="6">
        <f t="shared" si="45"/>
        <v>0</v>
      </c>
      <c r="W52" s="2"/>
      <c r="X52" s="7">
        <f t="shared" si="46"/>
        <v>21.599999999999994</v>
      </c>
      <c r="Y52" s="2"/>
      <c r="Z52" s="6">
        <f t="shared" si="47"/>
        <v>0.1241878916805611</v>
      </c>
    </row>
    <row r="53" spans="1:26" s="24" customFormat="1" hidden="1" outlineLevel="2" x14ac:dyDescent="0.25">
      <c r="A53" s="29"/>
      <c r="B53" s="11" t="str">
        <f>CONCATENATE("          ", "6309", " - ", "TELEPHONE")</f>
        <v xml:space="preserve">          6309 - TELEPHONE</v>
      </c>
      <c r="C53" s="11"/>
      <c r="D53" s="7">
        <v>3853.71</v>
      </c>
      <c r="E53" s="2"/>
      <c r="F53" s="6">
        <f t="shared" si="40"/>
        <v>0</v>
      </c>
      <c r="G53" s="2"/>
      <c r="H53" s="7">
        <v>122.36</v>
      </c>
      <c r="I53" s="2"/>
      <c r="J53" s="6">
        <f t="shared" si="41"/>
        <v>0</v>
      </c>
      <c r="K53" s="2"/>
      <c r="L53" s="7">
        <f t="shared" si="42"/>
        <v>3731.35</v>
      </c>
      <c r="M53" s="2"/>
      <c r="N53" s="6">
        <f t="shared" si="43"/>
        <v>30.494851258581235</v>
      </c>
      <c r="O53" s="11"/>
      <c r="P53" s="7">
        <v>3853.71</v>
      </c>
      <c r="Q53" s="2"/>
      <c r="R53" s="6">
        <f t="shared" si="44"/>
        <v>0</v>
      </c>
      <c r="S53" s="2"/>
      <c r="T53" s="7">
        <v>122.36</v>
      </c>
      <c r="U53" s="2"/>
      <c r="V53" s="6">
        <f t="shared" si="45"/>
        <v>0</v>
      </c>
      <c r="W53" s="2"/>
      <c r="X53" s="7">
        <f t="shared" si="46"/>
        <v>3731.35</v>
      </c>
      <c r="Y53" s="2"/>
      <c r="Z53" s="6">
        <f t="shared" si="47"/>
        <v>30.494851258581235</v>
      </c>
    </row>
    <row r="54" spans="1:26" s="28" customFormat="1" outlineLevel="1" collapsed="1" x14ac:dyDescent="0.25">
      <c r="A54" s="27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SUM(OSRRefD22_9x_0)</f>
        <v>49</v>
      </c>
      <c r="E54" s="1"/>
      <c r="F54" s="5">
        <f t="shared" ref="F54:F55" si="48">IF(D$12=0,0,D54/D$12)</f>
        <v>0</v>
      </c>
      <c r="G54" s="1"/>
      <c r="H54" s="1">
        <f>SUM(OSRRefH22_9x_0)</f>
        <v>4104.05</v>
      </c>
      <c r="I54" s="1"/>
      <c r="J54" s="5">
        <f t="shared" ref="J54:J55" si="49">IF(H$12=0,0,H54/H$12)</f>
        <v>0</v>
      </c>
      <c r="K54" s="1"/>
      <c r="L54" s="1">
        <f t="shared" ref="L54:L55" si="50">+D54-H54</f>
        <v>-4055.05</v>
      </c>
      <c r="M54" s="1"/>
      <c r="N54" s="5">
        <f t="shared" ref="N54:N55" si="51">IF(H54=0,0,L54/H54)</f>
        <v>-0.98806057431074179</v>
      </c>
      <c r="O54" s="14"/>
      <c r="P54" s="1">
        <f>SUM(OSRRefP22_9x_0)</f>
        <v>49</v>
      </c>
      <c r="Q54" s="1"/>
      <c r="R54" s="5">
        <f t="shared" ref="R54:R55" si="52">IF(P$12=0,0,P54/P$12)</f>
        <v>0</v>
      </c>
      <c r="S54" s="1"/>
      <c r="T54" s="1">
        <f>SUM(OSRRefT22_9x_0)</f>
        <v>4104.05</v>
      </c>
      <c r="U54" s="1"/>
      <c r="V54" s="5">
        <f t="shared" ref="V54:V55" si="53">IF(T$12=0,0,T54/T$12)</f>
        <v>0</v>
      </c>
      <c r="W54" s="1"/>
      <c r="X54" s="1">
        <f t="shared" ref="X54:X55" si="54">+P54-T54</f>
        <v>-4055.05</v>
      </c>
      <c r="Y54" s="1"/>
      <c r="Z54" s="5">
        <f t="shared" ref="Z54:Z55" si="55">IF(T54=0,0,X54/T54)</f>
        <v>-0.98806057431074179</v>
      </c>
    </row>
    <row r="55" spans="1:26" s="24" customFormat="1" hidden="1" outlineLevel="2" x14ac:dyDescent="0.25">
      <c r="A55" s="29"/>
      <c r="B55" s="11" t="str">
        <f>CONCATENATE("          ", "6376", " - ", "TRAINING")</f>
        <v xml:space="preserve">          6376 - TRAINING</v>
      </c>
      <c r="C55" s="11"/>
      <c r="D55" s="7">
        <v>49</v>
      </c>
      <c r="E55" s="2"/>
      <c r="F55" s="6">
        <f t="shared" si="48"/>
        <v>0</v>
      </c>
      <c r="G55" s="2"/>
      <c r="H55" s="7">
        <v>4104.05</v>
      </c>
      <c r="I55" s="2"/>
      <c r="J55" s="6">
        <f t="shared" si="49"/>
        <v>0</v>
      </c>
      <c r="K55" s="2"/>
      <c r="L55" s="7">
        <f t="shared" si="50"/>
        <v>-4055.05</v>
      </c>
      <c r="M55" s="2"/>
      <c r="N55" s="6">
        <f t="shared" si="51"/>
        <v>-0.98806057431074179</v>
      </c>
      <c r="O55" s="11"/>
      <c r="P55" s="7">
        <v>49</v>
      </c>
      <c r="Q55" s="2"/>
      <c r="R55" s="6">
        <f t="shared" si="52"/>
        <v>0</v>
      </c>
      <c r="S55" s="2"/>
      <c r="T55" s="7">
        <v>4104.05</v>
      </c>
      <c r="U55" s="2"/>
      <c r="V55" s="6">
        <f t="shared" si="53"/>
        <v>0</v>
      </c>
      <c r="W55" s="2"/>
      <c r="X55" s="7">
        <f t="shared" si="54"/>
        <v>-4055.05</v>
      </c>
      <c r="Y55" s="2"/>
      <c r="Z55" s="6">
        <f t="shared" si="55"/>
        <v>-0.98806057431074179</v>
      </c>
    </row>
    <row r="56" spans="1:26" s="54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6" t="s">
        <v>0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5" t="s">
        <v>3</v>
      </c>
      <c r="C59" s="25"/>
      <c r="D59" s="21">
        <f>+D16-D18+D57</f>
        <v>-67675.849999999991</v>
      </c>
      <c r="E59" s="13"/>
      <c r="F59" s="20">
        <f>IF(D$12=0,0,D59/D$12)</f>
        <v>0</v>
      </c>
      <c r="G59" s="13"/>
      <c r="H59" s="21">
        <f>+H16-H18+H57</f>
        <v>-55611.000000000007</v>
      </c>
      <c r="I59" s="13"/>
      <c r="J59" s="20">
        <f>IF(H$12=0,0,H59/H$12)</f>
        <v>0</v>
      </c>
      <c r="K59" s="16"/>
      <c r="L59" s="21">
        <f>+D59-H59</f>
        <v>-12064.849999999984</v>
      </c>
      <c r="M59" s="16"/>
      <c r="N59" s="20">
        <f>IF(H59=0,0,L59/H59)</f>
        <v>0.21695078311844748</v>
      </c>
      <c r="O59" s="26"/>
      <c r="P59" s="21">
        <f>+P16-P18+P57</f>
        <v>-67675.849999999991</v>
      </c>
      <c r="Q59" s="13"/>
      <c r="R59" s="20">
        <f>IF(P$12=0,0,P59/P$12)</f>
        <v>0</v>
      </c>
      <c r="S59" s="13"/>
      <c r="T59" s="21">
        <f>+T16-T18+T57</f>
        <v>-55611.000000000007</v>
      </c>
      <c r="U59" s="13"/>
      <c r="V59" s="20">
        <f>IF(T$12=0,0,T59/T$12)</f>
        <v>0</v>
      </c>
      <c r="W59" s="16"/>
      <c r="X59" s="21">
        <f>+P59-T59</f>
        <v>-12064.849999999984</v>
      </c>
      <c r="Y59" s="16"/>
      <c r="Z59" s="20">
        <f>IF(T59=0,0,X59/T59)</f>
        <v>0.21695078311844748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13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4</v>
      </c>
      <c r="C63" s="25"/>
      <c r="D63" s="33">
        <f>+D59-D61</f>
        <v>-67675.849999999991</v>
      </c>
      <c r="E63" s="13"/>
      <c r="F63" s="34">
        <f>IF(D$12=0,0,D63/D$12)</f>
        <v>0</v>
      </c>
      <c r="G63" s="13"/>
      <c r="H63" s="33">
        <f>+H59-H61</f>
        <v>-55611.000000000007</v>
      </c>
      <c r="I63" s="13"/>
      <c r="J63" s="34">
        <f>IF(H$12=0,0,H63/H$12)</f>
        <v>0</v>
      </c>
      <c r="K63" s="16"/>
      <c r="L63" s="33">
        <f>D63-H63</f>
        <v>-12064.849999999984</v>
      </c>
      <c r="M63" s="16"/>
      <c r="N63" s="34">
        <f>IF(H63=0,0,L63/H63)</f>
        <v>0.21695078311844748</v>
      </c>
      <c r="O63" s="26"/>
      <c r="P63" s="33">
        <f>+P59-P61</f>
        <v>-67675.849999999991</v>
      </c>
      <c r="Q63" s="13"/>
      <c r="R63" s="34">
        <f>IF(P$12=0,0,P63/P$12)</f>
        <v>0</v>
      </c>
      <c r="S63" s="13"/>
      <c r="T63" s="33">
        <f>+T59-T61</f>
        <v>-55611.000000000007</v>
      </c>
      <c r="U63" s="13"/>
      <c r="V63" s="34">
        <f>IF(T$12=0,0,T63/T$12)</f>
        <v>0</v>
      </c>
      <c r="W63" s="16"/>
      <c r="X63" s="33">
        <f>P63-T63</f>
        <v>-12064.849999999984</v>
      </c>
      <c r="Y63" s="16"/>
      <c r="Z63" s="34">
        <f>IF(T63=0,0,X63/T63)</f>
        <v>0.21695078311844748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5</v>
      </c>
      <c r="C66" s="25"/>
      <c r="D66" s="31">
        <f>SUM(D63:D65)</f>
        <v>-67675.849999999991</v>
      </c>
      <c r="E66" s="13"/>
      <c r="F66" s="30">
        <f>IF(D$12=0,0,D66/D$12)</f>
        <v>0</v>
      </c>
      <c r="G66" s="13"/>
      <c r="H66" s="31">
        <f>SUM(H63:H65)</f>
        <v>-55611.000000000007</v>
      </c>
      <c r="I66" s="13"/>
      <c r="J66" s="30">
        <f>IF(H$12=0,0,H66/H$12)</f>
        <v>0</v>
      </c>
      <c r="K66" s="16"/>
      <c r="L66" s="31">
        <f>+D66-H66</f>
        <v>-12064.849999999984</v>
      </c>
      <c r="M66" s="16"/>
      <c r="N66" s="30">
        <f>IF(H66=0,0,L66/H66)</f>
        <v>0.21695078311844748</v>
      </c>
      <c r="O66" s="26"/>
      <c r="P66" s="31">
        <f>SUM(P63:P65)</f>
        <v>-67675.849999999991</v>
      </c>
      <c r="Q66" s="13"/>
      <c r="R66" s="30">
        <f>IF(P$12=0,0,P66/P$12)</f>
        <v>0</v>
      </c>
      <c r="S66" s="13"/>
      <c r="T66" s="31">
        <f>SUM(T63:T65)</f>
        <v>-55611.000000000007</v>
      </c>
      <c r="U66" s="13"/>
      <c r="V66" s="30">
        <f>IF(T$12=0,0,T66/T$12)</f>
        <v>0</v>
      </c>
      <c r="W66" s="16"/>
      <c r="X66" s="31">
        <f>+P66-T66</f>
        <v>-12064.849999999984</v>
      </c>
      <c r="Y66" s="16"/>
      <c r="Z66" s="30">
        <f>IF(T66=0,0,X66/T66)</f>
        <v>0.21695078311844748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6">
        <v>43726.68166681713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3" t="s">
        <v>313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8181.91</v>
      </c>
      <c r="E18" s="19"/>
      <c r="F18" s="35">
        <f t="shared" ref="F18:F27" si="0">IF(D$12=0,0,D18/D$12)</f>
        <v>0</v>
      </c>
      <c r="G18" s="19"/>
      <c r="H18" s="19">
        <f>SUM(OSRRefH22x_0)</f>
        <v>7558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623.90999999999985</v>
      </c>
      <c r="M18" s="4"/>
      <c r="N18" s="35">
        <f t="shared" ref="N18:N27" si="3">IF(H18=0,0,L18/H18)</f>
        <v>8.2549616300608614E-2</v>
      </c>
      <c r="O18" s="10"/>
      <c r="P18" s="19">
        <f>SUM(OSRRefP22x_0)</f>
        <v>8181.91</v>
      </c>
      <c r="Q18" s="19"/>
      <c r="R18" s="35">
        <f t="shared" ref="R18:R27" si="4">IF(P$12=0,0,P18/P$12)</f>
        <v>0</v>
      </c>
      <c r="S18" s="19"/>
      <c r="T18" s="19">
        <f>SUM(OSRRefT22x_0)</f>
        <v>7558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623.90999999999985</v>
      </c>
      <c r="Y18" s="4"/>
      <c r="Z18" s="35">
        <f t="shared" ref="Z18:Z27" si="7">IF(T18=0,0,X18/T18)</f>
        <v>8.2549616300608614E-2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3583.46</v>
      </c>
      <c r="E19" s="1"/>
      <c r="F19" s="5">
        <f t="shared" si="0"/>
        <v>0</v>
      </c>
      <c r="G19" s="1"/>
      <c r="H19" s="1">
        <f>SUM(OSRRefH22_0x_0)</f>
        <v>3205.7799999999997</v>
      </c>
      <c r="I19" s="1"/>
      <c r="J19" s="5">
        <f t="shared" si="1"/>
        <v>0</v>
      </c>
      <c r="K19" s="1"/>
      <c r="L19" s="1">
        <f t="shared" si="2"/>
        <v>377.68000000000029</v>
      </c>
      <c r="M19" s="1"/>
      <c r="N19" s="5">
        <f t="shared" si="3"/>
        <v>0.11781220171066022</v>
      </c>
      <c r="O19" s="14"/>
      <c r="P19" s="1">
        <f>SUM(OSRRefP22_0x_0)</f>
        <v>3583.46</v>
      </c>
      <c r="Q19" s="1"/>
      <c r="R19" s="5">
        <f t="shared" si="4"/>
        <v>0</v>
      </c>
      <c r="S19" s="1"/>
      <c r="T19" s="1">
        <f>SUM(OSRRefT22_0x_0)</f>
        <v>3205.7799999999997</v>
      </c>
      <c r="U19" s="1"/>
      <c r="V19" s="5">
        <f t="shared" si="5"/>
        <v>0</v>
      </c>
      <c r="W19" s="1"/>
      <c r="X19" s="1">
        <f t="shared" si="6"/>
        <v>377.68000000000029</v>
      </c>
      <c r="Y19" s="1"/>
      <c r="Z19" s="5">
        <f t="shared" si="7"/>
        <v>0.11781220171066022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316.26</v>
      </c>
      <c r="E20" s="2"/>
      <c r="F20" s="6">
        <f t="shared" si="0"/>
        <v>0</v>
      </c>
      <c r="G20" s="2"/>
      <c r="H20" s="7">
        <v>305.06</v>
      </c>
      <c r="I20" s="2"/>
      <c r="J20" s="6">
        <f t="shared" si="1"/>
        <v>0</v>
      </c>
      <c r="K20" s="2"/>
      <c r="L20" s="7">
        <f t="shared" si="2"/>
        <v>11.199999999999989</v>
      </c>
      <c r="M20" s="2"/>
      <c r="N20" s="6">
        <f t="shared" si="3"/>
        <v>3.6714089031665863E-2</v>
      </c>
      <c r="O20" s="11"/>
      <c r="P20" s="7">
        <v>316.26</v>
      </c>
      <c r="Q20" s="2"/>
      <c r="R20" s="6">
        <f t="shared" si="4"/>
        <v>0</v>
      </c>
      <c r="S20" s="2"/>
      <c r="T20" s="7">
        <v>305.06</v>
      </c>
      <c r="U20" s="2"/>
      <c r="V20" s="6">
        <f t="shared" si="5"/>
        <v>0</v>
      </c>
      <c r="W20" s="2"/>
      <c r="X20" s="7">
        <f t="shared" si="6"/>
        <v>11.199999999999989</v>
      </c>
      <c r="Y20" s="2"/>
      <c r="Z20" s="6">
        <f t="shared" si="7"/>
        <v>3.6714089031665863E-2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279.89</v>
      </c>
      <c r="E21" s="2"/>
      <c r="F21" s="6">
        <f t="shared" si="0"/>
        <v>0</v>
      </c>
      <c r="G21" s="2"/>
      <c r="H21" s="7">
        <v>258.81</v>
      </c>
      <c r="I21" s="2"/>
      <c r="J21" s="6">
        <f t="shared" si="1"/>
        <v>0</v>
      </c>
      <c r="K21" s="2"/>
      <c r="L21" s="7">
        <f t="shared" si="2"/>
        <v>21.079999999999984</v>
      </c>
      <c r="M21" s="2"/>
      <c r="N21" s="6">
        <f t="shared" si="3"/>
        <v>8.1449712144043826E-2</v>
      </c>
      <c r="O21" s="11"/>
      <c r="P21" s="7">
        <v>279.89</v>
      </c>
      <c r="Q21" s="2"/>
      <c r="R21" s="6">
        <f t="shared" si="4"/>
        <v>0</v>
      </c>
      <c r="S21" s="2"/>
      <c r="T21" s="7">
        <v>258.81</v>
      </c>
      <c r="U21" s="2"/>
      <c r="V21" s="6">
        <f t="shared" si="5"/>
        <v>0</v>
      </c>
      <c r="W21" s="2"/>
      <c r="X21" s="7">
        <f t="shared" si="6"/>
        <v>21.079999999999984</v>
      </c>
      <c r="Y21" s="2"/>
      <c r="Z21" s="6">
        <f t="shared" si="7"/>
        <v>8.1449712144043826E-2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695.14</v>
      </c>
      <c r="E22" s="2"/>
      <c r="F22" s="6">
        <f t="shared" si="0"/>
        <v>0</v>
      </c>
      <c r="G22" s="2"/>
      <c r="H22" s="7">
        <v>268.70999999999998</v>
      </c>
      <c r="I22" s="2"/>
      <c r="J22" s="6">
        <f t="shared" si="1"/>
        <v>0</v>
      </c>
      <c r="K22" s="2"/>
      <c r="L22" s="7">
        <f t="shared" si="2"/>
        <v>426.43</v>
      </c>
      <c r="M22" s="2"/>
      <c r="N22" s="6">
        <f t="shared" si="3"/>
        <v>1.5869524766476872</v>
      </c>
      <c r="O22" s="11"/>
      <c r="P22" s="7">
        <v>695.14</v>
      </c>
      <c r="Q22" s="2"/>
      <c r="R22" s="6">
        <f t="shared" si="4"/>
        <v>0</v>
      </c>
      <c r="S22" s="2"/>
      <c r="T22" s="7">
        <v>268.70999999999998</v>
      </c>
      <c r="U22" s="2"/>
      <c r="V22" s="6">
        <f t="shared" si="5"/>
        <v>0</v>
      </c>
      <c r="W22" s="2"/>
      <c r="X22" s="7">
        <f t="shared" si="6"/>
        <v>426.43</v>
      </c>
      <c r="Y22" s="2"/>
      <c r="Z22" s="6">
        <f t="shared" si="7"/>
        <v>1.5869524766476872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10.75</v>
      </c>
      <c r="E23" s="2"/>
      <c r="F23" s="6">
        <f t="shared" si="0"/>
        <v>0</v>
      </c>
      <c r="G23" s="2"/>
      <c r="H23" s="7">
        <v>15.4</v>
      </c>
      <c r="I23" s="2"/>
      <c r="J23" s="6">
        <f t="shared" si="1"/>
        <v>0</v>
      </c>
      <c r="K23" s="2"/>
      <c r="L23" s="7">
        <f t="shared" si="2"/>
        <v>-4.6500000000000004</v>
      </c>
      <c r="M23" s="2"/>
      <c r="N23" s="6">
        <f t="shared" si="3"/>
        <v>-0.30194805194805197</v>
      </c>
      <c r="O23" s="11"/>
      <c r="P23" s="7">
        <v>10.75</v>
      </c>
      <c r="Q23" s="2"/>
      <c r="R23" s="6">
        <f t="shared" si="4"/>
        <v>0</v>
      </c>
      <c r="S23" s="2"/>
      <c r="T23" s="7">
        <v>15.4</v>
      </c>
      <c r="U23" s="2"/>
      <c r="V23" s="6">
        <f t="shared" si="5"/>
        <v>0</v>
      </c>
      <c r="W23" s="2"/>
      <c r="X23" s="7">
        <f t="shared" si="6"/>
        <v>-4.6500000000000004</v>
      </c>
      <c r="Y23" s="2"/>
      <c r="Z23" s="6">
        <f t="shared" si="7"/>
        <v>-0.30194805194805197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569.88</v>
      </c>
      <c r="I24" s="2"/>
      <c r="J24" s="6">
        <f t="shared" si="1"/>
        <v>0</v>
      </c>
      <c r="K24" s="2"/>
      <c r="L24" s="7">
        <f t="shared" si="2"/>
        <v>-140.62</v>
      </c>
      <c r="M24" s="2"/>
      <c r="N24" s="6">
        <f t="shared" si="3"/>
        <v>-0.24675370253386678</v>
      </c>
      <c r="O24" s="11"/>
      <c r="P24" s="7">
        <v>429.26</v>
      </c>
      <c r="Q24" s="2"/>
      <c r="R24" s="6">
        <f t="shared" si="4"/>
        <v>0</v>
      </c>
      <c r="S24" s="2"/>
      <c r="T24" s="7">
        <v>569.88</v>
      </c>
      <c r="U24" s="2"/>
      <c r="V24" s="6">
        <f t="shared" si="5"/>
        <v>0</v>
      </c>
      <c r="W24" s="2"/>
      <c r="X24" s="7">
        <f t="shared" si="6"/>
        <v>-140.62</v>
      </c>
      <c r="Y24" s="2"/>
      <c r="Z24" s="6">
        <f t="shared" si="7"/>
        <v>-0.24675370253386678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703.19</v>
      </c>
      <c r="E25" s="2"/>
      <c r="F25" s="6">
        <f t="shared" si="0"/>
        <v>0</v>
      </c>
      <c r="G25" s="2"/>
      <c r="H25" s="7">
        <v>700.74</v>
      </c>
      <c r="I25" s="2"/>
      <c r="J25" s="6">
        <f t="shared" si="1"/>
        <v>0</v>
      </c>
      <c r="K25" s="2"/>
      <c r="L25" s="7">
        <f t="shared" si="2"/>
        <v>2.4500000000000455</v>
      </c>
      <c r="M25" s="2"/>
      <c r="N25" s="6">
        <f t="shared" si="3"/>
        <v>3.496303907298064E-3</v>
      </c>
      <c r="O25" s="11"/>
      <c r="P25" s="7">
        <v>703.19</v>
      </c>
      <c r="Q25" s="2"/>
      <c r="R25" s="6">
        <f t="shared" si="4"/>
        <v>0</v>
      </c>
      <c r="S25" s="2"/>
      <c r="T25" s="7">
        <v>700.74</v>
      </c>
      <c r="U25" s="2"/>
      <c r="V25" s="6">
        <f t="shared" si="5"/>
        <v>0</v>
      </c>
      <c r="W25" s="2"/>
      <c r="X25" s="7">
        <f t="shared" si="6"/>
        <v>2.4500000000000455</v>
      </c>
      <c r="Y25" s="2"/>
      <c r="Z25" s="6">
        <f t="shared" si="7"/>
        <v>3.496303907298064E-3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1038.76</v>
      </c>
      <c r="E26" s="2"/>
      <c r="F26" s="6">
        <f t="shared" si="0"/>
        <v>0</v>
      </c>
      <c r="G26" s="2"/>
      <c r="H26" s="7">
        <v>969.23</v>
      </c>
      <c r="I26" s="2"/>
      <c r="J26" s="6">
        <f t="shared" si="1"/>
        <v>0</v>
      </c>
      <c r="K26" s="2"/>
      <c r="L26" s="7">
        <f t="shared" si="2"/>
        <v>69.529999999999973</v>
      </c>
      <c r="M26" s="2"/>
      <c r="N26" s="6">
        <f t="shared" si="3"/>
        <v>7.1737358521713077E-2</v>
      </c>
      <c r="O26" s="11"/>
      <c r="P26" s="7">
        <v>1038.76</v>
      </c>
      <c r="Q26" s="2"/>
      <c r="R26" s="6">
        <f t="shared" si="4"/>
        <v>0</v>
      </c>
      <c r="S26" s="2"/>
      <c r="T26" s="7">
        <v>969.23</v>
      </c>
      <c r="U26" s="2"/>
      <c r="V26" s="6">
        <f t="shared" si="5"/>
        <v>0</v>
      </c>
      <c r="W26" s="2"/>
      <c r="X26" s="7">
        <f t="shared" si="6"/>
        <v>69.529999999999973</v>
      </c>
      <c r="Y26" s="2"/>
      <c r="Z26" s="6">
        <f t="shared" si="7"/>
        <v>7.1737358521713077E-2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110.21</v>
      </c>
      <c r="E27" s="2"/>
      <c r="F27" s="6">
        <f t="shared" si="0"/>
        <v>0</v>
      </c>
      <c r="G27" s="2"/>
      <c r="H27" s="7">
        <v>117.95</v>
      </c>
      <c r="I27" s="2"/>
      <c r="J27" s="6">
        <f t="shared" si="1"/>
        <v>0</v>
      </c>
      <c r="K27" s="2"/>
      <c r="L27" s="7">
        <f t="shared" si="2"/>
        <v>-7.7400000000000091</v>
      </c>
      <c r="M27" s="2"/>
      <c r="N27" s="6">
        <f t="shared" si="3"/>
        <v>-6.5621025858414658E-2</v>
      </c>
      <c r="O27" s="11"/>
      <c r="P27" s="7">
        <v>110.21</v>
      </c>
      <c r="Q27" s="2"/>
      <c r="R27" s="6">
        <f t="shared" si="4"/>
        <v>0</v>
      </c>
      <c r="S27" s="2"/>
      <c r="T27" s="7">
        <v>117.95</v>
      </c>
      <c r="U27" s="2"/>
      <c r="V27" s="6">
        <f t="shared" si="5"/>
        <v>0</v>
      </c>
      <c r="W27" s="2"/>
      <c r="X27" s="7">
        <f t="shared" si="6"/>
        <v>-7.7400000000000091</v>
      </c>
      <c r="Y27" s="2"/>
      <c r="Z27" s="6">
        <f t="shared" si="7"/>
        <v>-6.5621025858414658E-2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3359.86</v>
      </c>
      <c r="E28" s="1"/>
      <c r="F28" s="5">
        <f t="shared" ref="F28:F40" si="8">IF(D$12=0,0,D28/D$12)</f>
        <v>0</v>
      </c>
      <c r="G28" s="1"/>
      <c r="H28" s="1">
        <f>SUM(OSRRefH22_1x_0)</f>
        <v>3261.58</v>
      </c>
      <c r="I28" s="1"/>
      <c r="J28" s="5">
        <f t="shared" ref="J28:J40" si="9">IF(H$12=0,0,H28/H$12)</f>
        <v>0</v>
      </c>
      <c r="K28" s="1"/>
      <c r="L28" s="1">
        <f t="shared" ref="L28:L40" si="10">+D28-H28</f>
        <v>98.2800000000002</v>
      </c>
      <c r="M28" s="1"/>
      <c r="N28" s="5">
        <f t="shared" ref="N28:N40" si="11">IF(H28=0,0,L28/H28)</f>
        <v>3.0132635103232237E-2</v>
      </c>
      <c r="O28" s="14"/>
      <c r="P28" s="1">
        <f>SUM(OSRRefP22_1x_0)</f>
        <v>3359.86</v>
      </c>
      <c r="Q28" s="1"/>
      <c r="R28" s="5">
        <f t="shared" ref="R28:R40" si="12">IF(P$12=0,0,P28/P$12)</f>
        <v>0</v>
      </c>
      <c r="S28" s="1"/>
      <c r="T28" s="1">
        <f>SUM(OSRRefT22_1x_0)</f>
        <v>3261.58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98.2800000000002</v>
      </c>
      <c r="Y28" s="1"/>
      <c r="Z28" s="5">
        <f t="shared" ref="Z28:Z40" si="15">IF(T28=0,0,X28/T28)</f>
        <v>3.0132635103232237E-2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3359.86</v>
      </c>
      <c r="E29" s="2"/>
      <c r="F29" s="6">
        <f t="shared" si="8"/>
        <v>0</v>
      </c>
      <c r="G29" s="2"/>
      <c r="H29" s="7">
        <v>3261.58</v>
      </c>
      <c r="I29" s="2"/>
      <c r="J29" s="6">
        <f t="shared" si="9"/>
        <v>0</v>
      </c>
      <c r="K29" s="2"/>
      <c r="L29" s="7">
        <f t="shared" si="10"/>
        <v>98.2800000000002</v>
      </c>
      <c r="M29" s="2"/>
      <c r="N29" s="6">
        <f t="shared" si="11"/>
        <v>3.0132635103232237E-2</v>
      </c>
      <c r="O29" s="11"/>
      <c r="P29" s="7">
        <v>3359.86</v>
      </c>
      <c r="Q29" s="2"/>
      <c r="R29" s="6">
        <f t="shared" si="12"/>
        <v>0</v>
      </c>
      <c r="S29" s="2"/>
      <c r="T29" s="7">
        <v>3261.58</v>
      </c>
      <c r="U29" s="2"/>
      <c r="V29" s="6">
        <f t="shared" si="13"/>
        <v>0</v>
      </c>
      <c r="W29" s="2"/>
      <c r="X29" s="7">
        <f t="shared" si="14"/>
        <v>98.2800000000002</v>
      </c>
      <c r="Y29" s="2"/>
      <c r="Z29" s="6">
        <f t="shared" si="15"/>
        <v>3.0132635103232237E-2</v>
      </c>
    </row>
    <row r="30" spans="1:26" s="28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-291.89999999999998</v>
      </c>
      <c r="I30" s="1"/>
      <c r="J30" s="5">
        <f t="shared" si="9"/>
        <v>0</v>
      </c>
      <c r="K30" s="1"/>
      <c r="L30" s="1">
        <f t="shared" si="10"/>
        <v>291.89999999999998</v>
      </c>
      <c r="M30" s="1"/>
      <c r="N30" s="5">
        <f t="shared" si="11"/>
        <v>-1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-291.89999999999998</v>
      </c>
      <c r="U30" s="1"/>
      <c r="V30" s="5">
        <f t="shared" si="13"/>
        <v>0</v>
      </c>
      <c r="W30" s="1"/>
      <c r="X30" s="1">
        <f t="shared" si="14"/>
        <v>291.89999999999998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>
        <v>-291.89999999999998</v>
      </c>
      <c r="I31" s="2"/>
      <c r="J31" s="6">
        <f t="shared" si="9"/>
        <v>0</v>
      </c>
      <c r="K31" s="2"/>
      <c r="L31" s="7">
        <f t="shared" si="10"/>
        <v>291.89999999999998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-291.89999999999998</v>
      </c>
      <c r="U31" s="2"/>
      <c r="V31" s="6">
        <f t="shared" si="13"/>
        <v>0</v>
      </c>
      <c r="W31" s="2"/>
      <c r="X31" s="7">
        <f t="shared" si="14"/>
        <v>291.89999999999998</v>
      </c>
      <c r="Y31" s="2"/>
      <c r="Z31" s="6">
        <f t="shared" si="15"/>
        <v>-1</v>
      </c>
    </row>
    <row r="32" spans="1:26" s="28" customFormat="1" outlineLevel="1" collapsed="1" x14ac:dyDescent="0.25">
      <c r="A32" s="27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4"/>
      <c r="P32" s="1">
        <f>SUM(OSRRefP22_3x_0)</f>
        <v>24.56</v>
      </c>
      <c r="Q32" s="1"/>
      <c r="R32" s="5">
        <f t="shared" si="12"/>
        <v>0</v>
      </c>
      <c r="S32" s="1"/>
      <c r="T32" s="1">
        <f>SUM(OSRRefT22_3x_0)</f>
        <v>23.14</v>
      </c>
      <c r="U32" s="1"/>
      <c r="V32" s="5">
        <f t="shared" si="13"/>
        <v>0</v>
      </c>
      <c r="W32" s="1"/>
      <c r="X32" s="1">
        <f t="shared" si="14"/>
        <v>1.4199999999999982</v>
      </c>
      <c r="Y32" s="1"/>
      <c r="Z32" s="5">
        <f t="shared" si="15"/>
        <v>6.1365600691443305E-2</v>
      </c>
    </row>
    <row r="33" spans="1:26" s="24" customFormat="1" hidden="1" outlineLevel="2" x14ac:dyDescent="0.25">
      <c r="A33" s="29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23.14</v>
      </c>
      <c r="I33" s="2"/>
      <c r="J33" s="6">
        <f t="shared" si="9"/>
        <v>0</v>
      </c>
      <c r="K33" s="2"/>
      <c r="L33" s="7">
        <f t="shared" si="10"/>
        <v>1.4199999999999982</v>
      </c>
      <c r="M33" s="2"/>
      <c r="N33" s="6">
        <f t="shared" si="11"/>
        <v>6.1365600691443305E-2</v>
      </c>
      <c r="O33" s="11"/>
      <c r="P33" s="7">
        <v>24.56</v>
      </c>
      <c r="Q33" s="2"/>
      <c r="R33" s="6">
        <f t="shared" si="12"/>
        <v>0</v>
      </c>
      <c r="S33" s="2"/>
      <c r="T33" s="7">
        <v>23.14</v>
      </c>
      <c r="U33" s="2"/>
      <c r="V33" s="6">
        <f t="shared" si="13"/>
        <v>0</v>
      </c>
      <c r="W33" s="2"/>
      <c r="X33" s="7">
        <f t="shared" si="14"/>
        <v>1.4199999999999982</v>
      </c>
      <c r="Y33" s="2"/>
      <c r="Z33" s="6">
        <f t="shared" si="15"/>
        <v>6.1365600691443305E-2</v>
      </c>
    </row>
    <row r="34" spans="1:26" s="28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1405.95</v>
      </c>
      <c r="E34" s="1"/>
      <c r="F34" s="5">
        <f t="shared" si="8"/>
        <v>0</v>
      </c>
      <c r="G34" s="1"/>
      <c r="H34" s="1">
        <f>SUM(OSRRefH22_4x_0)</f>
        <v>1339</v>
      </c>
      <c r="I34" s="1"/>
      <c r="J34" s="5">
        <f t="shared" si="9"/>
        <v>0</v>
      </c>
      <c r="K34" s="1"/>
      <c r="L34" s="1">
        <f t="shared" si="10"/>
        <v>66.950000000000045</v>
      </c>
      <c r="M34" s="1"/>
      <c r="N34" s="5">
        <f t="shared" si="11"/>
        <v>5.0000000000000031E-2</v>
      </c>
      <c r="O34" s="14"/>
      <c r="P34" s="1">
        <f>SUM(OSRRefP22_4x_0)</f>
        <v>1405.95</v>
      </c>
      <c r="Q34" s="1"/>
      <c r="R34" s="5">
        <f t="shared" si="12"/>
        <v>0</v>
      </c>
      <c r="S34" s="1"/>
      <c r="T34" s="1">
        <f>SUM(OSRRefT22_4x_0)</f>
        <v>1339</v>
      </c>
      <c r="U34" s="1"/>
      <c r="V34" s="5">
        <f t="shared" si="13"/>
        <v>0</v>
      </c>
      <c r="W34" s="1"/>
      <c r="X34" s="1">
        <f t="shared" si="14"/>
        <v>66.950000000000045</v>
      </c>
      <c r="Y34" s="1"/>
      <c r="Z34" s="5">
        <f t="shared" si="15"/>
        <v>5.0000000000000031E-2</v>
      </c>
    </row>
    <row r="35" spans="1:26" s="24" customFormat="1" hidden="1" outlineLevel="2" x14ac:dyDescent="0.25">
      <c r="A35" s="29"/>
      <c r="B35" s="11" t="str">
        <f>CONCATENATE("          ", "6373", " - ", "MAINTENANCE CONTRACTS")</f>
        <v xml:space="preserve">          6373 - MAINTENANCE CONTRACTS</v>
      </c>
      <c r="C35" s="11"/>
      <c r="D35" s="7">
        <v>1405.95</v>
      </c>
      <c r="E35" s="2"/>
      <c r="F35" s="6">
        <f t="shared" si="8"/>
        <v>0</v>
      </c>
      <c r="G35" s="2"/>
      <c r="H35" s="7">
        <v>1339</v>
      </c>
      <c r="I35" s="2"/>
      <c r="J35" s="6">
        <f t="shared" si="9"/>
        <v>0</v>
      </c>
      <c r="K35" s="2"/>
      <c r="L35" s="7">
        <f t="shared" si="10"/>
        <v>66.950000000000045</v>
      </c>
      <c r="M35" s="2"/>
      <c r="N35" s="6">
        <f t="shared" si="11"/>
        <v>5.0000000000000031E-2</v>
      </c>
      <c r="O35" s="11"/>
      <c r="P35" s="7">
        <v>1405.95</v>
      </c>
      <c r="Q35" s="2"/>
      <c r="R35" s="6">
        <f t="shared" si="12"/>
        <v>0</v>
      </c>
      <c r="S35" s="2"/>
      <c r="T35" s="7">
        <v>1339</v>
      </c>
      <c r="U35" s="2"/>
      <c r="V35" s="6">
        <f t="shared" si="13"/>
        <v>0</v>
      </c>
      <c r="W35" s="2"/>
      <c r="X35" s="7">
        <f t="shared" si="14"/>
        <v>66.950000000000045</v>
      </c>
      <c r="Y35" s="2"/>
      <c r="Z35" s="6">
        <f t="shared" si="15"/>
        <v>5.0000000000000031E-2</v>
      </c>
    </row>
    <row r="36" spans="1:26" s="28" customFormat="1" outlineLevel="1" collapsed="1" x14ac:dyDescent="0.25">
      <c r="A36" s="27"/>
      <c r="B36" s="14" t="str">
        <f>CONCATENATE("     ","Services                                          ")</f>
        <v xml:space="preserve">     Services                                          </v>
      </c>
      <c r="C36" s="14"/>
      <c r="D36" s="1">
        <f>SUM(OSRRefD22_5x_0)</f>
        <v>8.84</v>
      </c>
      <c r="E36" s="1"/>
      <c r="F36" s="5">
        <f t="shared" si="8"/>
        <v>0</v>
      </c>
      <c r="G36" s="1"/>
      <c r="H36" s="1">
        <f>SUM(OSRRefH22_5x_0)</f>
        <v>10.62</v>
      </c>
      <c r="I36" s="1"/>
      <c r="J36" s="5">
        <f t="shared" si="9"/>
        <v>0</v>
      </c>
      <c r="K36" s="1"/>
      <c r="L36" s="1">
        <f t="shared" si="10"/>
        <v>-1.7799999999999994</v>
      </c>
      <c r="M36" s="1"/>
      <c r="N36" s="5">
        <f t="shared" si="11"/>
        <v>-0.16760828625235399</v>
      </c>
      <c r="O36" s="14"/>
      <c r="P36" s="1">
        <f>SUM(OSRRefP22_5x_0)</f>
        <v>8.84</v>
      </c>
      <c r="Q36" s="1"/>
      <c r="R36" s="5">
        <f t="shared" si="12"/>
        <v>0</v>
      </c>
      <c r="S36" s="1"/>
      <c r="T36" s="1">
        <f>SUM(OSRRefT22_5x_0)</f>
        <v>10.62</v>
      </c>
      <c r="U36" s="1"/>
      <c r="V36" s="5">
        <f t="shared" si="13"/>
        <v>0</v>
      </c>
      <c r="W36" s="1"/>
      <c r="X36" s="1">
        <f t="shared" si="14"/>
        <v>-1.7799999999999994</v>
      </c>
      <c r="Y36" s="1"/>
      <c r="Z36" s="5">
        <f t="shared" si="15"/>
        <v>-0.16760828625235399</v>
      </c>
    </row>
    <row r="37" spans="1:26" s="24" customFormat="1" hidden="1" outlineLevel="2" x14ac:dyDescent="0.25">
      <c r="A37" s="29"/>
      <c r="B37" s="11" t="str">
        <f>CONCATENATE("          ", "6286", " - ", "LAUNDRY EXPENSE")</f>
        <v xml:space="preserve">          6286 - LAUNDRY EXPENSE</v>
      </c>
      <c r="C37" s="11"/>
      <c r="D37" s="7">
        <v>8.84</v>
      </c>
      <c r="E37" s="2"/>
      <c r="F37" s="6">
        <f t="shared" si="8"/>
        <v>0</v>
      </c>
      <c r="G37" s="2"/>
      <c r="H37" s="7">
        <v>10.62</v>
      </c>
      <c r="I37" s="2"/>
      <c r="J37" s="6">
        <f t="shared" si="9"/>
        <v>0</v>
      </c>
      <c r="K37" s="2"/>
      <c r="L37" s="7">
        <f t="shared" si="10"/>
        <v>-1.7799999999999994</v>
      </c>
      <c r="M37" s="2"/>
      <c r="N37" s="6">
        <f t="shared" si="11"/>
        <v>-0.16760828625235399</v>
      </c>
      <c r="O37" s="11"/>
      <c r="P37" s="7">
        <v>8.84</v>
      </c>
      <c r="Q37" s="2"/>
      <c r="R37" s="6">
        <f t="shared" si="12"/>
        <v>0</v>
      </c>
      <c r="S37" s="2"/>
      <c r="T37" s="7">
        <v>10.62</v>
      </c>
      <c r="U37" s="2"/>
      <c r="V37" s="6">
        <f t="shared" si="13"/>
        <v>0</v>
      </c>
      <c r="W37" s="2"/>
      <c r="X37" s="7">
        <f t="shared" si="14"/>
        <v>-1.7799999999999994</v>
      </c>
      <c r="Y37" s="2"/>
      <c r="Z37" s="6">
        <f t="shared" si="15"/>
        <v>-0.16760828625235399</v>
      </c>
    </row>
    <row r="38" spans="1:26" s="28" customFormat="1" outlineLevel="1" collapsed="1" x14ac:dyDescent="0.25">
      <c r="A38" s="27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SUM(OSRRefD22_6x_0)</f>
        <v>-225.81</v>
      </c>
      <c r="E38" s="1"/>
      <c r="F38" s="5">
        <f t="shared" si="8"/>
        <v>0</v>
      </c>
      <c r="G38" s="1"/>
      <c r="H38" s="1">
        <f>SUM(OSRRefH22_6x_0)</f>
        <v>3.3</v>
      </c>
      <c r="I38" s="1"/>
      <c r="J38" s="5">
        <f t="shared" si="9"/>
        <v>0</v>
      </c>
      <c r="K38" s="1"/>
      <c r="L38" s="1">
        <f t="shared" si="10"/>
        <v>-229.11</v>
      </c>
      <c r="M38" s="1"/>
      <c r="N38" s="5">
        <f t="shared" si="11"/>
        <v>-69.427272727272737</v>
      </c>
      <c r="O38" s="14"/>
      <c r="P38" s="1">
        <f>SUM(OSRRefP22_6x_0)</f>
        <v>-225.81</v>
      </c>
      <c r="Q38" s="1"/>
      <c r="R38" s="5">
        <f t="shared" si="12"/>
        <v>0</v>
      </c>
      <c r="S38" s="1"/>
      <c r="T38" s="1">
        <f>SUM(OSRRefT22_6x_0)</f>
        <v>3.3</v>
      </c>
      <c r="U38" s="1"/>
      <c r="V38" s="5">
        <f t="shared" si="13"/>
        <v>0</v>
      </c>
      <c r="W38" s="1"/>
      <c r="X38" s="1">
        <f t="shared" si="14"/>
        <v>-229.11</v>
      </c>
      <c r="Y38" s="1"/>
      <c r="Z38" s="5">
        <f t="shared" si="15"/>
        <v>-69.427272727272737</v>
      </c>
    </row>
    <row r="39" spans="1:26" s="24" customFormat="1" hidden="1" outlineLevel="2" x14ac:dyDescent="0.25">
      <c r="A39" s="29"/>
      <c r="B39" s="11" t="str">
        <f>CONCATENATE("          ", "6234", " - ", "EXPENDABLE SUPPLIES &amp; EQUIPMEN")</f>
        <v xml:space="preserve">          6234 - EXPENDABLE SUPPLIES &amp; EQUIPMEN</v>
      </c>
      <c r="C39" s="11"/>
      <c r="D39" s="7">
        <v>-225.81</v>
      </c>
      <c r="E39" s="2"/>
      <c r="F39" s="6">
        <f t="shared" si="8"/>
        <v>0</v>
      </c>
      <c r="G39" s="2"/>
      <c r="H39" s="7"/>
      <c r="I39" s="2"/>
      <c r="J39" s="6">
        <f t="shared" si="9"/>
        <v>0</v>
      </c>
      <c r="K39" s="2"/>
      <c r="L39" s="7">
        <f t="shared" si="10"/>
        <v>-225.81</v>
      </c>
      <c r="M39" s="2"/>
      <c r="N39" s="6">
        <f t="shared" si="11"/>
        <v>0</v>
      </c>
      <c r="O39" s="11"/>
      <c r="P39" s="7">
        <v>-225.81</v>
      </c>
      <c r="Q39" s="2"/>
      <c r="R39" s="6">
        <f t="shared" si="12"/>
        <v>0</v>
      </c>
      <c r="S39" s="2"/>
      <c r="T39" s="7"/>
      <c r="U39" s="2"/>
      <c r="V39" s="6">
        <f t="shared" si="13"/>
        <v>0</v>
      </c>
      <c r="W39" s="2"/>
      <c r="X39" s="7">
        <f t="shared" si="14"/>
        <v>-225.81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"6241", " - ", "OFFICE EXPENSE")</f>
        <v xml:space="preserve">          6241 - OFFICE EXPENSE</v>
      </c>
      <c r="C40" s="11"/>
      <c r="D40" s="7"/>
      <c r="E40" s="2"/>
      <c r="F40" s="6">
        <f t="shared" si="8"/>
        <v>0</v>
      </c>
      <c r="G40" s="2"/>
      <c r="H40" s="7">
        <v>3.3</v>
      </c>
      <c r="I40" s="2"/>
      <c r="J40" s="6">
        <f t="shared" si="9"/>
        <v>0</v>
      </c>
      <c r="K40" s="2"/>
      <c r="L40" s="7">
        <f t="shared" si="10"/>
        <v>-3.3</v>
      </c>
      <c r="M40" s="2"/>
      <c r="N40" s="6">
        <f t="shared" si="11"/>
        <v>-1</v>
      </c>
      <c r="O40" s="11"/>
      <c r="P40" s="7"/>
      <c r="Q40" s="2"/>
      <c r="R40" s="6">
        <f t="shared" si="12"/>
        <v>0</v>
      </c>
      <c r="S40" s="2"/>
      <c r="T40" s="7">
        <v>3.3</v>
      </c>
      <c r="U40" s="2"/>
      <c r="V40" s="6">
        <f t="shared" si="13"/>
        <v>0</v>
      </c>
      <c r="W40" s="2"/>
      <c r="X40" s="7">
        <f t="shared" si="14"/>
        <v>-3.3</v>
      </c>
      <c r="Y40" s="2"/>
      <c r="Z40" s="6">
        <f t="shared" si="15"/>
        <v>-1</v>
      </c>
    </row>
    <row r="41" spans="1:26" s="28" customFormat="1" outlineLevel="1" collapsed="1" x14ac:dyDescent="0.25">
      <c r="A41" s="27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SUM(OSRRefD22_7x_0)</f>
        <v>25.05</v>
      </c>
      <c r="E41" s="1"/>
      <c r="F41" s="5">
        <f t="shared" ref="F41:F42" si="16">IF(D$12=0,0,D41/D$12)</f>
        <v>0</v>
      </c>
      <c r="G41" s="1"/>
      <c r="H41" s="1">
        <f>SUM(OSRRefH22_7x_0)</f>
        <v>6.48</v>
      </c>
      <c r="I41" s="1"/>
      <c r="J41" s="5">
        <f t="shared" ref="J41:J42" si="17">IF(H$12=0,0,H41/H$12)</f>
        <v>0</v>
      </c>
      <c r="K41" s="1"/>
      <c r="L41" s="1">
        <f t="shared" ref="L41:L42" si="18">+D41-H41</f>
        <v>18.57</v>
      </c>
      <c r="M41" s="1"/>
      <c r="N41" s="5">
        <f t="shared" ref="N41:N42" si="19">IF(H41=0,0,L41/H41)</f>
        <v>2.8657407407407405</v>
      </c>
      <c r="O41" s="14"/>
      <c r="P41" s="1">
        <f>SUM(OSRRefP22_7x_0)</f>
        <v>25.05</v>
      </c>
      <c r="Q41" s="1"/>
      <c r="R41" s="5">
        <f t="shared" ref="R41:R42" si="20">IF(P$12=0,0,P41/P$12)</f>
        <v>0</v>
      </c>
      <c r="S41" s="1"/>
      <c r="T41" s="1">
        <f>SUM(OSRRefT22_7x_0)</f>
        <v>6.48</v>
      </c>
      <c r="U41" s="1"/>
      <c r="V41" s="5">
        <f t="shared" ref="V41:V42" si="21">IF(T$12=0,0,T41/T$12)</f>
        <v>0</v>
      </c>
      <c r="W41" s="1"/>
      <c r="X41" s="1">
        <f t="shared" ref="X41:X42" si="22">+P41-T41</f>
        <v>18.57</v>
      </c>
      <c r="Y41" s="1"/>
      <c r="Z41" s="5">
        <f t="shared" ref="Z41:Z42" si="23">IF(T41=0,0,X41/T41)</f>
        <v>2.8657407407407405</v>
      </c>
    </row>
    <row r="42" spans="1:26" s="24" customFormat="1" hidden="1" outlineLevel="2" x14ac:dyDescent="0.25">
      <c r="A42" s="29"/>
      <c r="B42" s="11" t="str">
        <f>CONCATENATE("          ", "6309", " - ", "TELEPHONE")</f>
        <v xml:space="preserve">          6309 - TELEPHONE</v>
      </c>
      <c r="C42" s="11"/>
      <c r="D42" s="7">
        <v>25.05</v>
      </c>
      <c r="E42" s="2"/>
      <c r="F42" s="6">
        <f t="shared" si="16"/>
        <v>0</v>
      </c>
      <c r="G42" s="2"/>
      <c r="H42" s="7">
        <v>6.48</v>
      </c>
      <c r="I42" s="2"/>
      <c r="J42" s="6">
        <f t="shared" si="17"/>
        <v>0</v>
      </c>
      <c r="K42" s="2"/>
      <c r="L42" s="7">
        <f t="shared" si="18"/>
        <v>18.57</v>
      </c>
      <c r="M42" s="2"/>
      <c r="N42" s="6">
        <f t="shared" si="19"/>
        <v>2.8657407407407405</v>
      </c>
      <c r="O42" s="11"/>
      <c r="P42" s="7">
        <v>25.05</v>
      </c>
      <c r="Q42" s="2"/>
      <c r="R42" s="6">
        <f t="shared" si="20"/>
        <v>0</v>
      </c>
      <c r="S42" s="2"/>
      <c r="T42" s="7">
        <v>6.48</v>
      </c>
      <c r="U42" s="2"/>
      <c r="V42" s="6">
        <f t="shared" si="21"/>
        <v>0</v>
      </c>
      <c r="W42" s="2"/>
      <c r="X42" s="7">
        <f t="shared" si="22"/>
        <v>18.57</v>
      </c>
      <c r="Y42" s="2"/>
      <c r="Z42" s="6">
        <f t="shared" si="23"/>
        <v>2.8657407407407405</v>
      </c>
    </row>
    <row r="43" spans="1:26" s="54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6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3</v>
      </c>
      <c r="C46" s="25"/>
      <c r="D46" s="21">
        <f>+D16-D18+D44</f>
        <v>-8181.91</v>
      </c>
      <c r="E46" s="13"/>
      <c r="F46" s="20">
        <f>IF(D$12=0,0,D46/D$12)</f>
        <v>0</v>
      </c>
      <c r="G46" s="13"/>
      <c r="H46" s="21">
        <f>+H16-H18+H44</f>
        <v>-7558</v>
      </c>
      <c r="I46" s="13"/>
      <c r="J46" s="20">
        <f>IF(H$12=0,0,H46/H$12)</f>
        <v>0</v>
      </c>
      <c r="K46" s="16"/>
      <c r="L46" s="21">
        <f>+D46-H46</f>
        <v>-623.90999999999985</v>
      </c>
      <c r="M46" s="16"/>
      <c r="N46" s="20">
        <f>IF(H46=0,0,L46/H46)</f>
        <v>8.2549616300608614E-2</v>
      </c>
      <c r="O46" s="26"/>
      <c r="P46" s="21">
        <f>+P16-P18+P44</f>
        <v>-8181.91</v>
      </c>
      <c r="Q46" s="13"/>
      <c r="R46" s="20">
        <f>IF(P$12=0,0,P46/P$12)</f>
        <v>0</v>
      </c>
      <c r="S46" s="13"/>
      <c r="T46" s="21">
        <f>+T16-T18+T44</f>
        <v>-7558</v>
      </c>
      <c r="U46" s="13"/>
      <c r="V46" s="20">
        <f>IF(T$12=0,0,T46/T$12)</f>
        <v>0</v>
      </c>
      <c r="W46" s="16"/>
      <c r="X46" s="21">
        <f>+P46-T46</f>
        <v>-623.90999999999985</v>
      </c>
      <c r="Y46" s="16"/>
      <c r="Z46" s="20">
        <f>IF(T46=0,0,X46/T46)</f>
        <v>8.2549616300608614E-2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4</v>
      </c>
      <c r="C50" s="25"/>
      <c r="D50" s="33">
        <f>+D46-D48</f>
        <v>-8181.91</v>
      </c>
      <c r="E50" s="13"/>
      <c r="F50" s="34">
        <f>IF(D$12=0,0,D50/D$12)</f>
        <v>0</v>
      </c>
      <c r="G50" s="13"/>
      <c r="H50" s="33">
        <f>+H46-H48</f>
        <v>-7558</v>
      </c>
      <c r="I50" s="13"/>
      <c r="J50" s="34">
        <f>IF(H$12=0,0,H50/H$12)</f>
        <v>0</v>
      </c>
      <c r="K50" s="16"/>
      <c r="L50" s="33">
        <f>D50-H50</f>
        <v>-623.90999999999985</v>
      </c>
      <c r="M50" s="16"/>
      <c r="N50" s="34">
        <f>IF(H50=0,0,L50/H50)</f>
        <v>8.2549616300608614E-2</v>
      </c>
      <c r="O50" s="26"/>
      <c r="P50" s="33">
        <f>+P46-P48</f>
        <v>-8181.91</v>
      </c>
      <c r="Q50" s="13"/>
      <c r="R50" s="34">
        <f>IF(P$12=0,0,P50/P$12)</f>
        <v>0</v>
      </c>
      <c r="S50" s="13"/>
      <c r="T50" s="33">
        <f>+T46-T48</f>
        <v>-7558</v>
      </c>
      <c r="U50" s="13"/>
      <c r="V50" s="34">
        <f>IF(T$12=0,0,T50/T$12)</f>
        <v>0</v>
      </c>
      <c r="W50" s="16"/>
      <c r="X50" s="33">
        <f>P50-T50</f>
        <v>-623.90999999999985</v>
      </c>
      <c r="Y50" s="16"/>
      <c r="Z50" s="34">
        <f>IF(T50=0,0,X50/T50)</f>
        <v>8.2549616300608614E-2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5</v>
      </c>
      <c r="C53" s="25"/>
      <c r="D53" s="31">
        <f>SUM(D50:D52)</f>
        <v>-8181.91</v>
      </c>
      <c r="E53" s="13"/>
      <c r="F53" s="30">
        <f>IF(D$12=0,0,D53/D$12)</f>
        <v>0</v>
      </c>
      <c r="G53" s="13"/>
      <c r="H53" s="31">
        <f>SUM(H50:H52)</f>
        <v>-7558</v>
      </c>
      <c r="I53" s="13"/>
      <c r="J53" s="30">
        <f>IF(H$12=0,0,H53/H$12)</f>
        <v>0</v>
      </c>
      <c r="K53" s="16"/>
      <c r="L53" s="31">
        <f>+D53-H53</f>
        <v>-623.90999999999985</v>
      </c>
      <c r="M53" s="16"/>
      <c r="N53" s="30">
        <f>IF(H53=0,0,L53/H53)</f>
        <v>8.2549616300608614E-2</v>
      </c>
      <c r="O53" s="26"/>
      <c r="P53" s="31">
        <f>SUM(P50:P52)</f>
        <v>-8181.91</v>
      </c>
      <c r="Q53" s="13"/>
      <c r="R53" s="30">
        <f>IF(P$12=0,0,P53/P$12)</f>
        <v>0</v>
      </c>
      <c r="S53" s="13"/>
      <c r="T53" s="31">
        <f>SUM(T50:T52)</f>
        <v>-7558</v>
      </c>
      <c r="U53" s="13"/>
      <c r="V53" s="30">
        <f>IF(T$12=0,0,T53/T$12)</f>
        <v>0</v>
      </c>
      <c r="W53" s="16"/>
      <c r="X53" s="31">
        <f>+P53-T53</f>
        <v>-623.90999999999985</v>
      </c>
      <c r="Y53" s="16"/>
      <c r="Z53" s="30">
        <f>IF(T53=0,0,X53/T53)</f>
        <v>8.2549616300608614E-2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>
        <v>43726.68168267361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3" t="s">
        <v>313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7059.57</v>
      </c>
      <c r="E18" s="19"/>
      <c r="F18" s="35">
        <f t="shared" ref="F18:F27" si="0">IF(D$12=0,0,D18/D$12)</f>
        <v>0</v>
      </c>
      <c r="G18" s="19"/>
      <c r="H18" s="19">
        <f>SUM(OSRRefH22x_0)</f>
        <v>9622.0300000000043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-2562.4600000000046</v>
      </c>
      <c r="M18" s="4"/>
      <c r="N18" s="35">
        <f t="shared" ref="N18:N27" si="3">IF(H18=0,0,L18/H18)</f>
        <v>-0.26631178659804672</v>
      </c>
      <c r="O18" s="10"/>
      <c r="P18" s="19">
        <f>SUM(OSRRefP22x_0)</f>
        <v>7059.57</v>
      </c>
      <c r="Q18" s="19"/>
      <c r="R18" s="35">
        <f t="shared" ref="R18:R27" si="4">IF(P$12=0,0,P18/P$12)</f>
        <v>0</v>
      </c>
      <c r="S18" s="19"/>
      <c r="T18" s="19">
        <f>SUM(OSRRefT22x_0)</f>
        <v>9622.0300000000043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-2562.4600000000046</v>
      </c>
      <c r="Y18" s="4"/>
      <c r="Z18" s="35">
        <f t="shared" ref="Z18:Z27" si="7">IF(T18=0,0,X18/T18)</f>
        <v>-0.26631178659804672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2001.5</v>
      </c>
      <c r="E19" s="1"/>
      <c r="F19" s="5">
        <f t="shared" si="0"/>
        <v>0</v>
      </c>
      <c r="G19" s="1"/>
      <c r="H19" s="1">
        <f>SUM(OSRRefH22_0x_0)</f>
        <v>5518.0300000000016</v>
      </c>
      <c r="I19" s="1"/>
      <c r="J19" s="5">
        <f t="shared" si="1"/>
        <v>0</v>
      </c>
      <c r="K19" s="1"/>
      <c r="L19" s="1">
        <f t="shared" si="2"/>
        <v>-3516.5300000000016</v>
      </c>
      <c r="M19" s="1"/>
      <c r="N19" s="5">
        <f t="shared" si="3"/>
        <v>-0.6372799712941033</v>
      </c>
      <c r="O19" s="14"/>
      <c r="P19" s="1">
        <f>SUM(OSRRefP22_0x_0)</f>
        <v>2001.5</v>
      </c>
      <c r="Q19" s="1"/>
      <c r="R19" s="5">
        <f t="shared" si="4"/>
        <v>0</v>
      </c>
      <c r="S19" s="1"/>
      <c r="T19" s="1">
        <f>SUM(OSRRefT22_0x_0)</f>
        <v>5518.0300000000016</v>
      </c>
      <c r="U19" s="1"/>
      <c r="V19" s="5">
        <f t="shared" si="5"/>
        <v>0</v>
      </c>
      <c r="W19" s="1"/>
      <c r="X19" s="1">
        <f t="shared" si="6"/>
        <v>-3516.5300000000016</v>
      </c>
      <c r="Y19" s="1"/>
      <c r="Z19" s="5">
        <f t="shared" si="7"/>
        <v>-0.6372799712941033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692.89</v>
      </c>
      <c r="E20" s="2"/>
      <c r="F20" s="6">
        <f t="shared" si="0"/>
        <v>0</v>
      </c>
      <c r="G20" s="2"/>
      <c r="H20" s="7">
        <v>1188.49</v>
      </c>
      <c r="I20" s="2"/>
      <c r="J20" s="6">
        <f t="shared" si="1"/>
        <v>0</v>
      </c>
      <c r="K20" s="2"/>
      <c r="L20" s="7">
        <f t="shared" si="2"/>
        <v>-495.6</v>
      </c>
      <c r="M20" s="2"/>
      <c r="N20" s="6">
        <f t="shared" si="3"/>
        <v>-0.41699972233674665</v>
      </c>
      <c r="O20" s="11"/>
      <c r="P20" s="7">
        <v>692.89</v>
      </c>
      <c r="Q20" s="2"/>
      <c r="R20" s="6">
        <f t="shared" si="4"/>
        <v>0</v>
      </c>
      <c r="S20" s="2"/>
      <c r="T20" s="7">
        <v>1188.49</v>
      </c>
      <c r="U20" s="2"/>
      <c r="V20" s="6">
        <f t="shared" si="5"/>
        <v>0</v>
      </c>
      <c r="W20" s="2"/>
      <c r="X20" s="7">
        <f t="shared" si="6"/>
        <v>-495.6</v>
      </c>
      <c r="Y20" s="2"/>
      <c r="Z20" s="6">
        <f t="shared" si="7"/>
        <v>-0.41699972233674665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30.11</v>
      </c>
      <c r="E21" s="2"/>
      <c r="F21" s="6">
        <f t="shared" si="0"/>
        <v>0</v>
      </c>
      <c r="G21" s="2"/>
      <c r="H21" s="7">
        <v>67.08</v>
      </c>
      <c r="I21" s="2"/>
      <c r="J21" s="6">
        <f t="shared" si="1"/>
        <v>0</v>
      </c>
      <c r="K21" s="2"/>
      <c r="L21" s="7">
        <f t="shared" si="2"/>
        <v>-36.97</v>
      </c>
      <c r="M21" s="2"/>
      <c r="N21" s="6">
        <f t="shared" si="3"/>
        <v>-0.55113297555158025</v>
      </c>
      <c r="O21" s="11"/>
      <c r="P21" s="7">
        <v>30.11</v>
      </c>
      <c r="Q21" s="2"/>
      <c r="R21" s="6">
        <f t="shared" si="4"/>
        <v>0</v>
      </c>
      <c r="S21" s="2"/>
      <c r="T21" s="7">
        <v>67.08</v>
      </c>
      <c r="U21" s="2"/>
      <c r="V21" s="6">
        <f t="shared" si="5"/>
        <v>0</v>
      </c>
      <c r="W21" s="2"/>
      <c r="X21" s="7">
        <f t="shared" si="6"/>
        <v>-36.97</v>
      </c>
      <c r="Y21" s="2"/>
      <c r="Z21" s="6">
        <f t="shared" si="7"/>
        <v>-0.55113297555158025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700.91</v>
      </c>
      <c r="E22" s="2"/>
      <c r="F22" s="6">
        <f t="shared" si="0"/>
        <v>0</v>
      </c>
      <c r="G22" s="2"/>
      <c r="H22" s="7">
        <v>1315.15</v>
      </c>
      <c r="I22" s="2"/>
      <c r="J22" s="6">
        <f t="shared" si="1"/>
        <v>0</v>
      </c>
      <c r="K22" s="2"/>
      <c r="L22" s="7">
        <f t="shared" si="2"/>
        <v>-614.24000000000012</v>
      </c>
      <c r="M22" s="2"/>
      <c r="N22" s="6">
        <f t="shared" si="3"/>
        <v>-0.46704938600159684</v>
      </c>
      <c r="O22" s="11"/>
      <c r="P22" s="7">
        <v>700.91</v>
      </c>
      <c r="Q22" s="2"/>
      <c r="R22" s="6">
        <f t="shared" si="4"/>
        <v>0</v>
      </c>
      <c r="S22" s="2"/>
      <c r="T22" s="7">
        <v>1315.15</v>
      </c>
      <c r="U22" s="2"/>
      <c r="V22" s="6">
        <f t="shared" si="5"/>
        <v>0</v>
      </c>
      <c r="W22" s="2"/>
      <c r="X22" s="7">
        <f t="shared" si="6"/>
        <v>-614.24000000000012</v>
      </c>
      <c r="Y22" s="2"/>
      <c r="Z22" s="6">
        <f t="shared" si="7"/>
        <v>-0.46704938600159684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23.02</v>
      </c>
      <c r="E23" s="2"/>
      <c r="F23" s="6">
        <f t="shared" si="0"/>
        <v>0</v>
      </c>
      <c r="G23" s="2"/>
      <c r="H23" s="7">
        <v>56.26</v>
      </c>
      <c r="I23" s="2"/>
      <c r="J23" s="6">
        <f t="shared" si="1"/>
        <v>0</v>
      </c>
      <c r="K23" s="2"/>
      <c r="L23" s="7">
        <f t="shared" si="2"/>
        <v>-33.239999999999995</v>
      </c>
      <c r="M23" s="2"/>
      <c r="N23" s="6">
        <f t="shared" si="3"/>
        <v>-0.59082829719161034</v>
      </c>
      <c r="O23" s="11"/>
      <c r="P23" s="7">
        <v>23.02</v>
      </c>
      <c r="Q23" s="2"/>
      <c r="R23" s="6">
        <f t="shared" si="4"/>
        <v>0</v>
      </c>
      <c r="S23" s="2"/>
      <c r="T23" s="7">
        <v>56.26</v>
      </c>
      <c r="U23" s="2"/>
      <c r="V23" s="6">
        <f t="shared" si="5"/>
        <v>0</v>
      </c>
      <c r="W23" s="2"/>
      <c r="X23" s="7">
        <f t="shared" si="6"/>
        <v>-33.239999999999995</v>
      </c>
      <c r="Y23" s="2"/>
      <c r="Z23" s="6">
        <f t="shared" si="7"/>
        <v>-0.59082829719161034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688.19</v>
      </c>
      <c r="I24" s="2"/>
      <c r="J24" s="6">
        <f t="shared" si="1"/>
        <v>0</v>
      </c>
      <c r="K24" s="2"/>
      <c r="L24" s="7">
        <f t="shared" si="2"/>
        <v>-688.19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688.19</v>
      </c>
      <c r="U24" s="2"/>
      <c r="V24" s="6">
        <f t="shared" si="5"/>
        <v>0</v>
      </c>
      <c r="W24" s="2"/>
      <c r="X24" s="7">
        <f t="shared" si="6"/>
        <v>-688.19</v>
      </c>
      <c r="Y24" s="2"/>
      <c r="Z24" s="6">
        <f t="shared" si="7"/>
        <v>-1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184.8</v>
      </c>
      <c r="E25" s="2"/>
      <c r="F25" s="6">
        <f t="shared" si="0"/>
        <v>0</v>
      </c>
      <c r="G25" s="2"/>
      <c r="H25" s="7">
        <v>1097.46</v>
      </c>
      <c r="I25" s="2"/>
      <c r="J25" s="6">
        <f t="shared" si="1"/>
        <v>0</v>
      </c>
      <c r="K25" s="2"/>
      <c r="L25" s="7">
        <f t="shared" si="2"/>
        <v>-912.66000000000008</v>
      </c>
      <c r="M25" s="2"/>
      <c r="N25" s="6">
        <f t="shared" si="3"/>
        <v>-0.831611174894757</v>
      </c>
      <c r="O25" s="11"/>
      <c r="P25" s="7">
        <v>184.8</v>
      </c>
      <c r="Q25" s="2"/>
      <c r="R25" s="6">
        <f t="shared" si="4"/>
        <v>0</v>
      </c>
      <c r="S25" s="2"/>
      <c r="T25" s="7">
        <v>1097.46</v>
      </c>
      <c r="U25" s="2"/>
      <c r="V25" s="6">
        <f t="shared" si="5"/>
        <v>0</v>
      </c>
      <c r="W25" s="2"/>
      <c r="X25" s="7">
        <f t="shared" si="6"/>
        <v>-912.66000000000008</v>
      </c>
      <c r="Y25" s="2"/>
      <c r="Z25" s="6">
        <f t="shared" si="7"/>
        <v>-0.831611174894757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221.4</v>
      </c>
      <c r="E26" s="2"/>
      <c r="F26" s="6">
        <f t="shared" si="0"/>
        <v>0</v>
      </c>
      <c r="G26" s="2"/>
      <c r="H26" s="7">
        <v>808.02</v>
      </c>
      <c r="I26" s="2"/>
      <c r="J26" s="6">
        <f t="shared" si="1"/>
        <v>0</v>
      </c>
      <c r="K26" s="2"/>
      <c r="L26" s="7">
        <f t="shared" si="2"/>
        <v>-586.62</v>
      </c>
      <c r="M26" s="2"/>
      <c r="N26" s="6">
        <f t="shared" si="3"/>
        <v>-0.72599688126531525</v>
      </c>
      <c r="O26" s="11"/>
      <c r="P26" s="7">
        <v>221.4</v>
      </c>
      <c r="Q26" s="2"/>
      <c r="R26" s="6">
        <f t="shared" si="4"/>
        <v>0</v>
      </c>
      <c r="S26" s="2"/>
      <c r="T26" s="7">
        <v>808.02</v>
      </c>
      <c r="U26" s="2"/>
      <c r="V26" s="6">
        <f t="shared" si="5"/>
        <v>0</v>
      </c>
      <c r="W26" s="2"/>
      <c r="X26" s="7">
        <f t="shared" si="6"/>
        <v>-586.62</v>
      </c>
      <c r="Y26" s="2"/>
      <c r="Z26" s="6">
        <f t="shared" si="7"/>
        <v>-0.72599688126531525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148.37</v>
      </c>
      <c r="E27" s="2"/>
      <c r="F27" s="6">
        <f t="shared" si="0"/>
        <v>0</v>
      </c>
      <c r="G27" s="2"/>
      <c r="H27" s="7">
        <v>297.38</v>
      </c>
      <c r="I27" s="2"/>
      <c r="J27" s="6">
        <f t="shared" si="1"/>
        <v>0</v>
      </c>
      <c r="K27" s="2"/>
      <c r="L27" s="7">
        <f t="shared" si="2"/>
        <v>-149.01</v>
      </c>
      <c r="M27" s="2"/>
      <c r="N27" s="6">
        <f t="shared" si="3"/>
        <v>-0.50107606429484164</v>
      </c>
      <c r="O27" s="11"/>
      <c r="P27" s="7">
        <v>148.37</v>
      </c>
      <c r="Q27" s="2"/>
      <c r="R27" s="6">
        <f t="shared" si="4"/>
        <v>0</v>
      </c>
      <c r="S27" s="2"/>
      <c r="T27" s="7">
        <v>297.38</v>
      </c>
      <c r="U27" s="2"/>
      <c r="V27" s="6">
        <f t="shared" si="5"/>
        <v>0</v>
      </c>
      <c r="W27" s="2"/>
      <c r="X27" s="7">
        <f t="shared" si="6"/>
        <v>-149.01</v>
      </c>
      <c r="Y27" s="2"/>
      <c r="Z27" s="6">
        <f t="shared" si="7"/>
        <v>-0.50107606429484164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11623.14</v>
      </c>
      <c r="E28" s="1"/>
      <c r="F28" s="5">
        <f t="shared" ref="F28:F32" si="8">IF(D$12=0,0,D28/D$12)</f>
        <v>0</v>
      </c>
      <c r="G28" s="1"/>
      <c r="H28" s="1">
        <f>SUM(OSRRefH22_1x_0)</f>
        <v>18598.89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-6975.75</v>
      </c>
      <c r="M28" s="1"/>
      <c r="N28" s="5">
        <f t="shared" ref="N28:N32" si="11">IF(H28=0,0,L28/H28)</f>
        <v>-0.37506270535499703</v>
      </c>
      <c r="O28" s="14"/>
      <c r="P28" s="1">
        <f>SUM(OSRRefP22_1x_0)</f>
        <v>11623.14</v>
      </c>
      <c r="Q28" s="1"/>
      <c r="R28" s="5">
        <f t="shared" ref="R28:R32" si="12">IF(P$12=0,0,P28/P$12)</f>
        <v>0</v>
      </c>
      <c r="S28" s="1"/>
      <c r="T28" s="1">
        <f>SUM(OSRRefT22_1x_0)</f>
        <v>18598.89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-6975.75</v>
      </c>
      <c r="Y28" s="1"/>
      <c r="Z28" s="5">
        <f t="shared" ref="Z28:Z32" si="15">IF(T28=0,0,X28/T28)</f>
        <v>-0.37506270535499703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6771.43</v>
      </c>
      <c r="I29" s="2"/>
      <c r="J29" s="6">
        <f t="shared" si="9"/>
        <v>0</v>
      </c>
      <c r="K29" s="2"/>
      <c r="L29" s="7">
        <f t="shared" si="10"/>
        <v>-6771.43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6771.43</v>
      </c>
      <c r="U29" s="2"/>
      <c r="V29" s="6">
        <f t="shared" si="13"/>
        <v>0</v>
      </c>
      <c r="W29" s="2"/>
      <c r="X29" s="7">
        <f t="shared" si="14"/>
        <v>-6771.43</v>
      </c>
      <c r="Y29" s="2"/>
      <c r="Z29" s="6">
        <f t="shared" si="15"/>
        <v>-1</v>
      </c>
    </row>
    <row r="30" spans="1:26" s="24" customFormat="1" hidden="1" outlineLevel="2" x14ac:dyDescent="0.25">
      <c r="A30" s="29"/>
      <c r="B30" s="11" t="str">
        <f>CONCATENATE("          ", "6004", " - ", "STAFF HOURLY")</f>
        <v xml:space="preserve">          6004 - STAFF HOURLY</v>
      </c>
      <c r="C30" s="11"/>
      <c r="D30" s="7">
        <v>5355</v>
      </c>
      <c r="E30" s="2"/>
      <c r="F30" s="6">
        <f t="shared" si="8"/>
        <v>0</v>
      </c>
      <c r="G30" s="2"/>
      <c r="H30" s="7">
        <v>3939.75</v>
      </c>
      <c r="I30" s="2"/>
      <c r="J30" s="6">
        <f t="shared" si="9"/>
        <v>0</v>
      </c>
      <c r="K30" s="2"/>
      <c r="L30" s="7">
        <f t="shared" si="10"/>
        <v>1415.25</v>
      </c>
      <c r="M30" s="2"/>
      <c r="N30" s="6">
        <f t="shared" si="11"/>
        <v>0.35922330097087379</v>
      </c>
      <c r="O30" s="11"/>
      <c r="P30" s="7">
        <v>5355</v>
      </c>
      <c r="Q30" s="2"/>
      <c r="R30" s="6">
        <f t="shared" si="12"/>
        <v>0</v>
      </c>
      <c r="S30" s="2"/>
      <c r="T30" s="7">
        <v>3939.75</v>
      </c>
      <c r="U30" s="2"/>
      <c r="V30" s="6">
        <f t="shared" si="13"/>
        <v>0</v>
      </c>
      <c r="W30" s="2"/>
      <c r="X30" s="7">
        <f t="shared" si="14"/>
        <v>1415.25</v>
      </c>
      <c r="Y30" s="2"/>
      <c r="Z30" s="6">
        <f t="shared" si="15"/>
        <v>0.35922330097087379</v>
      </c>
    </row>
    <row r="31" spans="1:26" s="24" customFormat="1" hidden="1" outlineLevel="2" x14ac:dyDescent="0.25">
      <c r="A31" s="29"/>
      <c r="B31" s="11" t="str">
        <f>CONCATENATE("          ", "6006", " - ", "TEMPORARY PART TIME")</f>
        <v xml:space="preserve">          6006 - TEMPORARY PART TIME</v>
      </c>
      <c r="C31" s="11"/>
      <c r="D31" s="7">
        <v>708.75</v>
      </c>
      <c r="E31" s="2"/>
      <c r="F31" s="6">
        <f t="shared" si="8"/>
        <v>0</v>
      </c>
      <c r="G31" s="2"/>
      <c r="H31" s="7">
        <v>247.86</v>
      </c>
      <c r="I31" s="2"/>
      <c r="J31" s="6">
        <f t="shared" si="9"/>
        <v>0</v>
      </c>
      <c r="K31" s="2"/>
      <c r="L31" s="7">
        <f t="shared" si="10"/>
        <v>460.89</v>
      </c>
      <c r="M31" s="2"/>
      <c r="N31" s="6">
        <f t="shared" si="11"/>
        <v>1.8594771241830064</v>
      </c>
      <c r="O31" s="11"/>
      <c r="P31" s="7">
        <v>708.75</v>
      </c>
      <c r="Q31" s="2"/>
      <c r="R31" s="6">
        <f t="shared" si="12"/>
        <v>0</v>
      </c>
      <c r="S31" s="2"/>
      <c r="T31" s="7">
        <v>247.86</v>
      </c>
      <c r="U31" s="2"/>
      <c r="V31" s="6">
        <f t="shared" si="13"/>
        <v>0</v>
      </c>
      <c r="W31" s="2"/>
      <c r="X31" s="7">
        <f t="shared" si="14"/>
        <v>460.89</v>
      </c>
      <c r="Y31" s="2"/>
      <c r="Z31" s="6">
        <f t="shared" si="15"/>
        <v>1.8594771241830064</v>
      </c>
    </row>
    <row r="32" spans="1:26" s="24" customFormat="1" hidden="1" outlineLevel="2" x14ac:dyDescent="0.25">
      <c r="A32" s="29"/>
      <c r="B32" s="11" t="str">
        <f>CONCATENATE("          ", "6007", " - ", "STUDENT HOURLY")</f>
        <v xml:space="preserve">          6007 - STUDENT HOURLY</v>
      </c>
      <c r="C32" s="11"/>
      <c r="D32" s="7">
        <v>5559.39</v>
      </c>
      <c r="E32" s="2"/>
      <c r="F32" s="6">
        <f t="shared" si="8"/>
        <v>0</v>
      </c>
      <c r="G32" s="2"/>
      <c r="H32" s="7">
        <v>7639.85</v>
      </c>
      <c r="I32" s="2"/>
      <c r="J32" s="6">
        <f t="shared" si="9"/>
        <v>0</v>
      </c>
      <c r="K32" s="2"/>
      <c r="L32" s="7">
        <f t="shared" si="10"/>
        <v>-2080.46</v>
      </c>
      <c r="M32" s="2"/>
      <c r="N32" s="6">
        <f t="shared" si="11"/>
        <v>-0.27231686485991219</v>
      </c>
      <c r="O32" s="11"/>
      <c r="P32" s="7">
        <v>5559.39</v>
      </c>
      <c r="Q32" s="2"/>
      <c r="R32" s="6">
        <f t="shared" si="12"/>
        <v>0</v>
      </c>
      <c r="S32" s="2"/>
      <c r="T32" s="7">
        <v>7639.85</v>
      </c>
      <c r="U32" s="2"/>
      <c r="V32" s="6">
        <f t="shared" si="13"/>
        <v>0</v>
      </c>
      <c r="W32" s="2"/>
      <c r="X32" s="7">
        <f t="shared" si="14"/>
        <v>-2080.46</v>
      </c>
      <c r="Y32" s="2"/>
      <c r="Z32" s="6">
        <f t="shared" si="15"/>
        <v>-0.27231686485991219</v>
      </c>
    </row>
    <row r="33" spans="1:26" s="28" customFormat="1" outlineLevel="1" collapsed="1" x14ac:dyDescent="0.25">
      <c r="A33" s="27"/>
      <c r="B33" s="14" t="str">
        <f>CONCATENATE("     ","Advertising/Promo                                 ")</f>
        <v xml:space="preserve">     Advertising/Promo                                 </v>
      </c>
      <c r="C33" s="14"/>
      <c r="D33" s="1">
        <f>SUM(OSRRefD22_2x_0)</f>
        <v>-7282.4</v>
      </c>
      <c r="E33" s="1"/>
      <c r="F33" s="5">
        <f t="shared" ref="F33:F39" si="16">IF(D$12=0,0,D33/D$12)</f>
        <v>0</v>
      </c>
      <c r="G33" s="1"/>
      <c r="H33" s="1">
        <f>SUM(OSRRefH22_2x_0)</f>
        <v>-15018.1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7735.7000000000007</v>
      </c>
      <c r="M33" s="1"/>
      <c r="N33" s="5">
        <f t="shared" ref="N33:N39" si="19">IF(H33=0,0,L33/H33)</f>
        <v>-0.51509178924098253</v>
      </c>
      <c r="O33" s="14"/>
      <c r="P33" s="1">
        <f>SUM(OSRRefP22_2x_0)</f>
        <v>-7282.4</v>
      </c>
      <c r="Q33" s="1"/>
      <c r="R33" s="5">
        <f t="shared" ref="R33:R39" si="20">IF(P$12=0,0,P33/P$12)</f>
        <v>0</v>
      </c>
      <c r="S33" s="1"/>
      <c r="T33" s="1">
        <f>SUM(OSRRefT22_2x_0)</f>
        <v>-15018.1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7735.7000000000007</v>
      </c>
      <c r="Y33" s="1"/>
      <c r="Z33" s="5">
        <f t="shared" ref="Z33:Z39" si="23">IF(T33=0,0,X33/T33)</f>
        <v>-0.51509178924098253</v>
      </c>
    </row>
    <row r="34" spans="1:26" s="24" customFormat="1" hidden="1" outlineLevel="2" x14ac:dyDescent="0.25">
      <c r="A34" s="29"/>
      <c r="B34" s="11" t="str">
        <f>CONCATENATE("          ", "6362", " - ", "ADVERTISING EXPENSE")</f>
        <v xml:space="preserve">          6362 - ADVERTISING EXPENSE</v>
      </c>
      <c r="C34" s="11"/>
      <c r="D34" s="7">
        <v>-7282.4</v>
      </c>
      <c r="E34" s="2"/>
      <c r="F34" s="6">
        <f t="shared" si="16"/>
        <v>0</v>
      </c>
      <c r="G34" s="2"/>
      <c r="H34" s="7">
        <v>-15018.1</v>
      </c>
      <c r="I34" s="2"/>
      <c r="J34" s="6">
        <f t="shared" si="17"/>
        <v>0</v>
      </c>
      <c r="K34" s="2"/>
      <c r="L34" s="7">
        <f t="shared" si="18"/>
        <v>7735.7000000000007</v>
      </c>
      <c r="M34" s="2"/>
      <c r="N34" s="6">
        <f t="shared" si="19"/>
        <v>-0.51509178924098253</v>
      </c>
      <c r="O34" s="11"/>
      <c r="P34" s="7">
        <v>-7282.4</v>
      </c>
      <c r="Q34" s="2"/>
      <c r="R34" s="6">
        <f t="shared" si="20"/>
        <v>0</v>
      </c>
      <c r="S34" s="2"/>
      <c r="T34" s="7">
        <v>-15018.1</v>
      </c>
      <c r="U34" s="2"/>
      <c r="V34" s="6">
        <f t="shared" si="21"/>
        <v>0</v>
      </c>
      <c r="W34" s="2"/>
      <c r="X34" s="7">
        <f t="shared" si="22"/>
        <v>7735.7000000000007</v>
      </c>
      <c r="Y34" s="2"/>
      <c r="Z34" s="6">
        <f t="shared" si="23"/>
        <v>-0.51509178924098253</v>
      </c>
    </row>
    <row r="35" spans="1:26" s="28" customFormat="1" outlineLevel="1" collapsed="1" x14ac:dyDescent="0.25">
      <c r="A35" s="27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SUM(OSRRefD22_3x_0)</f>
        <v>295.67</v>
      </c>
      <c r="E35" s="1"/>
      <c r="F35" s="5">
        <f t="shared" si="16"/>
        <v>0</v>
      </c>
      <c r="G35" s="1"/>
      <c r="H35" s="1">
        <f>SUM(OSRRefH22_3x_0)</f>
        <v>295.68</v>
      </c>
      <c r="I35" s="1"/>
      <c r="J35" s="5">
        <f t="shared" si="17"/>
        <v>0</v>
      </c>
      <c r="K35" s="1"/>
      <c r="L35" s="1">
        <f t="shared" si="18"/>
        <v>-9.9999999999909051E-3</v>
      </c>
      <c r="M35" s="1"/>
      <c r="N35" s="5">
        <f t="shared" si="19"/>
        <v>-3.3820346320315563E-5</v>
      </c>
      <c r="O35" s="14"/>
      <c r="P35" s="1">
        <f>SUM(OSRRefP22_3x_0)</f>
        <v>295.67</v>
      </c>
      <c r="Q35" s="1"/>
      <c r="R35" s="5">
        <f t="shared" si="20"/>
        <v>0</v>
      </c>
      <c r="S35" s="1"/>
      <c r="T35" s="1">
        <f>SUM(OSRRefT22_3x_0)</f>
        <v>295.68</v>
      </c>
      <c r="U35" s="1"/>
      <c r="V35" s="5">
        <f t="shared" si="21"/>
        <v>0</v>
      </c>
      <c r="W35" s="1"/>
      <c r="X35" s="1">
        <f t="shared" si="22"/>
        <v>-9.9999999999909051E-3</v>
      </c>
      <c r="Y35" s="1"/>
      <c r="Z35" s="5">
        <f t="shared" si="23"/>
        <v>-3.3820346320315563E-5</v>
      </c>
    </row>
    <row r="36" spans="1:26" s="24" customFormat="1" hidden="1" outlineLevel="2" x14ac:dyDescent="0.25">
      <c r="A36" s="29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295.67</v>
      </c>
      <c r="E36" s="2"/>
      <c r="F36" s="6">
        <f t="shared" si="16"/>
        <v>0</v>
      </c>
      <c r="G36" s="2"/>
      <c r="H36" s="7">
        <v>295.68</v>
      </c>
      <c r="I36" s="2"/>
      <c r="J36" s="6">
        <f t="shared" si="17"/>
        <v>0</v>
      </c>
      <c r="K36" s="2"/>
      <c r="L36" s="7">
        <f t="shared" si="18"/>
        <v>-9.9999999999909051E-3</v>
      </c>
      <c r="M36" s="2"/>
      <c r="N36" s="6">
        <f t="shared" si="19"/>
        <v>-3.3820346320315563E-5</v>
      </c>
      <c r="O36" s="11"/>
      <c r="P36" s="7">
        <v>295.67</v>
      </c>
      <c r="Q36" s="2"/>
      <c r="R36" s="6">
        <f t="shared" si="20"/>
        <v>0</v>
      </c>
      <c r="S36" s="2"/>
      <c r="T36" s="7">
        <v>295.68</v>
      </c>
      <c r="U36" s="2"/>
      <c r="V36" s="6">
        <f t="shared" si="21"/>
        <v>0</v>
      </c>
      <c r="W36" s="2"/>
      <c r="X36" s="7">
        <f t="shared" si="22"/>
        <v>-9.9999999999909051E-3</v>
      </c>
      <c r="Y36" s="2"/>
      <c r="Z36" s="6">
        <f t="shared" si="23"/>
        <v>-3.3820346320315563E-5</v>
      </c>
    </row>
    <row r="37" spans="1:26" s="28" customFormat="1" outlineLevel="1" collapsed="1" x14ac:dyDescent="0.25">
      <c r="A37" s="27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SUM(OSRRefD22_4x_0)</f>
        <v>427.36</v>
      </c>
      <c r="E37" s="1"/>
      <c r="F37" s="5">
        <f t="shared" si="16"/>
        <v>0</v>
      </c>
      <c r="G37" s="1"/>
      <c r="H37" s="1">
        <f>SUM(OSRRefH22_4x_0)</f>
        <v>32.130000000000003</v>
      </c>
      <c r="I37" s="1"/>
      <c r="J37" s="5">
        <f t="shared" si="17"/>
        <v>0</v>
      </c>
      <c r="K37" s="1"/>
      <c r="L37" s="1">
        <f t="shared" si="18"/>
        <v>395.23</v>
      </c>
      <c r="M37" s="1"/>
      <c r="N37" s="5">
        <f t="shared" si="19"/>
        <v>12.300964830376595</v>
      </c>
      <c r="O37" s="14"/>
      <c r="P37" s="1">
        <f>SUM(OSRRefP22_4x_0)</f>
        <v>427.36</v>
      </c>
      <c r="Q37" s="1"/>
      <c r="R37" s="5">
        <f t="shared" si="20"/>
        <v>0</v>
      </c>
      <c r="S37" s="1"/>
      <c r="T37" s="1">
        <f>SUM(OSRRefT22_4x_0)</f>
        <v>32.130000000000003</v>
      </c>
      <c r="U37" s="1"/>
      <c r="V37" s="5">
        <f t="shared" si="21"/>
        <v>0</v>
      </c>
      <c r="W37" s="1"/>
      <c r="X37" s="1">
        <f t="shared" si="22"/>
        <v>395.23</v>
      </c>
      <c r="Y37" s="1"/>
      <c r="Z37" s="5">
        <f t="shared" si="23"/>
        <v>12.300964830376595</v>
      </c>
    </row>
    <row r="38" spans="1:26" s="24" customFormat="1" hidden="1" outlineLevel="2" x14ac:dyDescent="0.25">
      <c r="A38" s="29"/>
      <c r="B38" s="11" t="str">
        <f>CONCATENATE("          ", "6241", " - ", "OFFICE EXPENSE")</f>
        <v xml:space="preserve">          6241 - OFFICE EXPENSE</v>
      </c>
      <c r="C38" s="11"/>
      <c r="D38" s="7">
        <v>80.94</v>
      </c>
      <c r="E38" s="2"/>
      <c r="F38" s="6">
        <f t="shared" si="16"/>
        <v>0</v>
      </c>
      <c r="G38" s="2"/>
      <c r="H38" s="7">
        <v>32.130000000000003</v>
      </c>
      <c r="I38" s="2"/>
      <c r="J38" s="6">
        <f t="shared" si="17"/>
        <v>0</v>
      </c>
      <c r="K38" s="2"/>
      <c r="L38" s="7">
        <f t="shared" si="18"/>
        <v>48.809999999999995</v>
      </c>
      <c r="M38" s="2"/>
      <c r="N38" s="6">
        <f t="shared" si="19"/>
        <v>1.5191409897292247</v>
      </c>
      <c r="O38" s="11"/>
      <c r="P38" s="7">
        <v>80.94</v>
      </c>
      <c r="Q38" s="2"/>
      <c r="R38" s="6">
        <f t="shared" si="20"/>
        <v>0</v>
      </c>
      <c r="S38" s="2"/>
      <c r="T38" s="7">
        <v>32.130000000000003</v>
      </c>
      <c r="U38" s="2"/>
      <c r="V38" s="6">
        <f t="shared" si="21"/>
        <v>0</v>
      </c>
      <c r="W38" s="2"/>
      <c r="X38" s="7">
        <f t="shared" si="22"/>
        <v>48.809999999999995</v>
      </c>
      <c r="Y38" s="2"/>
      <c r="Z38" s="6">
        <f t="shared" si="23"/>
        <v>1.5191409897292247</v>
      </c>
    </row>
    <row r="39" spans="1:26" s="24" customFormat="1" hidden="1" outlineLevel="2" x14ac:dyDescent="0.25">
      <c r="A39" s="29"/>
      <c r="B39" s="11" t="str">
        <f>CONCATENATE("          ", "6245", " - ", "PRINTING")</f>
        <v xml:space="preserve">          6245 - PRINTING</v>
      </c>
      <c r="C39" s="11"/>
      <c r="D39" s="7">
        <v>346.42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346.42</v>
      </c>
      <c r="M39" s="2"/>
      <c r="N39" s="6">
        <f t="shared" si="19"/>
        <v>0</v>
      </c>
      <c r="O39" s="11"/>
      <c r="P39" s="7">
        <v>346.42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346.42</v>
      </c>
      <c r="Y39" s="2"/>
      <c r="Z39" s="6">
        <f t="shared" si="23"/>
        <v>0</v>
      </c>
    </row>
    <row r="40" spans="1:26" s="28" customFormat="1" outlineLevel="1" collapsed="1" x14ac:dyDescent="0.25">
      <c r="A40" s="27"/>
      <c r="B40" s="14" t="str">
        <f>CONCATENATE("     ","Telephone/Data Lines                              ")</f>
        <v xml:space="preserve">     Telephone/Data Lines                              </v>
      </c>
      <c r="C40" s="14"/>
      <c r="D40" s="1">
        <f>SUM(OSRRefD22_5x_0)</f>
        <v>-5.7</v>
      </c>
      <c r="E40" s="1"/>
      <c r="F40" s="5">
        <f t="shared" ref="F40:F43" si="24">IF(D$12=0,0,D40/D$12)</f>
        <v>0</v>
      </c>
      <c r="G40" s="1"/>
      <c r="H40" s="1">
        <f>SUM(OSRRefH22_5x_0)</f>
        <v>25.15</v>
      </c>
      <c r="I40" s="1"/>
      <c r="J40" s="5">
        <f t="shared" ref="J40:J43" si="25">IF(H$12=0,0,H40/H$12)</f>
        <v>0</v>
      </c>
      <c r="K40" s="1"/>
      <c r="L40" s="1">
        <f t="shared" ref="L40:L43" si="26">+D40-H40</f>
        <v>-30.849999999999998</v>
      </c>
      <c r="M40" s="1"/>
      <c r="N40" s="5">
        <f t="shared" ref="N40:N43" si="27">IF(H40=0,0,L40/H40)</f>
        <v>-1.2266401590457257</v>
      </c>
      <c r="O40" s="14"/>
      <c r="P40" s="1">
        <f>SUM(OSRRefP22_5x_0)</f>
        <v>-5.7</v>
      </c>
      <c r="Q40" s="1"/>
      <c r="R40" s="5">
        <f t="shared" ref="R40:R43" si="28">IF(P$12=0,0,P40/P$12)</f>
        <v>0</v>
      </c>
      <c r="S40" s="1"/>
      <c r="T40" s="1">
        <f>SUM(OSRRefT22_5x_0)</f>
        <v>25.15</v>
      </c>
      <c r="U40" s="1"/>
      <c r="V40" s="5">
        <f t="shared" ref="V40:V43" si="29">IF(T$12=0,0,T40/T$12)</f>
        <v>0</v>
      </c>
      <c r="W40" s="1"/>
      <c r="X40" s="1">
        <f t="shared" ref="X40:X43" si="30">+P40-T40</f>
        <v>-30.849999999999998</v>
      </c>
      <c r="Y40" s="1"/>
      <c r="Z40" s="5">
        <f t="shared" ref="Z40:Z43" si="31">IF(T40=0,0,X40/T40)</f>
        <v>-1.2266401590457257</v>
      </c>
    </row>
    <row r="41" spans="1:26" s="24" customFormat="1" hidden="1" outlineLevel="2" x14ac:dyDescent="0.25">
      <c r="A41" s="29"/>
      <c r="B41" s="11" t="str">
        <f>CONCATENATE("          ", "6309", " - ", "TELEPHONE")</f>
        <v xml:space="preserve">          6309 - TELEPHONE</v>
      </c>
      <c r="C41" s="11"/>
      <c r="D41" s="7">
        <v>-5.7</v>
      </c>
      <c r="E41" s="2"/>
      <c r="F41" s="6">
        <f t="shared" si="24"/>
        <v>0</v>
      </c>
      <c r="G41" s="2"/>
      <c r="H41" s="7">
        <v>25.15</v>
      </c>
      <c r="I41" s="2"/>
      <c r="J41" s="6">
        <f t="shared" si="25"/>
        <v>0</v>
      </c>
      <c r="K41" s="2"/>
      <c r="L41" s="7">
        <f t="shared" si="26"/>
        <v>-30.849999999999998</v>
      </c>
      <c r="M41" s="2"/>
      <c r="N41" s="6">
        <f t="shared" si="27"/>
        <v>-1.2266401590457257</v>
      </c>
      <c r="O41" s="11"/>
      <c r="P41" s="7">
        <v>-5.7</v>
      </c>
      <c r="Q41" s="2"/>
      <c r="R41" s="6">
        <f t="shared" si="28"/>
        <v>0</v>
      </c>
      <c r="S41" s="2"/>
      <c r="T41" s="7">
        <v>25.15</v>
      </c>
      <c r="U41" s="2"/>
      <c r="V41" s="6">
        <f t="shared" si="29"/>
        <v>0</v>
      </c>
      <c r="W41" s="2"/>
      <c r="X41" s="7">
        <f t="shared" si="30"/>
        <v>-30.849999999999998</v>
      </c>
      <c r="Y41" s="2"/>
      <c r="Z41" s="6">
        <f t="shared" si="31"/>
        <v>-1.2266401590457257</v>
      </c>
    </row>
    <row r="42" spans="1:26" s="28" customFormat="1" outlineLevel="1" collapsed="1" x14ac:dyDescent="0.25">
      <c r="A42" s="27"/>
      <c r="B42" s="14" t="str">
        <f>CONCATENATE("     ","Travel                                            ")</f>
        <v xml:space="preserve">     Travel                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170.25</v>
      </c>
      <c r="I42" s="1"/>
      <c r="J42" s="5">
        <f t="shared" si="25"/>
        <v>0</v>
      </c>
      <c r="K42" s="1"/>
      <c r="L42" s="1">
        <f t="shared" si="26"/>
        <v>-170.25</v>
      </c>
      <c r="M42" s="1"/>
      <c r="N42" s="5">
        <f t="shared" si="27"/>
        <v>-1</v>
      </c>
      <c r="O42" s="14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170.25</v>
      </c>
      <c r="U42" s="1"/>
      <c r="V42" s="5">
        <f t="shared" si="29"/>
        <v>0</v>
      </c>
      <c r="W42" s="1"/>
      <c r="X42" s="1">
        <f t="shared" si="30"/>
        <v>-170.25</v>
      </c>
      <c r="Y42" s="1"/>
      <c r="Z42" s="5">
        <f t="shared" si="31"/>
        <v>-1</v>
      </c>
    </row>
    <row r="43" spans="1:26" s="24" customFormat="1" hidden="1" outlineLevel="2" x14ac:dyDescent="0.25">
      <c r="A43" s="29"/>
      <c r="B43" s="11" t="str">
        <f>CONCATENATE("          ", "6292", " - ", "TRAVEL/CONFERENCE")</f>
        <v xml:space="preserve">          6292 - TRAVEL/CONFERENCE</v>
      </c>
      <c r="C43" s="11"/>
      <c r="D43" s="7"/>
      <c r="E43" s="2"/>
      <c r="F43" s="6">
        <f t="shared" si="24"/>
        <v>0</v>
      </c>
      <c r="G43" s="2"/>
      <c r="H43" s="7">
        <v>170.25</v>
      </c>
      <c r="I43" s="2"/>
      <c r="J43" s="6">
        <f t="shared" si="25"/>
        <v>0</v>
      </c>
      <c r="K43" s="2"/>
      <c r="L43" s="7">
        <f t="shared" si="26"/>
        <v>-170.25</v>
      </c>
      <c r="M43" s="2"/>
      <c r="N43" s="6">
        <f t="shared" si="27"/>
        <v>-1</v>
      </c>
      <c r="O43" s="11"/>
      <c r="P43" s="7"/>
      <c r="Q43" s="2"/>
      <c r="R43" s="6">
        <f t="shared" si="28"/>
        <v>0</v>
      </c>
      <c r="S43" s="2"/>
      <c r="T43" s="7">
        <v>170.25</v>
      </c>
      <c r="U43" s="2"/>
      <c r="V43" s="6">
        <f t="shared" si="29"/>
        <v>0</v>
      </c>
      <c r="W43" s="2"/>
      <c r="X43" s="7">
        <f t="shared" si="30"/>
        <v>-170.25</v>
      </c>
      <c r="Y43" s="2"/>
      <c r="Z43" s="6">
        <f t="shared" si="31"/>
        <v>-1</v>
      </c>
    </row>
    <row r="44" spans="1:26" s="54" customFormat="1" x14ac:dyDescent="0.25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6" t="s">
        <v>0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5" t="s">
        <v>3</v>
      </c>
      <c r="C47" s="25"/>
      <c r="D47" s="21">
        <f>+D16-D18+D45</f>
        <v>-7059.57</v>
      </c>
      <c r="E47" s="13"/>
      <c r="F47" s="20">
        <f>IF(D$12=0,0,D47/D$12)</f>
        <v>0</v>
      </c>
      <c r="G47" s="13"/>
      <c r="H47" s="21">
        <f>+H16-H18+H45</f>
        <v>-9622.0300000000043</v>
      </c>
      <c r="I47" s="13"/>
      <c r="J47" s="20">
        <f>IF(H$12=0,0,H47/H$12)</f>
        <v>0</v>
      </c>
      <c r="K47" s="16"/>
      <c r="L47" s="21">
        <f>+D47-H47</f>
        <v>2562.4600000000046</v>
      </c>
      <c r="M47" s="16"/>
      <c r="N47" s="20">
        <f>IF(H47=0,0,L47/H47)</f>
        <v>-0.26631178659804672</v>
      </c>
      <c r="O47" s="26"/>
      <c r="P47" s="21">
        <f>+P16-P18+P45</f>
        <v>-7059.57</v>
      </c>
      <c r="Q47" s="13"/>
      <c r="R47" s="20">
        <f>IF(P$12=0,0,P47/P$12)</f>
        <v>0</v>
      </c>
      <c r="S47" s="13"/>
      <c r="T47" s="21">
        <f>+T16-T18+T45</f>
        <v>-9622.0300000000043</v>
      </c>
      <c r="U47" s="13"/>
      <c r="V47" s="20">
        <f>IF(T$12=0,0,T47/T$12)</f>
        <v>0</v>
      </c>
      <c r="W47" s="16"/>
      <c r="X47" s="21">
        <f>+P47-T47</f>
        <v>2562.4600000000046</v>
      </c>
      <c r="Y47" s="16"/>
      <c r="Z47" s="20">
        <f>IF(T47=0,0,X47/T47)</f>
        <v>-0.26631178659804672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51"/>
      <c r="B49" s="10" t="s">
        <v>13</v>
      </c>
      <c r="C49" s="10"/>
      <c r="D49" s="4"/>
      <c r="E49" s="4"/>
      <c r="F49" s="12">
        <f>IF(D$12=0,0,D49/D$12)</f>
        <v>0</v>
      </c>
      <c r="G49" s="4"/>
      <c r="H49" s="4"/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/>
      <c r="Q49" s="4"/>
      <c r="R49" s="12">
        <f>IF(P$12=0,0,P49/P$12)</f>
        <v>0</v>
      </c>
      <c r="S49" s="4"/>
      <c r="T49" s="4"/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5" t="s">
        <v>4</v>
      </c>
      <c r="C51" s="25"/>
      <c r="D51" s="33">
        <f>+D47-D49</f>
        <v>-7059.57</v>
      </c>
      <c r="E51" s="13"/>
      <c r="F51" s="34">
        <f>IF(D$12=0,0,D51/D$12)</f>
        <v>0</v>
      </c>
      <c r="G51" s="13"/>
      <c r="H51" s="33">
        <f>+H47-H49</f>
        <v>-9622.0300000000043</v>
      </c>
      <c r="I51" s="13"/>
      <c r="J51" s="34">
        <f>IF(H$12=0,0,H51/H$12)</f>
        <v>0</v>
      </c>
      <c r="K51" s="16"/>
      <c r="L51" s="33">
        <f>D51-H51</f>
        <v>2562.4600000000046</v>
      </c>
      <c r="M51" s="16"/>
      <c r="N51" s="34">
        <f>IF(H51=0,0,L51/H51)</f>
        <v>-0.26631178659804672</v>
      </c>
      <c r="O51" s="26"/>
      <c r="P51" s="33">
        <f>+P47-P49</f>
        <v>-7059.57</v>
      </c>
      <c r="Q51" s="13"/>
      <c r="R51" s="34">
        <f>IF(P$12=0,0,P51/P$12)</f>
        <v>0</v>
      </c>
      <c r="S51" s="13"/>
      <c r="T51" s="33">
        <f>+T47-T49</f>
        <v>-9622.0300000000043</v>
      </c>
      <c r="U51" s="13"/>
      <c r="V51" s="34">
        <f>IF(T$12=0,0,T51/T$12)</f>
        <v>0</v>
      </c>
      <c r="W51" s="16"/>
      <c r="X51" s="33">
        <f>P51-T51</f>
        <v>2562.4600000000046</v>
      </c>
      <c r="Y51" s="16"/>
      <c r="Z51" s="34">
        <f>IF(T51=0,0,X51/T51)</f>
        <v>-0.26631178659804672</v>
      </c>
    </row>
    <row r="52" spans="1:26" ht="15.75" thickTop="1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5" t="s">
        <v>5</v>
      </c>
      <c r="C54" s="25"/>
      <c r="D54" s="31">
        <f>SUM(D51:D53)</f>
        <v>-7059.57</v>
      </c>
      <c r="E54" s="13"/>
      <c r="F54" s="30">
        <f>IF(D$12=0,0,D54/D$12)</f>
        <v>0</v>
      </c>
      <c r="G54" s="13"/>
      <c r="H54" s="31">
        <f>SUM(H51:H53)</f>
        <v>-9622.0300000000043</v>
      </c>
      <c r="I54" s="13"/>
      <c r="J54" s="30">
        <f>IF(H$12=0,0,H54/H$12)</f>
        <v>0</v>
      </c>
      <c r="K54" s="16"/>
      <c r="L54" s="31">
        <f>+D54-H54</f>
        <v>2562.4600000000046</v>
      </c>
      <c r="M54" s="16"/>
      <c r="N54" s="30">
        <f>IF(H54=0,0,L54/H54)</f>
        <v>-0.26631178659804672</v>
      </c>
      <c r="O54" s="26"/>
      <c r="P54" s="31">
        <f>SUM(P51:P53)</f>
        <v>-7059.57</v>
      </c>
      <c r="Q54" s="13"/>
      <c r="R54" s="30">
        <f>IF(P$12=0,0,P54/P$12)</f>
        <v>0</v>
      </c>
      <c r="S54" s="13"/>
      <c r="T54" s="31">
        <f>SUM(T51:T53)</f>
        <v>-9622.0300000000043</v>
      </c>
      <c r="U54" s="13"/>
      <c r="V54" s="30">
        <f>IF(T$12=0,0,T54/T$12)</f>
        <v>0</v>
      </c>
      <c r="W54" s="16"/>
      <c r="X54" s="31">
        <f>+P54-T54</f>
        <v>2562.4600000000046</v>
      </c>
      <c r="Y54" s="16"/>
      <c r="Z54" s="30">
        <f>IF(T54=0,0,X54/T54)</f>
        <v>-0.26631178659804672</v>
      </c>
    </row>
    <row r="55" spans="1:26" ht="15.75" thickTop="1" x14ac:dyDescent="0.25">
      <c r="A55" s="9"/>
      <c r="C55" s="9"/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6">
        <v>43726.681698379631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3" t="s">
        <v>313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307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410763.32</v>
      </c>
      <c r="E12" s="4"/>
      <c r="F12" s="12"/>
      <c r="G12" s="4"/>
      <c r="H12" s="4">
        <f>SUM(OSRRefH13x_0)</f>
        <v>440691.83999999997</v>
      </c>
      <c r="I12" s="4"/>
      <c r="J12" s="12"/>
      <c r="K12" s="4"/>
      <c r="L12" s="4">
        <f t="shared" ref="L12:L92" si="0">+D12-H12</f>
        <v>-29928.51999999996</v>
      </c>
      <c r="M12" s="4"/>
      <c r="N12" s="12">
        <f t="shared" ref="N12:N92" si="1">IF(H12=0,0,L12/H12)</f>
        <v>-6.7912580364546712E-2</v>
      </c>
      <c r="O12" s="10"/>
      <c r="P12" s="4">
        <f>SUM(OSRRefP13x_0)</f>
        <v>410763.32</v>
      </c>
      <c r="Q12" s="4"/>
      <c r="R12" s="12"/>
      <c r="S12" s="4"/>
      <c r="T12" s="4">
        <f>SUM(OSRRefT13x_0)</f>
        <v>440691.83999999997</v>
      </c>
      <c r="U12" s="4"/>
      <c r="V12" s="12"/>
      <c r="W12" s="4"/>
      <c r="X12" s="4">
        <f t="shared" ref="X12:X92" si="2">+P12-T12</f>
        <v>-29928.51999999996</v>
      </c>
      <c r="Y12" s="4"/>
      <c r="Z12" s="12">
        <f t="shared" ref="Z12:Z92" si="3">IF(T12=0,0,X12/T12)</f>
        <v>-6.7912580364546712E-2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--36312.25</f>
        <v>36312.25</v>
      </c>
      <c r="E13" s="2"/>
      <c r="F13" s="22"/>
      <c r="G13" s="2"/>
      <c r="H13" s="2">
        <f>--73264.63</f>
        <v>73264.63</v>
      </c>
      <c r="I13" s="2"/>
      <c r="J13" s="22"/>
      <c r="K13" s="2"/>
      <c r="L13" s="2">
        <f t="shared" si="0"/>
        <v>-36952.380000000005</v>
      </c>
      <c r="M13" s="2"/>
      <c r="N13" s="22">
        <f t="shared" si="1"/>
        <v>-0.50436861552429868</v>
      </c>
      <c r="O13" s="11"/>
      <c r="P13" s="2">
        <f>--36312.25</f>
        <v>36312.25</v>
      </c>
      <c r="Q13" s="2"/>
      <c r="R13" s="22"/>
      <c r="S13" s="2"/>
      <c r="T13" s="2">
        <f>--73264.63</f>
        <v>73264.63</v>
      </c>
      <c r="U13" s="2"/>
      <c r="V13" s="22"/>
      <c r="W13" s="2"/>
      <c r="X13" s="2">
        <f t="shared" si="2"/>
        <v>-36952.380000000005</v>
      </c>
      <c r="Y13" s="2"/>
      <c r="Z13" s="22">
        <f t="shared" si="3"/>
        <v>-0.50436861552429868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--21794.81</f>
        <v>21794.81</v>
      </c>
      <c r="E14" s="2"/>
      <c r="F14" s="22"/>
      <c r="G14" s="2"/>
      <c r="H14" s="2">
        <f>--26581.58</f>
        <v>26581.58</v>
      </c>
      <c r="I14" s="2"/>
      <c r="J14" s="22"/>
      <c r="K14" s="2"/>
      <c r="L14" s="2">
        <f t="shared" si="0"/>
        <v>-4786.7700000000004</v>
      </c>
      <c r="M14" s="2"/>
      <c r="N14" s="22">
        <f t="shared" si="1"/>
        <v>-0.18007846034735331</v>
      </c>
      <c r="O14" s="11"/>
      <c r="P14" s="2">
        <f>--21794.81</f>
        <v>21794.81</v>
      </c>
      <c r="Q14" s="2"/>
      <c r="R14" s="22"/>
      <c r="S14" s="2"/>
      <c r="T14" s="2">
        <f>--26581.58</f>
        <v>26581.58</v>
      </c>
      <c r="U14" s="2"/>
      <c r="V14" s="22"/>
      <c r="W14" s="2"/>
      <c r="X14" s="2">
        <f t="shared" si="2"/>
        <v>-4786.7700000000004</v>
      </c>
      <c r="Y14" s="2"/>
      <c r="Z14" s="22">
        <f t="shared" si="3"/>
        <v>-0.18007846034735331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>
        <f>--484</f>
        <v>484</v>
      </c>
      <c r="I15" s="2"/>
      <c r="J15" s="22"/>
      <c r="K15" s="2"/>
      <c r="L15" s="2">
        <f t="shared" si="0"/>
        <v>-50.019999999999982</v>
      </c>
      <c r="M15" s="2"/>
      <c r="N15" s="22">
        <f t="shared" si="1"/>
        <v>-0.10334710743801649</v>
      </c>
      <c r="O15" s="11"/>
      <c r="P15" s="2">
        <f>--433.98</f>
        <v>433.98</v>
      </c>
      <c r="Q15" s="2"/>
      <c r="R15" s="22"/>
      <c r="S15" s="2"/>
      <c r="T15" s="2">
        <f>--484</f>
        <v>484</v>
      </c>
      <c r="U15" s="2"/>
      <c r="V15" s="22"/>
      <c r="W15" s="2"/>
      <c r="X15" s="2">
        <f t="shared" si="2"/>
        <v>-50.019999999999982</v>
      </c>
      <c r="Y15" s="2"/>
      <c r="Z15" s="22">
        <f t="shared" si="3"/>
        <v>-0.10334710743801649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>
        <f>--143</f>
        <v>143</v>
      </c>
      <c r="I16" s="2"/>
      <c r="J16" s="22"/>
      <c r="K16" s="2"/>
      <c r="L16" s="2">
        <f t="shared" si="0"/>
        <v>-9.6500000000000057</v>
      </c>
      <c r="M16" s="2"/>
      <c r="N16" s="22">
        <f t="shared" si="1"/>
        <v>-6.7482517482517518E-2</v>
      </c>
      <c r="O16" s="11"/>
      <c r="P16" s="2">
        <f>--133.35</f>
        <v>133.35</v>
      </c>
      <c r="Q16" s="2"/>
      <c r="R16" s="22"/>
      <c r="S16" s="2"/>
      <c r="T16" s="2">
        <f>--143</f>
        <v>143</v>
      </c>
      <c r="U16" s="2"/>
      <c r="V16" s="22"/>
      <c r="W16" s="2"/>
      <c r="X16" s="2">
        <f t="shared" si="2"/>
        <v>-9.6500000000000057</v>
      </c>
      <c r="Y16" s="2"/>
      <c r="Z16" s="22">
        <f t="shared" si="3"/>
        <v>-6.7482517482517518E-2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>
        <f>--53.96</f>
        <v>53.96</v>
      </c>
      <c r="I17" s="2"/>
      <c r="J17" s="22"/>
      <c r="K17" s="2"/>
      <c r="L17" s="2">
        <f t="shared" si="0"/>
        <v>-14.009999999999998</v>
      </c>
      <c r="M17" s="2"/>
      <c r="N17" s="22">
        <f t="shared" si="1"/>
        <v>-0.25963676797627866</v>
      </c>
      <c r="O17" s="11"/>
      <c r="P17" s="2">
        <f>--39.95</f>
        <v>39.950000000000003</v>
      </c>
      <c r="Q17" s="2"/>
      <c r="R17" s="22"/>
      <c r="S17" s="2"/>
      <c r="T17" s="2">
        <f>--53.96</f>
        <v>53.96</v>
      </c>
      <c r="U17" s="2"/>
      <c r="V17" s="22"/>
      <c r="W17" s="2"/>
      <c r="X17" s="2">
        <f t="shared" si="2"/>
        <v>-14.009999999999998</v>
      </c>
      <c r="Y17" s="2"/>
      <c r="Z17" s="22">
        <f t="shared" si="3"/>
        <v>-0.25963676797627866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>
        <f>--200.49</f>
        <v>200.49</v>
      </c>
      <c r="I18" s="2"/>
      <c r="J18" s="22"/>
      <c r="K18" s="2"/>
      <c r="L18" s="2">
        <f t="shared" si="0"/>
        <v>50.16</v>
      </c>
      <c r="M18" s="2"/>
      <c r="N18" s="22">
        <f t="shared" si="1"/>
        <v>0.25018704174771805</v>
      </c>
      <c r="O18" s="11"/>
      <c r="P18" s="2">
        <f>--250.65</f>
        <v>250.65</v>
      </c>
      <c r="Q18" s="2"/>
      <c r="R18" s="22"/>
      <c r="S18" s="2"/>
      <c r="T18" s="2">
        <f>--200.49</f>
        <v>200.49</v>
      </c>
      <c r="U18" s="2"/>
      <c r="V18" s="22"/>
      <c r="W18" s="2"/>
      <c r="X18" s="2">
        <f t="shared" si="2"/>
        <v>50.16</v>
      </c>
      <c r="Y18" s="2"/>
      <c r="Z18" s="22">
        <f t="shared" si="3"/>
        <v>0.25018704174771805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--4.47</f>
        <v>4.47</v>
      </c>
      <c r="E19" s="2"/>
      <c r="F19" s="22"/>
      <c r="G19" s="2"/>
      <c r="H19" s="2">
        <f>--264.61</f>
        <v>264.61</v>
      </c>
      <c r="I19" s="2"/>
      <c r="J19" s="22"/>
      <c r="K19" s="2"/>
      <c r="L19" s="2">
        <f t="shared" si="0"/>
        <v>-260.14</v>
      </c>
      <c r="M19" s="2"/>
      <c r="N19" s="22">
        <f t="shared" si="1"/>
        <v>-0.98310721439099036</v>
      </c>
      <c r="O19" s="11"/>
      <c r="P19" s="2">
        <f>--4.47</f>
        <v>4.47</v>
      </c>
      <c r="Q19" s="2"/>
      <c r="R19" s="22"/>
      <c r="S19" s="2"/>
      <c r="T19" s="2">
        <f>--264.61</f>
        <v>264.61</v>
      </c>
      <c r="U19" s="2"/>
      <c r="V19" s="22"/>
      <c r="W19" s="2"/>
      <c r="X19" s="2">
        <f t="shared" si="2"/>
        <v>-260.14</v>
      </c>
      <c r="Y19" s="2"/>
      <c r="Z19" s="22">
        <f t="shared" si="3"/>
        <v>-0.98310721439099036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--179.29</f>
        <v>179.29</v>
      </c>
      <c r="E20" s="2"/>
      <c r="F20" s="22"/>
      <c r="G20" s="2"/>
      <c r="H20" s="2">
        <f>--479.34</f>
        <v>479.34</v>
      </c>
      <c r="I20" s="2"/>
      <c r="J20" s="22"/>
      <c r="K20" s="2"/>
      <c r="L20" s="2">
        <f t="shared" si="0"/>
        <v>-300.04999999999995</v>
      </c>
      <c r="M20" s="2"/>
      <c r="N20" s="22">
        <f t="shared" si="1"/>
        <v>-0.62596486836066256</v>
      </c>
      <c r="O20" s="11"/>
      <c r="P20" s="2">
        <f>--179.29</f>
        <v>179.29</v>
      </c>
      <c r="Q20" s="2"/>
      <c r="R20" s="22"/>
      <c r="S20" s="2"/>
      <c r="T20" s="2">
        <f>--479.34</f>
        <v>479.34</v>
      </c>
      <c r="U20" s="2"/>
      <c r="V20" s="22"/>
      <c r="W20" s="2"/>
      <c r="X20" s="2">
        <f t="shared" si="2"/>
        <v>-300.04999999999995</v>
      </c>
      <c r="Y20" s="2"/>
      <c r="Z20" s="22">
        <f t="shared" si="3"/>
        <v>-0.62596486836066256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0</f>
        <v>0</v>
      </c>
      <c r="E21" s="2"/>
      <c r="F21" s="22"/>
      <c r="G21" s="2"/>
      <c r="H21" s="2">
        <f>--39.9</f>
        <v>39.9</v>
      </c>
      <c r="I21" s="2"/>
      <c r="J21" s="22"/>
      <c r="K21" s="2"/>
      <c r="L21" s="2">
        <f t="shared" si="0"/>
        <v>-39.9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f>--39.9</f>
        <v>39.9</v>
      </c>
      <c r="U21" s="2"/>
      <c r="V21" s="22"/>
      <c r="W21" s="2"/>
      <c r="X21" s="2">
        <f t="shared" si="2"/>
        <v>-39.9</v>
      </c>
      <c r="Y21" s="2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>
        <f>--619.88</f>
        <v>619.88</v>
      </c>
      <c r="I22" s="2"/>
      <c r="J22" s="22"/>
      <c r="K22" s="2"/>
      <c r="L22" s="2">
        <f t="shared" si="0"/>
        <v>-227.58999999999997</v>
      </c>
      <c r="M22" s="2"/>
      <c r="N22" s="22">
        <f t="shared" si="1"/>
        <v>-0.36715170678195774</v>
      </c>
      <c r="O22" s="11"/>
      <c r="P22" s="2">
        <f>--392.29</f>
        <v>392.29</v>
      </c>
      <c r="Q22" s="2"/>
      <c r="R22" s="22"/>
      <c r="S22" s="2"/>
      <c r="T22" s="2">
        <f>--619.88</f>
        <v>619.88</v>
      </c>
      <c r="U22" s="2"/>
      <c r="V22" s="22"/>
      <c r="W22" s="2"/>
      <c r="X22" s="2">
        <f t="shared" si="2"/>
        <v>-227.58999999999997</v>
      </c>
      <c r="Y22" s="2"/>
      <c r="Z22" s="22">
        <f t="shared" si="3"/>
        <v>-0.36715170678195774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>
        <f>--2074.52</f>
        <v>2074.52</v>
      </c>
      <c r="I23" s="2"/>
      <c r="J23" s="22"/>
      <c r="K23" s="2"/>
      <c r="L23" s="2">
        <f t="shared" si="0"/>
        <v>-139.01</v>
      </c>
      <c r="M23" s="2"/>
      <c r="N23" s="22">
        <f t="shared" si="1"/>
        <v>-6.7008271792993068E-2</v>
      </c>
      <c r="O23" s="11"/>
      <c r="P23" s="2">
        <f>--1935.51</f>
        <v>1935.51</v>
      </c>
      <c r="Q23" s="2"/>
      <c r="R23" s="22"/>
      <c r="S23" s="2"/>
      <c r="T23" s="2">
        <f>--2074.52</f>
        <v>2074.52</v>
      </c>
      <c r="U23" s="2"/>
      <c r="V23" s="22"/>
      <c r="W23" s="2"/>
      <c r="X23" s="2">
        <f t="shared" si="2"/>
        <v>-139.01</v>
      </c>
      <c r="Y23" s="2"/>
      <c r="Z23" s="22">
        <f t="shared" si="3"/>
        <v>-6.7008271792993068E-2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>
        <f>--11922.5</f>
        <v>11922.5</v>
      </c>
      <c r="I24" s="2"/>
      <c r="J24" s="22"/>
      <c r="K24" s="2"/>
      <c r="L24" s="2">
        <f t="shared" si="0"/>
        <v>1227.5</v>
      </c>
      <c r="M24" s="2"/>
      <c r="N24" s="22">
        <f t="shared" si="1"/>
        <v>0.10295659467393584</v>
      </c>
      <c r="O24" s="11"/>
      <c r="P24" s="2">
        <f>--13150</f>
        <v>13150</v>
      </c>
      <c r="Q24" s="2"/>
      <c r="R24" s="22"/>
      <c r="S24" s="2"/>
      <c r="T24" s="2">
        <f>--11922.5</f>
        <v>11922.5</v>
      </c>
      <c r="U24" s="2"/>
      <c r="V24" s="22"/>
      <c r="W24" s="2"/>
      <c r="X24" s="2">
        <f t="shared" si="2"/>
        <v>1227.5</v>
      </c>
      <c r="Y24" s="2"/>
      <c r="Z24" s="22">
        <f t="shared" si="3"/>
        <v>0.10295659467393584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>
        <f>--2013.49</f>
        <v>2013.49</v>
      </c>
      <c r="I25" s="2"/>
      <c r="J25" s="22"/>
      <c r="K25" s="2"/>
      <c r="L25" s="2">
        <f t="shared" si="0"/>
        <v>270.66999999999985</v>
      </c>
      <c r="M25" s="2"/>
      <c r="N25" s="22">
        <f t="shared" si="1"/>
        <v>0.13442828124301578</v>
      </c>
      <c r="O25" s="11"/>
      <c r="P25" s="2">
        <f>--2284.16</f>
        <v>2284.16</v>
      </c>
      <c r="Q25" s="2"/>
      <c r="R25" s="22"/>
      <c r="S25" s="2"/>
      <c r="T25" s="2">
        <f>--2013.49</f>
        <v>2013.49</v>
      </c>
      <c r="U25" s="2"/>
      <c r="V25" s="22"/>
      <c r="W25" s="2"/>
      <c r="X25" s="2">
        <f t="shared" si="2"/>
        <v>270.66999999999985</v>
      </c>
      <c r="Y25" s="2"/>
      <c r="Z25" s="22">
        <f t="shared" si="3"/>
        <v>0.13442828124301578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>
        <f>--1.23</f>
        <v>1.23</v>
      </c>
      <c r="I26" s="2"/>
      <c r="J26" s="22"/>
      <c r="K26" s="2"/>
      <c r="L26" s="2">
        <f t="shared" si="0"/>
        <v>0.29000000000000004</v>
      </c>
      <c r="M26" s="2"/>
      <c r="N26" s="22">
        <f t="shared" si="1"/>
        <v>0.23577235772357727</v>
      </c>
      <c r="O26" s="11"/>
      <c r="P26" s="2">
        <f>--1.52</f>
        <v>1.52</v>
      </c>
      <c r="Q26" s="2"/>
      <c r="R26" s="22"/>
      <c r="S26" s="2"/>
      <c r="T26" s="2">
        <f>--1.23</f>
        <v>1.23</v>
      </c>
      <c r="U26" s="2"/>
      <c r="V26" s="22"/>
      <c r="W26" s="2"/>
      <c r="X26" s="2">
        <f t="shared" si="2"/>
        <v>0.29000000000000004</v>
      </c>
      <c r="Y26" s="2"/>
      <c r="Z26" s="22">
        <f t="shared" si="3"/>
        <v>0.23577235772357727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--6881.73</f>
        <v>6881.73</v>
      </c>
      <c r="E27" s="2"/>
      <c r="F27" s="22"/>
      <c r="G27" s="2"/>
      <c r="H27" s="2">
        <f>--7221.96</f>
        <v>7221.96</v>
      </c>
      <c r="I27" s="2"/>
      <c r="J27" s="22"/>
      <c r="K27" s="2"/>
      <c r="L27" s="2">
        <f t="shared" si="0"/>
        <v>-340.23000000000047</v>
      </c>
      <c r="M27" s="2"/>
      <c r="N27" s="22">
        <f t="shared" si="1"/>
        <v>-4.7110479703570844E-2</v>
      </c>
      <c r="O27" s="11"/>
      <c r="P27" s="2">
        <f>--6881.73</f>
        <v>6881.73</v>
      </c>
      <c r="Q27" s="2"/>
      <c r="R27" s="22"/>
      <c r="S27" s="2"/>
      <c r="T27" s="2">
        <f>--7221.96</f>
        <v>7221.96</v>
      </c>
      <c r="U27" s="2"/>
      <c r="V27" s="22"/>
      <c r="W27" s="2"/>
      <c r="X27" s="2">
        <f t="shared" si="2"/>
        <v>-340.23000000000047</v>
      </c>
      <c r="Y27" s="2"/>
      <c r="Z27" s="22">
        <f t="shared" si="3"/>
        <v>-4.7110479703570844E-2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>
        <f>--0.68</f>
        <v>0.68</v>
      </c>
      <c r="I28" s="2"/>
      <c r="J28" s="22"/>
      <c r="K28" s="2"/>
      <c r="L28" s="2">
        <f t="shared" si="0"/>
        <v>2.4899999999999998</v>
      </c>
      <c r="M28" s="2"/>
      <c r="N28" s="22">
        <f t="shared" si="1"/>
        <v>3.6617647058823524</v>
      </c>
      <c r="O28" s="11"/>
      <c r="P28" s="2">
        <f>--3.17</f>
        <v>3.17</v>
      </c>
      <c r="Q28" s="2"/>
      <c r="R28" s="22"/>
      <c r="S28" s="2"/>
      <c r="T28" s="2">
        <f>--0.68</f>
        <v>0.68</v>
      </c>
      <c r="U28" s="2"/>
      <c r="V28" s="22"/>
      <c r="W28" s="2"/>
      <c r="X28" s="2">
        <f t="shared" si="2"/>
        <v>2.4899999999999998</v>
      </c>
      <c r="Y28" s="2"/>
      <c r="Z28" s="22">
        <f t="shared" si="3"/>
        <v>3.6617647058823524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--323.49</f>
        <v>323.49</v>
      </c>
      <c r="E29" s="2"/>
      <c r="F29" s="22"/>
      <c r="G29" s="2"/>
      <c r="H29" s="2">
        <f>--242.31</f>
        <v>242.31</v>
      </c>
      <c r="I29" s="2"/>
      <c r="J29" s="22"/>
      <c r="K29" s="2"/>
      <c r="L29" s="2">
        <f t="shared" si="0"/>
        <v>81.180000000000007</v>
      </c>
      <c r="M29" s="2"/>
      <c r="N29" s="22">
        <f t="shared" si="1"/>
        <v>0.3350253807106599</v>
      </c>
      <c r="O29" s="11"/>
      <c r="P29" s="2">
        <f>--323.49</f>
        <v>323.49</v>
      </c>
      <c r="Q29" s="2"/>
      <c r="R29" s="22"/>
      <c r="S29" s="2"/>
      <c r="T29" s="2">
        <f>--242.31</f>
        <v>242.31</v>
      </c>
      <c r="U29" s="2"/>
      <c r="V29" s="22"/>
      <c r="W29" s="2"/>
      <c r="X29" s="2">
        <f t="shared" si="2"/>
        <v>81.180000000000007</v>
      </c>
      <c r="Y29" s="2"/>
      <c r="Z29" s="22">
        <f t="shared" si="3"/>
        <v>0.3350253807106599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>
        <f>--48.05</f>
        <v>48.05</v>
      </c>
      <c r="I30" s="2"/>
      <c r="J30" s="22"/>
      <c r="K30" s="2"/>
      <c r="L30" s="2">
        <f t="shared" si="0"/>
        <v>-42.08</v>
      </c>
      <c r="M30" s="2"/>
      <c r="N30" s="22">
        <f t="shared" si="1"/>
        <v>-0.87575442247658686</v>
      </c>
      <c r="O30" s="11"/>
      <c r="P30" s="2">
        <f>--5.97</f>
        <v>5.97</v>
      </c>
      <c r="Q30" s="2"/>
      <c r="R30" s="22"/>
      <c r="S30" s="2"/>
      <c r="T30" s="2">
        <f>--48.05</f>
        <v>48.05</v>
      </c>
      <c r="U30" s="2"/>
      <c r="V30" s="22"/>
      <c r="W30" s="2"/>
      <c r="X30" s="2">
        <f t="shared" si="2"/>
        <v>-42.08</v>
      </c>
      <c r="Y30" s="2"/>
      <c r="Z30" s="22">
        <f t="shared" si="3"/>
        <v>-0.87575442247658686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>
        <f>--5.31</f>
        <v>5.31</v>
      </c>
      <c r="I31" s="2"/>
      <c r="J31" s="22"/>
      <c r="K31" s="2"/>
      <c r="L31" s="2">
        <f t="shared" si="0"/>
        <v>-1.9999999999999574E-2</v>
      </c>
      <c r="M31" s="2"/>
      <c r="N31" s="22">
        <f t="shared" si="1"/>
        <v>-3.7664783427494492E-3</v>
      </c>
      <c r="O31" s="11"/>
      <c r="P31" s="2">
        <f>--5.29</f>
        <v>5.29</v>
      </c>
      <c r="Q31" s="2"/>
      <c r="R31" s="22"/>
      <c r="S31" s="2"/>
      <c r="T31" s="2">
        <f>--5.31</f>
        <v>5.31</v>
      </c>
      <c r="U31" s="2"/>
      <c r="V31" s="22"/>
      <c r="W31" s="2"/>
      <c r="X31" s="2">
        <f t="shared" si="2"/>
        <v>-1.9999999999999574E-2</v>
      </c>
      <c r="Y31" s="2"/>
      <c r="Z31" s="22">
        <f t="shared" si="3"/>
        <v>-3.7664783427494492E-3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>
        <f>--145971.66</f>
        <v>145971.66</v>
      </c>
      <c r="I32" s="2"/>
      <c r="J32" s="22"/>
      <c r="K32" s="2"/>
      <c r="L32" s="2">
        <f t="shared" si="0"/>
        <v>24340.359999999986</v>
      </c>
      <c r="M32" s="2"/>
      <c r="N32" s="22">
        <f t="shared" si="1"/>
        <v>0.16674716174358767</v>
      </c>
      <c r="O32" s="11"/>
      <c r="P32" s="2">
        <f>--170312.02</f>
        <v>170312.02</v>
      </c>
      <c r="Q32" s="2"/>
      <c r="R32" s="22"/>
      <c r="S32" s="2"/>
      <c r="T32" s="2">
        <f>--145971.66</f>
        <v>145971.66</v>
      </c>
      <c r="U32" s="2"/>
      <c r="V32" s="22"/>
      <c r="W32" s="2"/>
      <c r="X32" s="2">
        <f t="shared" si="2"/>
        <v>24340.359999999986</v>
      </c>
      <c r="Y32" s="2"/>
      <c r="Z32" s="22">
        <f t="shared" si="3"/>
        <v>0.16674716174358767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>
        <f>--35178.08</f>
        <v>35178.080000000002</v>
      </c>
      <c r="I33" s="2"/>
      <c r="J33" s="22"/>
      <c r="K33" s="2"/>
      <c r="L33" s="2">
        <f t="shared" si="0"/>
        <v>-4136.4900000000016</v>
      </c>
      <c r="M33" s="2"/>
      <c r="N33" s="22">
        <f t="shared" si="1"/>
        <v>-0.11758714517676921</v>
      </c>
      <c r="O33" s="11"/>
      <c r="P33" s="2">
        <f>--31041.59</f>
        <v>31041.59</v>
      </c>
      <c r="Q33" s="2"/>
      <c r="R33" s="22"/>
      <c r="S33" s="2"/>
      <c r="T33" s="2">
        <f>--35178.08</f>
        <v>35178.080000000002</v>
      </c>
      <c r="U33" s="2"/>
      <c r="V33" s="22"/>
      <c r="W33" s="2"/>
      <c r="X33" s="2">
        <f t="shared" si="2"/>
        <v>-4136.4900000000016</v>
      </c>
      <c r="Y33" s="2"/>
      <c r="Z33" s="22">
        <f t="shared" si="3"/>
        <v>-0.11758714517676921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>
        <f>--13180.4</f>
        <v>13180.4</v>
      </c>
      <c r="I34" s="2"/>
      <c r="J34" s="22"/>
      <c r="K34" s="2"/>
      <c r="L34" s="2">
        <f t="shared" si="0"/>
        <v>2412.6499999999996</v>
      </c>
      <c r="M34" s="2"/>
      <c r="N34" s="22">
        <f t="shared" si="1"/>
        <v>0.1830483141634548</v>
      </c>
      <c r="O34" s="11"/>
      <c r="P34" s="2">
        <f>--15593.05</f>
        <v>15593.05</v>
      </c>
      <c r="Q34" s="2"/>
      <c r="R34" s="22"/>
      <c r="S34" s="2"/>
      <c r="T34" s="2">
        <f>--13180.4</f>
        <v>13180.4</v>
      </c>
      <c r="U34" s="2"/>
      <c r="V34" s="22"/>
      <c r="W34" s="2"/>
      <c r="X34" s="2">
        <f t="shared" si="2"/>
        <v>2412.6499999999996</v>
      </c>
      <c r="Y34" s="2"/>
      <c r="Z34" s="22">
        <f t="shared" si="3"/>
        <v>0.1830483141634548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>
        <f>--210.22</f>
        <v>210.22</v>
      </c>
      <c r="I35" s="2"/>
      <c r="J35" s="22"/>
      <c r="K35" s="2"/>
      <c r="L35" s="2">
        <f t="shared" si="0"/>
        <v>-153.82</v>
      </c>
      <c r="M35" s="2"/>
      <c r="N35" s="22">
        <f t="shared" si="1"/>
        <v>-0.73170963752259532</v>
      </c>
      <c r="O35" s="11"/>
      <c r="P35" s="2">
        <f>--56.4</f>
        <v>56.4</v>
      </c>
      <c r="Q35" s="2"/>
      <c r="R35" s="22"/>
      <c r="S35" s="2"/>
      <c r="T35" s="2">
        <f>--210.22</f>
        <v>210.22</v>
      </c>
      <c r="U35" s="2"/>
      <c r="V35" s="22"/>
      <c r="W35" s="2"/>
      <c r="X35" s="2">
        <f t="shared" si="2"/>
        <v>-153.82</v>
      </c>
      <c r="Y35" s="2"/>
      <c r="Z35" s="22">
        <f t="shared" si="3"/>
        <v>-0.73170963752259532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>
        <f>--3757.84</f>
        <v>3757.84</v>
      </c>
      <c r="I36" s="2"/>
      <c r="J36" s="22"/>
      <c r="K36" s="2"/>
      <c r="L36" s="2">
        <f t="shared" si="0"/>
        <v>-1415.19</v>
      </c>
      <c r="M36" s="2"/>
      <c r="N36" s="22">
        <f t="shared" si="1"/>
        <v>-0.37659666191216229</v>
      </c>
      <c r="O36" s="11"/>
      <c r="P36" s="2">
        <f>--2342.65</f>
        <v>2342.65</v>
      </c>
      <c r="Q36" s="2"/>
      <c r="R36" s="22"/>
      <c r="S36" s="2"/>
      <c r="T36" s="2">
        <f>--3757.84</f>
        <v>3757.84</v>
      </c>
      <c r="U36" s="2"/>
      <c r="V36" s="22"/>
      <c r="W36" s="2"/>
      <c r="X36" s="2">
        <f t="shared" si="2"/>
        <v>-1415.19</v>
      </c>
      <c r="Y36" s="2"/>
      <c r="Z36" s="22">
        <f t="shared" si="3"/>
        <v>-0.37659666191216229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>
        <f>--25309.57</f>
        <v>25309.57</v>
      </c>
      <c r="I37" s="2"/>
      <c r="J37" s="22"/>
      <c r="K37" s="2"/>
      <c r="L37" s="2">
        <f t="shared" si="0"/>
        <v>-5888.8499999999985</v>
      </c>
      <c r="M37" s="2"/>
      <c r="N37" s="22">
        <f t="shared" si="1"/>
        <v>-0.23267285852742653</v>
      </c>
      <c r="O37" s="11"/>
      <c r="P37" s="2">
        <f>--19420.72</f>
        <v>19420.72</v>
      </c>
      <c r="Q37" s="2"/>
      <c r="R37" s="22"/>
      <c r="S37" s="2"/>
      <c r="T37" s="2">
        <f>--25309.57</f>
        <v>25309.57</v>
      </c>
      <c r="U37" s="2"/>
      <c r="V37" s="22"/>
      <c r="W37" s="2"/>
      <c r="X37" s="2">
        <f t="shared" si="2"/>
        <v>-5888.8499999999985</v>
      </c>
      <c r="Y37" s="2"/>
      <c r="Z37" s="22">
        <f t="shared" si="3"/>
        <v>-0.23267285852742653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>
        <f>--49.99</f>
        <v>49.99</v>
      </c>
      <c r="I38" s="2"/>
      <c r="J38" s="22"/>
      <c r="K38" s="2"/>
      <c r="L38" s="2">
        <f t="shared" si="0"/>
        <v>-9.990000000000002</v>
      </c>
      <c r="M38" s="2"/>
      <c r="N38" s="22">
        <f t="shared" si="1"/>
        <v>-0.19983996799359874</v>
      </c>
      <c r="O38" s="11"/>
      <c r="P38" s="2">
        <f>--40</f>
        <v>40</v>
      </c>
      <c r="Q38" s="2"/>
      <c r="R38" s="22"/>
      <c r="S38" s="2"/>
      <c r="T38" s="2">
        <f>--49.99</f>
        <v>49.99</v>
      </c>
      <c r="U38" s="2"/>
      <c r="V38" s="22"/>
      <c r="W38" s="2"/>
      <c r="X38" s="2">
        <f t="shared" si="2"/>
        <v>-9.990000000000002</v>
      </c>
      <c r="Y38" s="2"/>
      <c r="Z38" s="22">
        <f t="shared" si="3"/>
        <v>-0.19983996799359874</v>
      </c>
    </row>
    <row r="39" spans="1:26" s="24" customFormat="1" hidden="1" outlineLevel="1" x14ac:dyDescent="0.25">
      <c r="A39" s="50"/>
      <c r="B39" s="11" t="str">
        <f>CONCATENATE("          ", "4051", " - ", "TAXABLE SALES-FOOD")</f>
        <v xml:space="preserve">          4051 - TAXABLE SALES-FOOD</v>
      </c>
      <c r="C39" s="11"/>
      <c r="D39" s="2">
        <f>--3727.67</f>
        <v>3727.67</v>
      </c>
      <c r="E39" s="2"/>
      <c r="F39" s="22"/>
      <c r="G39" s="2"/>
      <c r="H39" s="2">
        <f>--4194.83</f>
        <v>4194.83</v>
      </c>
      <c r="I39" s="2"/>
      <c r="J39" s="22"/>
      <c r="K39" s="2"/>
      <c r="L39" s="2">
        <f t="shared" si="0"/>
        <v>-467.15999999999985</v>
      </c>
      <c r="M39" s="2"/>
      <c r="N39" s="22">
        <f t="shared" si="1"/>
        <v>-0.11136565724951902</v>
      </c>
      <c r="O39" s="11"/>
      <c r="P39" s="2">
        <f>--3727.67</f>
        <v>3727.67</v>
      </c>
      <c r="Q39" s="2"/>
      <c r="R39" s="22"/>
      <c r="S39" s="2"/>
      <c r="T39" s="2">
        <f>--4194.83</f>
        <v>4194.83</v>
      </c>
      <c r="U39" s="2"/>
      <c r="V39" s="22"/>
      <c r="W39" s="2"/>
      <c r="X39" s="2">
        <f t="shared" si="2"/>
        <v>-467.15999999999985</v>
      </c>
      <c r="Y39" s="2"/>
      <c r="Z39" s="22">
        <f t="shared" si="3"/>
        <v>-0.11136565724951902</v>
      </c>
    </row>
    <row r="40" spans="1:26" s="24" customFormat="1" hidden="1" outlineLevel="1" x14ac:dyDescent="0.25">
      <c r="A40" s="50"/>
      <c r="B40" s="11" t="str">
        <f>CONCATENATE("          ", "4081", " - ", "TAXABLE SALES-ELECTRONICS")</f>
        <v xml:space="preserve">          4081 - TAXABLE SALES-ELECTRONICS</v>
      </c>
      <c r="C40" s="11"/>
      <c r="D40" s="2">
        <f>--7.98</f>
        <v>7.98</v>
      </c>
      <c r="E40" s="2"/>
      <c r="F40" s="22"/>
      <c r="G40" s="2"/>
      <c r="H40" s="2">
        <f>--2.99</f>
        <v>2.99</v>
      </c>
      <c r="I40" s="2"/>
      <c r="J40" s="22"/>
      <c r="K40" s="2"/>
      <c r="L40" s="2">
        <f t="shared" si="0"/>
        <v>4.99</v>
      </c>
      <c r="M40" s="2"/>
      <c r="N40" s="22">
        <f t="shared" si="1"/>
        <v>1.6688963210702341</v>
      </c>
      <c r="O40" s="11"/>
      <c r="P40" s="2">
        <f>--7.98</f>
        <v>7.98</v>
      </c>
      <c r="Q40" s="2"/>
      <c r="R40" s="22"/>
      <c r="S40" s="2"/>
      <c r="T40" s="2">
        <f>--2.99</f>
        <v>2.99</v>
      </c>
      <c r="U40" s="2"/>
      <c r="V40" s="22"/>
      <c r="W40" s="2"/>
      <c r="X40" s="2">
        <f t="shared" si="2"/>
        <v>4.99</v>
      </c>
      <c r="Y40" s="2"/>
      <c r="Z40" s="22">
        <f t="shared" si="3"/>
        <v>1.6688963210702341</v>
      </c>
    </row>
    <row r="41" spans="1:26" s="24" customFormat="1" hidden="1" outlineLevel="1" x14ac:dyDescent="0.25">
      <c r="A41" s="50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--19</f>
        <v>19</v>
      </c>
      <c r="E41" s="2"/>
      <c r="F41" s="22"/>
      <c r="G41" s="2"/>
      <c r="H41" s="2">
        <f>0</f>
        <v>0</v>
      </c>
      <c r="I41" s="2"/>
      <c r="J41" s="22"/>
      <c r="K41" s="2"/>
      <c r="L41" s="2">
        <f t="shared" si="0"/>
        <v>19</v>
      </c>
      <c r="M41" s="2"/>
      <c r="N41" s="22">
        <f t="shared" si="1"/>
        <v>0</v>
      </c>
      <c r="O41" s="11"/>
      <c r="P41" s="2">
        <f>--19</f>
        <v>19</v>
      </c>
      <c r="Q41" s="2"/>
      <c r="R41" s="22"/>
      <c r="S41" s="2"/>
      <c r="T41" s="2">
        <f>0</f>
        <v>0</v>
      </c>
      <c r="U41" s="2"/>
      <c r="V41" s="22"/>
      <c r="W41" s="2"/>
      <c r="X41" s="2">
        <f t="shared" si="2"/>
        <v>19</v>
      </c>
      <c r="Y41" s="2"/>
      <c r="Z41" s="22">
        <f t="shared" si="3"/>
        <v>0</v>
      </c>
    </row>
    <row r="42" spans="1:26" s="24" customFormat="1" hidden="1" outlineLevel="1" x14ac:dyDescent="0.25">
      <c r="A42" s="50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0</f>
        <v>0</v>
      </c>
      <c r="E42" s="2"/>
      <c r="F42" s="22"/>
      <c r="G42" s="2"/>
      <c r="H42" s="2">
        <f>--19.98</f>
        <v>19.98</v>
      </c>
      <c r="I42" s="2"/>
      <c r="J42" s="22"/>
      <c r="K42" s="2"/>
      <c r="L42" s="2">
        <f t="shared" si="0"/>
        <v>-19.98</v>
      </c>
      <c r="M42" s="2"/>
      <c r="N42" s="22">
        <f t="shared" si="1"/>
        <v>-1</v>
      </c>
      <c r="O42" s="11"/>
      <c r="P42" s="2">
        <f>0</f>
        <v>0</v>
      </c>
      <c r="Q42" s="2"/>
      <c r="R42" s="22"/>
      <c r="S42" s="2"/>
      <c r="T42" s="2">
        <f>--19.98</f>
        <v>19.98</v>
      </c>
      <c r="U42" s="2"/>
      <c r="V42" s="22"/>
      <c r="W42" s="2"/>
      <c r="X42" s="2">
        <f t="shared" si="2"/>
        <v>-19.98</v>
      </c>
      <c r="Y42" s="2"/>
      <c r="Z42" s="22">
        <f t="shared" si="3"/>
        <v>-1</v>
      </c>
    </row>
    <row r="43" spans="1:26" s="24" customFormat="1" hidden="1" outlineLevel="1" x14ac:dyDescent="0.25">
      <c r="A43" s="50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>--14.99</f>
        <v>14.99</v>
      </c>
      <c r="E43" s="2"/>
      <c r="F43" s="22"/>
      <c r="G43" s="2"/>
      <c r="H43" s="2">
        <f>--24.98</f>
        <v>24.98</v>
      </c>
      <c r="I43" s="2"/>
      <c r="J43" s="22"/>
      <c r="K43" s="2"/>
      <c r="L43" s="2">
        <f t="shared" si="0"/>
        <v>-9.99</v>
      </c>
      <c r="M43" s="2"/>
      <c r="N43" s="22">
        <f t="shared" si="1"/>
        <v>-0.39991993594875902</v>
      </c>
      <c r="O43" s="11"/>
      <c r="P43" s="2">
        <f>--14.99</f>
        <v>14.99</v>
      </c>
      <c r="Q43" s="2"/>
      <c r="R43" s="22"/>
      <c r="S43" s="2"/>
      <c r="T43" s="2">
        <f>--24.98</f>
        <v>24.98</v>
      </c>
      <c r="U43" s="2"/>
      <c r="V43" s="22"/>
      <c r="W43" s="2"/>
      <c r="X43" s="2">
        <f t="shared" si="2"/>
        <v>-9.99</v>
      </c>
      <c r="Y43" s="2"/>
      <c r="Z43" s="22">
        <f t="shared" si="3"/>
        <v>-0.39991993594875902</v>
      </c>
    </row>
    <row r="44" spans="1:26" s="24" customFormat="1" hidden="1" outlineLevel="1" x14ac:dyDescent="0.25">
      <c r="A44" s="50"/>
      <c r="B44" s="11" t="str">
        <f>CONCATENATE("          ", "4092", " - ", "TAXABLE SALES-GRAD MERCH")</f>
        <v xml:space="preserve">          4092 - TAXABLE SALES-GRAD MERCH</v>
      </c>
      <c r="C44" s="11"/>
      <c r="D44" s="2">
        <f>--2128.63</f>
        <v>2128.63</v>
      </c>
      <c r="E44" s="2"/>
      <c r="F44" s="22"/>
      <c r="G44" s="2"/>
      <c r="H44" s="2">
        <f>--3338.5</f>
        <v>3338.5</v>
      </c>
      <c r="I44" s="2"/>
      <c r="J44" s="22"/>
      <c r="K44" s="2"/>
      <c r="L44" s="2">
        <f t="shared" si="0"/>
        <v>-1209.8699999999999</v>
      </c>
      <c r="M44" s="2"/>
      <c r="N44" s="22">
        <f t="shared" si="1"/>
        <v>-0.36239928111427283</v>
      </c>
      <c r="O44" s="11"/>
      <c r="P44" s="2">
        <f>--2128.63</f>
        <v>2128.63</v>
      </c>
      <c r="Q44" s="2"/>
      <c r="R44" s="22"/>
      <c r="S44" s="2"/>
      <c r="T44" s="2">
        <f>--3338.5</f>
        <v>3338.5</v>
      </c>
      <c r="U44" s="2"/>
      <c r="V44" s="22"/>
      <c r="W44" s="2"/>
      <c r="X44" s="2">
        <f t="shared" si="2"/>
        <v>-1209.8699999999999</v>
      </c>
      <c r="Y44" s="2"/>
      <c r="Z44" s="22">
        <f t="shared" si="3"/>
        <v>-0.36239928111427283</v>
      </c>
    </row>
    <row r="45" spans="1:26" s="24" customFormat="1" hidden="1" outlineLevel="1" x14ac:dyDescent="0.25">
      <c r="A45" s="50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>--46.53</f>
        <v>46.53</v>
      </c>
      <c r="E45" s="2"/>
      <c r="F45" s="22"/>
      <c r="G45" s="2"/>
      <c r="H45" s="2">
        <f>--187.11</f>
        <v>187.11</v>
      </c>
      <c r="I45" s="2"/>
      <c r="J45" s="22"/>
      <c r="K45" s="2"/>
      <c r="L45" s="2">
        <f t="shared" si="0"/>
        <v>-140.58000000000001</v>
      </c>
      <c r="M45" s="2"/>
      <c r="N45" s="22">
        <f t="shared" si="1"/>
        <v>-0.75132275132275128</v>
      </c>
      <c r="O45" s="11"/>
      <c r="P45" s="2">
        <f>--46.53</f>
        <v>46.53</v>
      </c>
      <c r="Q45" s="2"/>
      <c r="R45" s="22"/>
      <c r="S45" s="2"/>
      <c r="T45" s="2">
        <f>--187.11</f>
        <v>187.11</v>
      </c>
      <c r="U45" s="2"/>
      <c r="V45" s="22"/>
      <c r="W45" s="2"/>
      <c r="X45" s="2">
        <f t="shared" si="2"/>
        <v>-140.58000000000001</v>
      </c>
      <c r="Y45" s="2"/>
      <c r="Z45" s="22">
        <f t="shared" si="3"/>
        <v>-0.75132275132275128</v>
      </c>
    </row>
    <row r="46" spans="1:26" s="24" customFormat="1" hidden="1" outlineLevel="1" x14ac:dyDescent="0.25">
      <c r="A46" s="50"/>
      <c r="B46" s="11" t="str">
        <f>CONCATENATE("          ", "4100", " - ", "NON-TAXABLE SALES")</f>
        <v xml:space="preserve">          4100 - NON-TAXABLE SALES</v>
      </c>
      <c r="C46" s="11"/>
      <c r="D46" s="2">
        <f>--4262.2</f>
        <v>4262.2</v>
      </c>
      <c r="E46" s="2"/>
      <c r="F46" s="22"/>
      <c r="G46" s="2"/>
      <c r="H46" s="2">
        <f>--10860.85</f>
        <v>10860.85</v>
      </c>
      <c r="I46" s="2"/>
      <c r="J46" s="22"/>
      <c r="K46" s="2"/>
      <c r="L46" s="2">
        <f t="shared" si="0"/>
        <v>-6598.6500000000005</v>
      </c>
      <c r="M46" s="2"/>
      <c r="N46" s="22">
        <f t="shared" si="1"/>
        <v>-0.60756294396847399</v>
      </c>
      <c r="O46" s="11"/>
      <c r="P46" s="2">
        <f>--4262.2</f>
        <v>4262.2</v>
      </c>
      <c r="Q46" s="2"/>
      <c r="R46" s="22"/>
      <c r="S46" s="2"/>
      <c r="T46" s="2">
        <f>--10860.85</f>
        <v>10860.85</v>
      </c>
      <c r="U46" s="2"/>
      <c r="V46" s="22"/>
      <c r="W46" s="2"/>
      <c r="X46" s="2">
        <f t="shared" si="2"/>
        <v>-6598.6500000000005</v>
      </c>
      <c r="Y46" s="2"/>
      <c r="Z46" s="22">
        <f t="shared" si="3"/>
        <v>-0.60756294396847399</v>
      </c>
    </row>
    <row r="47" spans="1:26" s="24" customFormat="1" hidden="1" outlineLevel="1" x14ac:dyDescent="0.25">
      <c r="A47" s="50"/>
      <c r="B47" s="11" t="str">
        <f>CONCATENATE("          ", "4101", " - ", "NON-TAXABLE SALES-NEW TEXT")</f>
        <v xml:space="preserve">          4101 - NON-TAXABLE SALES-NEW TEXT</v>
      </c>
      <c r="C47" s="11"/>
      <c r="D47" s="2">
        <f>--7736.58</f>
        <v>7736.58</v>
      </c>
      <c r="E47" s="2"/>
      <c r="F47" s="22"/>
      <c r="G47" s="2"/>
      <c r="H47" s="2">
        <f>--16833.23</f>
        <v>16833.23</v>
      </c>
      <c r="I47" s="2"/>
      <c r="J47" s="22"/>
      <c r="K47" s="2"/>
      <c r="L47" s="2">
        <f t="shared" si="0"/>
        <v>-9096.65</v>
      </c>
      <c r="M47" s="2"/>
      <c r="N47" s="22">
        <f t="shared" si="1"/>
        <v>-0.5403983668018556</v>
      </c>
      <c r="O47" s="11"/>
      <c r="P47" s="2">
        <f>--7736.58</f>
        <v>7736.58</v>
      </c>
      <c r="Q47" s="2"/>
      <c r="R47" s="22"/>
      <c r="S47" s="2"/>
      <c r="T47" s="2">
        <f>--16833.23</f>
        <v>16833.23</v>
      </c>
      <c r="U47" s="2"/>
      <c r="V47" s="22"/>
      <c r="W47" s="2"/>
      <c r="X47" s="2">
        <f t="shared" si="2"/>
        <v>-9096.65</v>
      </c>
      <c r="Y47" s="2"/>
      <c r="Z47" s="22">
        <f t="shared" si="3"/>
        <v>-0.5403983668018556</v>
      </c>
    </row>
    <row r="48" spans="1:26" s="24" customFormat="1" hidden="1" outlineLevel="1" x14ac:dyDescent="0.25">
      <c r="A48" s="50"/>
      <c r="B48" s="11" t="str">
        <f>CONCATENATE("          ", "4102", " - ", "NON-TAXABLE SALES-USED TEXT")</f>
        <v xml:space="preserve">          4102 - NON-TAXABLE SALES-USED TEXT</v>
      </c>
      <c r="C48" s="11"/>
      <c r="D48" s="2">
        <f>--5359.24</f>
        <v>5359.24</v>
      </c>
      <c r="E48" s="2"/>
      <c r="F48" s="22"/>
      <c r="G48" s="2"/>
      <c r="H48" s="2">
        <f>--2616.94</f>
        <v>2616.94</v>
      </c>
      <c r="I48" s="2"/>
      <c r="J48" s="22"/>
      <c r="K48" s="2"/>
      <c r="L48" s="2">
        <f t="shared" si="0"/>
        <v>2742.2999999999997</v>
      </c>
      <c r="M48" s="2"/>
      <c r="N48" s="22">
        <f t="shared" si="1"/>
        <v>1.0479032763456555</v>
      </c>
      <c r="O48" s="11"/>
      <c r="P48" s="2">
        <f>--5359.24</f>
        <v>5359.24</v>
      </c>
      <c r="Q48" s="2"/>
      <c r="R48" s="22"/>
      <c r="S48" s="2"/>
      <c r="T48" s="2">
        <f>--2616.94</f>
        <v>2616.94</v>
      </c>
      <c r="U48" s="2"/>
      <c r="V48" s="22"/>
      <c r="W48" s="2"/>
      <c r="X48" s="2">
        <f t="shared" si="2"/>
        <v>2742.2999999999997</v>
      </c>
      <c r="Y48" s="2"/>
      <c r="Z48" s="22">
        <f t="shared" si="3"/>
        <v>1.0479032763456555</v>
      </c>
    </row>
    <row r="49" spans="1:26" s="24" customFormat="1" hidden="1" outlineLevel="1" x14ac:dyDescent="0.25">
      <c r="A49" s="50"/>
      <c r="B49" s="11" t="str">
        <f>CONCATENATE("          ", "4104", " - ", "NON-TAXABLE SALES-DIGITAL TEXT")</f>
        <v xml:space="preserve">          4104 - NON-TAXABLE SALES-DIGITAL TEXT</v>
      </c>
      <c r="C49" s="11"/>
      <c r="D49" s="2">
        <f>--13424.17</f>
        <v>13424.17</v>
      </c>
      <c r="E49" s="2"/>
      <c r="F49" s="22"/>
      <c r="G49" s="2"/>
      <c r="H49" s="2">
        <f>--7347.66</f>
        <v>7347.66</v>
      </c>
      <c r="I49" s="2"/>
      <c r="J49" s="22"/>
      <c r="K49" s="2"/>
      <c r="L49" s="2">
        <f t="shared" si="0"/>
        <v>6076.51</v>
      </c>
      <c r="M49" s="2"/>
      <c r="N49" s="22">
        <f t="shared" si="1"/>
        <v>0.82699934400884101</v>
      </c>
      <c r="O49" s="11"/>
      <c r="P49" s="2">
        <f>--13424.17</f>
        <v>13424.17</v>
      </c>
      <c r="Q49" s="2"/>
      <c r="R49" s="22"/>
      <c r="S49" s="2"/>
      <c r="T49" s="2">
        <f>--7347.66</f>
        <v>7347.66</v>
      </c>
      <c r="U49" s="2"/>
      <c r="V49" s="22"/>
      <c r="W49" s="2"/>
      <c r="X49" s="2">
        <f t="shared" si="2"/>
        <v>6076.51</v>
      </c>
      <c r="Y49" s="2"/>
      <c r="Z49" s="22">
        <f t="shared" si="3"/>
        <v>0.82699934400884101</v>
      </c>
    </row>
    <row r="50" spans="1:26" s="24" customFormat="1" hidden="1" outlineLevel="1" x14ac:dyDescent="0.25">
      <c r="A50" s="50"/>
      <c r="B50" s="11" t="str">
        <f>CONCATENATE("          ", "4111", " - ", "NON-TAXABLE SALES-NO VALUE TEX")</f>
        <v xml:space="preserve">          4111 - NON-TAXABLE SALES-NO VALUE TEX</v>
      </c>
      <c r="C50" s="11"/>
      <c r="D50" s="2">
        <f>--2680.95</f>
        <v>2680.95</v>
      </c>
      <c r="E50" s="2"/>
      <c r="F50" s="22"/>
      <c r="G50" s="2"/>
      <c r="H50" s="2">
        <f>--2828.58</f>
        <v>2828.58</v>
      </c>
      <c r="I50" s="2"/>
      <c r="J50" s="22"/>
      <c r="K50" s="2"/>
      <c r="L50" s="2">
        <f t="shared" si="0"/>
        <v>-147.63000000000011</v>
      </c>
      <c r="M50" s="2"/>
      <c r="N50" s="22">
        <f t="shared" si="1"/>
        <v>-5.2192266084042212E-2</v>
      </c>
      <c r="O50" s="11"/>
      <c r="P50" s="2">
        <f>--2680.95</f>
        <v>2680.95</v>
      </c>
      <c r="Q50" s="2"/>
      <c r="R50" s="22"/>
      <c r="S50" s="2"/>
      <c r="T50" s="2">
        <f>--2828.58</f>
        <v>2828.58</v>
      </c>
      <c r="U50" s="2"/>
      <c r="V50" s="22"/>
      <c r="W50" s="2"/>
      <c r="X50" s="2">
        <f t="shared" si="2"/>
        <v>-147.63000000000011</v>
      </c>
      <c r="Y50" s="2"/>
      <c r="Z50" s="22">
        <f t="shared" si="3"/>
        <v>-5.2192266084042212E-2</v>
      </c>
    </row>
    <row r="51" spans="1:26" s="24" customFormat="1" hidden="1" outlineLevel="1" x14ac:dyDescent="0.25">
      <c r="A51" s="50"/>
      <c r="B51" s="11" t="str">
        <f>CONCATENATE("          ", "4113", " - ", "NON-TAXABLE SALES-TRADE BOOKS")</f>
        <v xml:space="preserve">          4113 - NON-TAXABLE SALES-TRADE BOOKS</v>
      </c>
      <c r="C51" s="11"/>
      <c r="D51" s="2">
        <f>--1134</f>
        <v>1134</v>
      </c>
      <c r="E51" s="2"/>
      <c r="F51" s="22"/>
      <c r="G51" s="2"/>
      <c r="H51" s="2">
        <f>--7.06</f>
        <v>7.06</v>
      </c>
      <c r="I51" s="2"/>
      <c r="J51" s="22"/>
      <c r="K51" s="2"/>
      <c r="L51" s="2">
        <f t="shared" si="0"/>
        <v>1126.94</v>
      </c>
      <c r="M51" s="2"/>
      <c r="N51" s="22">
        <f t="shared" si="1"/>
        <v>159.62322946175638</v>
      </c>
      <c r="O51" s="11"/>
      <c r="P51" s="2">
        <f>--1134</f>
        <v>1134</v>
      </c>
      <c r="Q51" s="2"/>
      <c r="R51" s="22"/>
      <c r="S51" s="2"/>
      <c r="T51" s="2">
        <f>--7.06</f>
        <v>7.06</v>
      </c>
      <c r="U51" s="2"/>
      <c r="V51" s="22"/>
      <c r="W51" s="2"/>
      <c r="X51" s="2">
        <f t="shared" si="2"/>
        <v>1126.94</v>
      </c>
      <c r="Y51" s="2"/>
      <c r="Z51" s="22">
        <f t="shared" si="3"/>
        <v>159.62322946175638</v>
      </c>
    </row>
    <row r="52" spans="1:26" s="24" customFormat="1" hidden="1" outlineLevel="1" x14ac:dyDescent="0.25">
      <c r="A52" s="50"/>
      <c r="B52" s="11" t="str">
        <f>CONCATENATE("          ", "4118", " - ", "NON-TAXABLE SALES-STUDY GUIDES")</f>
        <v xml:space="preserve">          4118 - NON-TAXABLE SALES-STUDY GUIDES</v>
      </c>
      <c r="C52" s="11"/>
      <c r="D52" s="2">
        <f>--6.95</f>
        <v>6.95</v>
      </c>
      <c r="E52" s="2"/>
      <c r="F52" s="22"/>
      <c r="G52" s="2"/>
      <c r="H52" s="2">
        <f>--35.93</f>
        <v>35.93</v>
      </c>
      <c r="I52" s="2"/>
      <c r="J52" s="22"/>
      <c r="K52" s="2"/>
      <c r="L52" s="2">
        <f t="shared" si="0"/>
        <v>-28.98</v>
      </c>
      <c r="M52" s="2"/>
      <c r="N52" s="22">
        <f t="shared" si="1"/>
        <v>-0.80656832730308936</v>
      </c>
      <c r="O52" s="11"/>
      <c r="P52" s="2">
        <f>--6.95</f>
        <v>6.95</v>
      </c>
      <c r="Q52" s="2"/>
      <c r="R52" s="22"/>
      <c r="S52" s="2"/>
      <c r="T52" s="2">
        <f>--35.93</f>
        <v>35.93</v>
      </c>
      <c r="U52" s="2"/>
      <c r="V52" s="22"/>
      <c r="W52" s="2"/>
      <c r="X52" s="2">
        <f t="shared" si="2"/>
        <v>-28.98</v>
      </c>
      <c r="Y52" s="2"/>
      <c r="Z52" s="22">
        <f t="shared" si="3"/>
        <v>-0.80656832730308936</v>
      </c>
    </row>
    <row r="53" spans="1:26" s="24" customFormat="1" hidden="1" outlineLevel="1" x14ac:dyDescent="0.25">
      <c r="A53" s="50"/>
      <c r="B53" s="11" t="str">
        <f>CONCATENATE("          ", "4125", " - ", "NON-TAXABLE SALES-TEST FORMS")</f>
        <v xml:space="preserve">          4125 - NON-TAXABLE SALES-TEST FORMS</v>
      </c>
      <c r="C53" s="11"/>
      <c r="D53" s="2">
        <f>--4.98</f>
        <v>4.9800000000000004</v>
      </c>
      <c r="E53" s="2"/>
      <c r="F53" s="22"/>
      <c r="G53" s="2"/>
      <c r="H53" s="2">
        <f>--6.12</f>
        <v>6.12</v>
      </c>
      <c r="I53" s="2"/>
      <c r="J53" s="22"/>
      <c r="K53" s="2"/>
      <c r="L53" s="2">
        <f t="shared" si="0"/>
        <v>-1.1399999999999997</v>
      </c>
      <c r="M53" s="2"/>
      <c r="N53" s="22">
        <f t="shared" si="1"/>
        <v>-0.18627450980392152</v>
      </c>
      <c r="O53" s="11"/>
      <c r="P53" s="2">
        <f>--4.98</f>
        <v>4.9800000000000004</v>
      </c>
      <c r="Q53" s="2"/>
      <c r="R53" s="22"/>
      <c r="S53" s="2"/>
      <c r="T53" s="2">
        <f>--6.12</f>
        <v>6.12</v>
      </c>
      <c r="U53" s="2"/>
      <c r="V53" s="22"/>
      <c r="W53" s="2"/>
      <c r="X53" s="2">
        <f t="shared" si="2"/>
        <v>-1.1399999999999997</v>
      </c>
      <c r="Y53" s="2"/>
      <c r="Z53" s="22">
        <f t="shared" si="3"/>
        <v>-0.18627450980392152</v>
      </c>
    </row>
    <row r="54" spans="1:26" s="24" customFormat="1" hidden="1" outlineLevel="1" x14ac:dyDescent="0.25">
      <c r="A54" s="50"/>
      <c r="B54" s="11" t="str">
        <f>CONCATENATE("          ", "4126", " - ", "NON-TAXABLE SALES-WRITING INST")</f>
        <v xml:space="preserve">          4126 - NON-TAXABLE SALES-WRITING INST</v>
      </c>
      <c r="C54" s="11"/>
      <c r="D54" s="2">
        <f>--167.03</f>
        <v>167.03</v>
      </c>
      <c r="E54" s="2"/>
      <c r="F54" s="22"/>
      <c r="G54" s="2"/>
      <c r="H54" s="2">
        <f>--264.9</f>
        <v>264.89999999999998</v>
      </c>
      <c r="I54" s="2"/>
      <c r="J54" s="22"/>
      <c r="K54" s="2"/>
      <c r="L54" s="2">
        <f t="shared" si="0"/>
        <v>-97.869999999999976</v>
      </c>
      <c r="M54" s="2"/>
      <c r="N54" s="22">
        <f t="shared" si="1"/>
        <v>-0.36946017365043404</v>
      </c>
      <c r="O54" s="11"/>
      <c r="P54" s="2">
        <f>--167.03</f>
        <v>167.03</v>
      </c>
      <c r="Q54" s="2"/>
      <c r="R54" s="22"/>
      <c r="S54" s="2"/>
      <c r="T54" s="2">
        <f>--264.9</f>
        <v>264.89999999999998</v>
      </c>
      <c r="U54" s="2"/>
      <c r="V54" s="22"/>
      <c r="W54" s="2"/>
      <c r="X54" s="2">
        <f t="shared" si="2"/>
        <v>-97.869999999999976</v>
      </c>
      <c r="Y54" s="2"/>
      <c r="Z54" s="22">
        <f t="shared" si="3"/>
        <v>-0.36946017365043404</v>
      </c>
    </row>
    <row r="55" spans="1:26" s="24" customFormat="1" hidden="1" outlineLevel="1" x14ac:dyDescent="0.25">
      <c r="A55" s="50"/>
      <c r="B55" s="11" t="str">
        <f>CONCATENATE("          ", "4127", " - ", "NON-TAXABLE SALES-SCHOOL SUPPL")</f>
        <v xml:space="preserve">          4127 - NON-TAXABLE SALES-SCHOOL SUPPL</v>
      </c>
      <c r="C55" s="11"/>
      <c r="D55" s="2">
        <f>--177.89</f>
        <v>177.89</v>
      </c>
      <c r="E55" s="2"/>
      <c r="F55" s="22"/>
      <c r="G55" s="2"/>
      <c r="H55" s="2">
        <f>--135.16</f>
        <v>135.16</v>
      </c>
      <c r="I55" s="2"/>
      <c r="J55" s="22"/>
      <c r="K55" s="2"/>
      <c r="L55" s="2">
        <f t="shared" si="0"/>
        <v>42.72999999999999</v>
      </c>
      <c r="M55" s="2"/>
      <c r="N55" s="22">
        <f t="shared" si="1"/>
        <v>0.31614382953536541</v>
      </c>
      <c r="O55" s="11"/>
      <c r="P55" s="2">
        <f>--177.89</f>
        <v>177.89</v>
      </c>
      <c r="Q55" s="2"/>
      <c r="R55" s="22"/>
      <c r="S55" s="2"/>
      <c r="T55" s="2">
        <f>--135.16</f>
        <v>135.16</v>
      </c>
      <c r="U55" s="2"/>
      <c r="V55" s="22"/>
      <c r="W55" s="2"/>
      <c r="X55" s="2">
        <f t="shared" si="2"/>
        <v>42.72999999999999</v>
      </c>
      <c r="Y55" s="2"/>
      <c r="Z55" s="22">
        <f t="shared" si="3"/>
        <v>0.31614382953536541</v>
      </c>
    </row>
    <row r="56" spans="1:26" s="24" customFormat="1" hidden="1" outlineLevel="1" x14ac:dyDescent="0.25">
      <c r="A56" s="50"/>
      <c r="B56" s="11" t="str">
        <f>CONCATENATE("          ", "4128", " - ", "NON-TAXABLE SALES-ART/TECH")</f>
        <v xml:space="preserve">          4128 - NON-TAXABLE SALES-ART/TECH</v>
      </c>
      <c r="C56" s="11"/>
      <c r="D56" s="2">
        <f>--1.49</f>
        <v>1.49</v>
      </c>
      <c r="E56" s="2"/>
      <c r="F56" s="22"/>
      <c r="G56" s="2"/>
      <c r="H56" s="2">
        <f>--30.69</f>
        <v>30.69</v>
      </c>
      <c r="I56" s="2"/>
      <c r="J56" s="22"/>
      <c r="K56" s="2"/>
      <c r="L56" s="2">
        <f t="shared" si="0"/>
        <v>-29.200000000000003</v>
      </c>
      <c r="M56" s="2"/>
      <c r="N56" s="22">
        <f t="shared" si="1"/>
        <v>-0.95144998370804823</v>
      </c>
      <c r="O56" s="11"/>
      <c r="P56" s="2">
        <f>--1.49</f>
        <v>1.49</v>
      </c>
      <c r="Q56" s="2"/>
      <c r="R56" s="22"/>
      <c r="S56" s="2"/>
      <c r="T56" s="2">
        <f>--30.69</f>
        <v>30.69</v>
      </c>
      <c r="U56" s="2"/>
      <c r="V56" s="22"/>
      <c r="W56" s="2"/>
      <c r="X56" s="2">
        <f t="shared" si="2"/>
        <v>-29.200000000000003</v>
      </c>
      <c r="Y56" s="2"/>
      <c r="Z56" s="22">
        <f t="shared" si="3"/>
        <v>-0.95144998370804823</v>
      </c>
    </row>
    <row r="57" spans="1:26" s="24" customFormat="1" hidden="1" outlineLevel="1" x14ac:dyDescent="0.25">
      <c r="A57" s="50"/>
      <c r="B57" s="11" t="str">
        <f>CONCATENATE("          ", "4131", " - ", "NON-TAXABLE SALES-FOOD")</f>
        <v xml:space="preserve">          4131 - NON-TAXABLE SALES-FOOD</v>
      </c>
      <c r="C57" s="11"/>
      <c r="D57" s="2">
        <f>--269.62</f>
        <v>269.62</v>
      </c>
      <c r="E57" s="2"/>
      <c r="F57" s="22"/>
      <c r="G57" s="2"/>
      <c r="H57" s="2">
        <f>--329.56</f>
        <v>329.56</v>
      </c>
      <c r="I57" s="2"/>
      <c r="J57" s="22"/>
      <c r="K57" s="2"/>
      <c r="L57" s="2">
        <f t="shared" si="0"/>
        <v>-59.94</v>
      </c>
      <c r="M57" s="2"/>
      <c r="N57" s="22">
        <f t="shared" si="1"/>
        <v>-0.18187886879475665</v>
      </c>
      <c r="O57" s="11"/>
      <c r="P57" s="2">
        <f>--269.62</f>
        <v>269.62</v>
      </c>
      <c r="Q57" s="2"/>
      <c r="R57" s="22"/>
      <c r="S57" s="2"/>
      <c r="T57" s="2">
        <f>--329.56</f>
        <v>329.56</v>
      </c>
      <c r="U57" s="2"/>
      <c r="V57" s="22"/>
      <c r="W57" s="2"/>
      <c r="X57" s="2">
        <f t="shared" si="2"/>
        <v>-59.94</v>
      </c>
      <c r="Y57" s="2"/>
      <c r="Z57" s="22">
        <f t="shared" si="3"/>
        <v>-0.18187886879475665</v>
      </c>
    </row>
    <row r="58" spans="1:26" s="24" customFormat="1" hidden="1" outlineLevel="1" x14ac:dyDescent="0.25">
      <c r="A58" s="50"/>
      <c r="B58" s="11" t="str">
        <f>CONCATENATE("          ", "4132", " - ", "NON-TAXABLE SALES-JUICE")</f>
        <v xml:space="preserve">          4132 - NON-TAXABLE SALES-JUICE</v>
      </c>
      <c r="C58" s="11"/>
      <c r="D58" s="2">
        <f>--32132.94</f>
        <v>32132.94</v>
      </c>
      <c r="E58" s="2"/>
      <c r="F58" s="22"/>
      <c r="G58" s="2"/>
      <c r="H58" s="2">
        <f>--29105.59</f>
        <v>29105.59</v>
      </c>
      <c r="I58" s="2"/>
      <c r="J58" s="22"/>
      <c r="K58" s="2"/>
      <c r="L58" s="2">
        <f t="shared" si="0"/>
        <v>3027.3499999999985</v>
      </c>
      <c r="M58" s="2"/>
      <c r="N58" s="22">
        <f t="shared" si="1"/>
        <v>0.1040126656082216</v>
      </c>
      <c r="O58" s="11"/>
      <c r="P58" s="2">
        <f>--32132.94</f>
        <v>32132.94</v>
      </c>
      <c r="Q58" s="2"/>
      <c r="R58" s="22"/>
      <c r="S58" s="2"/>
      <c r="T58" s="2">
        <f>--29105.59</f>
        <v>29105.59</v>
      </c>
      <c r="U58" s="2"/>
      <c r="V58" s="22"/>
      <c r="W58" s="2"/>
      <c r="X58" s="2">
        <f t="shared" si="2"/>
        <v>3027.3499999999985</v>
      </c>
      <c r="Y58" s="2"/>
      <c r="Z58" s="22">
        <f t="shared" si="3"/>
        <v>0.1040126656082216</v>
      </c>
    </row>
    <row r="59" spans="1:26" s="24" customFormat="1" hidden="1" outlineLevel="1" x14ac:dyDescent="0.25">
      <c r="A59" s="50"/>
      <c r="B59" s="11" t="str">
        <f>CONCATENATE("          ", "4133", " - ", "NON-TAXABLE SALES-CANDY")</f>
        <v xml:space="preserve">          4133 - NON-TAXABLE SALES-CANDY</v>
      </c>
      <c r="C59" s="11"/>
      <c r="D59" s="2">
        <f>--472.22</f>
        <v>472.22</v>
      </c>
      <c r="E59" s="2"/>
      <c r="F59" s="22"/>
      <c r="G59" s="2"/>
      <c r="H59" s="2">
        <f>--368.55</f>
        <v>368.55</v>
      </c>
      <c r="I59" s="2"/>
      <c r="J59" s="22"/>
      <c r="K59" s="2"/>
      <c r="L59" s="2">
        <f t="shared" si="0"/>
        <v>103.67000000000002</v>
      </c>
      <c r="M59" s="2"/>
      <c r="N59" s="22">
        <f t="shared" si="1"/>
        <v>0.28129154795821465</v>
      </c>
      <c r="O59" s="11"/>
      <c r="P59" s="2">
        <f>--472.22</f>
        <v>472.22</v>
      </c>
      <c r="Q59" s="2"/>
      <c r="R59" s="22"/>
      <c r="S59" s="2"/>
      <c r="T59" s="2">
        <f>--368.55</f>
        <v>368.55</v>
      </c>
      <c r="U59" s="2"/>
      <c r="V59" s="22"/>
      <c r="W59" s="2"/>
      <c r="X59" s="2">
        <f t="shared" si="2"/>
        <v>103.67000000000002</v>
      </c>
      <c r="Y59" s="2"/>
      <c r="Z59" s="22">
        <f t="shared" si="3"/>
        <v>0.28129154795821465</v>
      </c>
    </row>
    <row r="60" spans="1:26" s="24" customFormat="1" hidden="1" outlineLevel="1" x14ac:dyDescent="0.25">
      <c r="A60" s="50"/>
      <c r="B60" s="11" t="str">
        <f>CONCATENATE("          ", "4134", " - ", "NON-TAXABLE SALES-SODA")</f>
        <v xml:space="preserve">          4134 - NON-TAXABLE SALES-SODA</v>
      </c>
      <c r="C60" s="11"/>
      <c r="D60" s="2">
        <f>-3.39</f>
        <v>-3.39</v>
      </c>
      <c r="E60" s="2"/>
      <c r="F60" s="22"/>
      <c r="G60" s="2"/>
      <c r="H60" s="2">
        <f>--22.75</f>
        <v>22.75</v>
      </c>
      <c r="I60" s="2"/>
      <c r="J60" s="22"/>
      <c r="K60" s="2"/>
      <c r="L60" s="2">
        <f t="shared" si="0"/>
        <v>-26.14</v>
      </c>
      <c r="M60" s="2"/>
      <c r="N60" s="22">
        <f t="shared" si="1"/>
        <v>-1.149010989010989</v>
      </c>
      <c r="O60" s="11"/>
      <c r="P60" s="2">
        <f>-3.39</f>
        <v>-3.39</v>
      </c>
      <c r="Q60" s="2"/>
      <c r="R60" s="22"/>
      <c r="S60" s="2"/>
      <c r="T60" s="2">
        <f>--22.75</f>
        <v>22.75</v>
      </c>
      <c r="U60" s="2"/>
      <c r="V60" s="22"/>
      <c r="W60" s="2"/>
      <c r="X60" s="2">
        <f t="shared" si="2"/>
        <v>-26.14</v>
      </c>
      <c r="Y60" s="2"/>
      <c r="Z60" s="22">
        <f t="shared" si="3"/>
        <v>-1.149010989010989</v>
      </c>
    </row>
    <row r="61" spans="1:26" s="24" customFormat="1" hidden="1" outlineLevel="1" x14ac:dyDescent="0.25">
      <c r="A61" s="50"/>
      <c r="B61" s="11" t="str">
        <f>CONCATENATE("          ", "4135", " - ", "NON-TAXABLE SALES")</f>
        <v xml:space="preserve">          4135 - NON-TAXABLE SALES</v>
      </c>
      <c r="C61" s="11"/>
      <c r="D61" s="2">
        <f>--21.54</f>
        <v>21.54</v>
      </c>
      <c r="E61" s="2"/>
      <c r="F61" s="22"/>
      <c r="G61" s="2"/>
      <c r="H61" s="2">
        <f>--7.18</f>
        <v>7.18</v>
      </c>
      <c r="I61" s="2"/>
      <c r="J61" s="22"/>
      <c r="K61" s="2"/>
      <c r="L61" s="2">
        <f t="shared" si="0"/>
        <v>14.36</v>
      </c>
      <c r="M61" s="2"/>
      <c r="N61" s="22">
        <f t="shared" si="1"/>
        <v>2</v>
      </c>
      <c r="O61" s="11"/>
      <c r="P61" s="2">
        <f>--21.54</f>
        <v>21.54</v>
      </c>
      <c r="Q61" s="2"/>
      <c r="R61" s="22"/>
      <c r="S61" s="2"/>
      <c r="T61" s="2">
        <f>--7.18</f>
        <v>7.18</v>
      </c>
      <c r="U61" s="2"/>
      <c r="V61" s="22"/>
      <c r="W61" s="2"/>
      <c r="X61" s="2">
        <f t="shared" si="2"/>
        <v>14.36</v>
      </c>
      <c r="Y61" s="2"/>
      <c r="Z61" s="22">
        <f t="shared" si="3"/>
        <v>2</v>
      </c>
    </row>
    <row r="62" spans="1:26" s="24" customFormat="1" hidden="1" outlineLevel="1" x14ac:dyDescent="0.25">
      <c r="A62" s="50"/>
      <c r="B62" s="11" t="str">
        <f>CONCATENATE("          ", "4137", " - ", "NON-TAXABLE SALES-WATER")</f>
        <v xml:space="preserve">          4137 - NON-TAXABLE SALES-WATER</v>
      </c>
      <c r="C62" s="11"/>
      <c r="D62" s="2">
        <f>--263.52</f>
        <v>263.52</v>
      </c>
      <c r="E62" s="2"/>
      <c r="F62" s="22"/>
      <c r="G62" s="2"/>
      <c r="H62" s="2">
        <f>--245.06</f>
        <v>245.06</v>
      </c>
      <c r="I62" s="2"/>
      <c r="J62" s="22"/>
      <c r="K62" s="2"/>
      <c r="L62" s="2">
        <f t="shared" si="0"/>
        <v>18.45999999999998</v>
      </c>
      <c r="M62" s="2"/>
      <c r="N62" s="22">
        <f t="shared" si="1"/>
        <v>7.5328490981800292E-2</v>
      </c>
      <c r="O62" s="11"/>
      <c r="P62" s="2">
        <f>--263.52</f>
        <v>263.52</v>
      </c>
      <c r="Q62" s="2"/>
      <c r="R62" s="22"/>
      <c r="S62" s="2"/>
      <c r="T62" s="2">
        <f>--245.06</f>
        <v>245.06</v>
      </c>
      <c r="U62" s="2"/>
      <c r="V62" s="22"/>
      <c r="W62" s="2"/>
      <c r="X62" s="2">
        <f t="shared" si="2"/>
        <v>18.45999999999998</v>
      </c>
      <c r="Y62" s="2"/>
      <c r="Z62" s="22">
        <f t="shared" si="3"/>
        <v>7.5328490981800292E-2</v>
      </c>
    </row>
    <row r="63" spans="1:26" s="24" customFormat="1" hidden="1" outlineLevel="1" x14ac:dyDescent="0.25">
      <c r="A63" s="50"/>
      <c r="B63" s="11" t="str">
        <f>CONCATENATE("          ", "4140", " - ", "NON-TAXABLE SALES-LOGO CLOTHIN")</f>
        <v xml:space="preserve">          4140 - NON-TAXABLE SALES-LOGO CLOTHIN</v>
      </c>
      <c r="C63" s="11"/>
      <c r="D63" s="2">
        <f>--3163.67</f>
        <v>3163.67</v>
      </c>
      <c r="E63" s="2"/>
      <c r="F63" s="22"/>
      <c r="G63" s="2"/>
      <c r="H63" s="2">
        <f>--1813.55</f>
        <v>1813.55</v>
      </c>
      <c r="I63" s="2"/>
      <c r="J63" s="22"/>
      <c r="K63" s="2"/>
      <c r="L63" s="2">
        <f t="shared" si="0"/>
        <v>1350.1200000000001</v>
      </c>
      <c r="M63" s="2"/>
      <c r="N63" s="22">
        <f t="shared" si="1"/>
        <v>0.74446251826528087</v>
      </c>
      <c r="O63" s="11"/>
      <c r="P63" s="2">
        <f>--3163.67</f>
        <v>3163.67</v>
      </c>
      <c r="Q63" s="2"/>
      <c r="R63" s="22"/>
      <c r="S63" s="2"/>
      <c r="T63" s="2">
        <f>--1813.55</f>
        <v>1813.55</v>
      </c>
      <c r="U63" s="2"/>
      <c r="V63" s="22"/>
      <c r="W63" s="2"/>
      <c r="X63" s="2">
        <f t="shared" si="2"/>
        <v>1350.1200000000001</v>
      </c>
      <c r="Y63" s="2"/>
      <c r="Z63" s="22">
        <f t="shared" si="3"/>
        <v>0.74446251826528087</v>
      </c>
    </row>
    <row r="64" spans="1:26" s="24" customFormat="1" hidden="1" outlineLevel="1" x14ac:dyDescent="0.25">
      <c r="A64" s="50"/>
      <c r="B64" s="11" t="str">
        <f>CONCATENATE("          ", "4141", " - ", "NON-TAXABLE SALES-LOGO GIFTS")</f>
        <v xml:space="preserve">          4141 - NON-TAXABLE SALES-LOGO GIFTS</v>
      </c>
      <c r="C64" s="11"/>
      <c r="D64" s="2">
        <f>--262.15</f>
        <v>262.14999999999998</v>
      </c>
      <c r="E64" s="2"/>
      <c r="F64" s="22"/>
      <c r="G64" s="2"/>
      <c r="H64" s="2">
        <f>--193.6</f>
        <v>193.6</v>
      </c>
      <c r="I64" s="2"/>
      <c r="J64" s="22"/>
      <c r="K64" s="2"/>
      <c r="L64" s="2">
        <f t="shared" si="0"/>
        <v>68.549999999999983</v>
      </c>
      <c r="M64" s="2"/>
      <c r="N64" s="22">
        <f t="shared" si="1"/>
        <v>0.3540805785123966</v>
      </c>
      <c r="O64" s="11"/>
      <c r="P64" s="2">
        <f>--262.15</f>
        <v>262.14999999999998</v>
      </c>
      <c r="Q64" s="2"/>
      <c r="R64" s="22"/>
      <c r="S64" s="2"/>
      <c r="T64" s="2">
        <f>--193.6</f>
        <v>193.6</v>
      </c>
      <c r="U64" s="2"/>
      <c r="V64" s="22"/>
      <c r="W64" s="2"/>
      <c r="X64" s="2">
        <f t="shared" si="2"/>
        <v>68.549999999999983</v>
      </c>
      <c r="Y64" s="2"/>
      <c r="Z64" s="22">
        <f t="shared" si="3"/>
        <v>0.3540805785123966</v>
      </c>
    </row>
    <row r="65" spans="1:26" s="24" customFormat="1" hidden="1" outlineLevel="1" x14ac:dyDescent="0.25">
      <c r="A65" s="50"/>
      <c r="B65" s="11" t="str">
        <f>CONCATENATE("          ", "4142", " - ", "NON-TAXABLE SALES-EVERYDAY GIF")</f>
        <v xml:space="preserve">          4142 - NON-TAXABLE SALES-EVERYDAY GIF</v>
      </c>
      <c r="C65" s="11"/>
      <c r="D65" s="2">
        <f>--342.44</f>
        <v>342.44</v>
      </c>
      <c r="E65" s="2"/>
      <c r="F65" s="22"/>
      <c r="G65" s="2"/>
      <c r="H65" s="2">
        <f>--148.95</f>
        <v>148.94999999999999</v>
      </c>
      <c r="I65" s="2"/>
      <c r="J65" s="22"/>
      <c r="K65" s="2"/>
      <c r="L65" s="2">
        <f t="shared" si="0"/>
        <v>193.49</v>
      </c>
      <c r="M65" s="2"/>
      <c r="N65" s="22">
        <f t="shared" si="1"/>
        <v>1.2990265189660961</v>
      </c>
      <c r="O65" s="11"/>
      <c r="P65" s="2">
        <f>--342.44</f>
        <v>342.44</v>
      </c>
      <c r="Q65" s="2"/>
      <c r="R65" s="22"/>
      <c r="S65" s="2"/>
      <c r="T65" s="2">
        <f>--148.95</f>
        <v>148.94999999999999</v>
      </c>
      <c r="U65" s="2"/>
      <c r="V65" s="22"/>
      <c r="W65" s="2"/>
      <c r="X65" s="2">
        <f t="shared" si="2"/>
        <v>193.49</v>
      </c>
      <c r="Y65" s="2"/>
      <c r="Z65" s="22">
        <f t="shared" si="3"/>
        <v>1.2990265189660961</v>
      </c>
    </row>
    <row r="66" spans="1:26" s="24" customFormat="1" hidden="1" outlineLevel="1" x14ac:dyDescent="0.25">
      <c r="A66" s="50"/>
      <c r="B66" s="11" t="str">
        <f>CONCATENATE("          ", "4144", " - ", "NON-TAXABLE SALES-ACCESSORIES")</f>
        <v xml:space="preserve">          4144 - NON-TAXABLE SALES-ACCESSORIES</v>
      </c>
      <c r="C66" s="11"/>
      <c r="D66" s="2">
        <f>--21.9</f>
        <v>21.9</v>
      </c>
      <c r="E66" s="2"/>
      <c r="F66" s="22"/>
      <c r="G66" s="2"/>
      <c r="H66" s="2">
        <f>--44.95</f>
        <v>44.95</v>
      </c>
      <c r="I66" s="2"/>
      <c r="J66" s="22"/>
      <c r="K66" s="2"/>
      <c r="L66" s="2">
        <f t="shared" si="0"/>
        <v>-23.050000000000004</v>
      </c>
      <c r="M66" s="2"/>
      <c r="N66" s="22">
        <f t="shared" si="1"/>
        <v>-0.51279199110122364</v>
      </c>
      <c r="O66" s="11"/>
      <c r="P66" s="2">
        <f>--21.9</f>
        <v>21.9</v>
      </c>
      <c r="Q66" s="2"/>
      <c r="R66" s="22"/>
      <c r="S66" s="2"/>
      <c r="T66" s="2">
        <f>--44.95</f>
        <v>44.95</v>
      </c>
      <c r="U66" s="2"/>
      <c r="V66" s="22"/>
      <c r="W66" s="2"/>
      <c r="X66" s="2">
        <f t="shared" si="2"/>
        <v>-23.050000000000004</v>
      </c>
      <c r="Y66" s="2"/>
      <c r="Z66" s="22">
        <f t="shared" si="3"/>
        <v>-0.51279199110122364</v>
      </c>
    </row>
    <row r="67" spans="1:26" s="24" customFormat="1" hidden="1" outlineLevel="1" x14ac:dyDescent="0.25">
      <c r="A67" s="50"/>
      <c r="B67" s="11" t="str">
        <f>CONCATENATE("          ", "4145", " - ", "NON-TAXABLE SALES-SPECIAL ORDE")</f>
        <v xml:space="preserve">          4145 - NON-TAXABLE SALES-SPECIAL ORDE</v>
      </c>
      <c r="C67" s="11"/>
      <c r="D67" s="2">
        <f>0</f>
        <v>0</v>
      </c>
      <c r="E67" s="2"/>
      <c r="F67" s="22"/>
      <c r="G67" s="2"/>
      <c r="H67" s="2">
        <f>--59.85</f>
        <v>59.85</v>
      </c>
      <c r="I67" s="2"/>
      <c r="J67" s="22"/>
      <c r="K67" s="2"/>
      <c r="L67" s="2">
        <f t="shared" si="0"/>
        <v>-59.85</v>
      </c>
      <c r="M67" s="2"/>
      <c r="N67" s="22">
        <f t="shared" si="1"/>
        <v>-1</v>
      </c>
      <c r="O67" s="11"/>
      <c r="P67" s="2">
        <f>0</f>
        <v>0</v>
      </c>
      <c r="Q67" s="2"/>
      <c r="R67" s="22"/>
      <c r="S67" s="2"/>
      <c r="T67" s="2">
        <f>--59.85</f>
        <v>59.85</v>
      </c>
      <c r="U67" s="2"/>
      <c r="V67" s="22"/>
      <c r="W67" s="2"/>
      <c r="X67" s="2">
        <f t="shared" si="2"/>
        <v>-59.85</v>
      </c>
      <c r="Y67" s="2"/>
      <c r="Z67" s="22">
        <f t="shared" si="3"/>
        <v>-1</v>
      </c>
    </row>
    <row r="68" spans="1:26" s="24" customFormat="1" hidden="1" outlineLevel="1" x14ac:dyDescent="0.25">
      <c r="A68" s="50"/>
      <c r="B68" s="11" t="str">
        <f>CONCATENATE("          ", "4146", " - ", "NON-TAXABLE SALES-COIN OP MACH")</f>
        <v xml:space="preserve">          4146 - NON-TAXABLE SALES-COIN OP MACH</v>
      </c>
      <c r="C68" s="11"/>
      <c r="D68" s="2">
        <f>--2067.1</f>
        <v>2067.1</v>
      </c>
      <c r="E68" s="2"/>
      <c r="F68" s="22"/>
      <c r="G68" s="2"/>
      <c r="H68" s="2">
        <f>--2380.65</f>
        <v>2380.65</v>
      </c>
      <c r="I68" s="2"/>
      <c r="J68" s="22"/>
      <c r="K68" s="2"/>
      <c r="L68" s="2">
        <f t="shared" si="0"/>
        <v>-313.55000000000018</v>
      </c>
      <c r="M68" s="2"/>
      <c r="N68" s="22">
        <f t="shared" si="1"/>
        <v>-0.13170772688131399</v>
      </c>
      <c r="O68" s="11"/>
      <c r="P68" s="2">
        <f>--2067.1</f>
        <v>2067.1</v>
      </c>
      <c r="Q68" s="2"/>
      <c r="R68" s="22"/>
      <c r="S68" s="2"/>
      <c r="T68" s="2">
        <f>--2380.65</f>
        <v>2380.65</v>
      </c>
      <c r="U68" s="2"/>
      <c r="V68" s="22"/>
      <c r="W68" s="2"/>
      <c r="X68" s="2">
        <f t="shared" si="2"/>
        <v>-313.55000000000018</v>
      </c>
      <c r="Y68" s="2"/>
      <c r="Z68" s="22">
        <f t="shared" si="3"/>
        <v>-0.13170772688131399</v>
      </c>
    </row>
    <row r="69" spans="1:26" s="24" customFormat="1" hidden="1" outlineLevel="1" x14ac:dyDescent="0.25">
      <c r="A69" s="50"/>
      <c r="B69" s="11" t="str">
        <f>CONCATENATE("          ", "4147", " - ", "NON-TAXABLE SALES-MISC")</f>
        <v xml:space="preserve">          4147 - NON-TAXABLE SALES-MISC</v>
      </c>
      <c r="C69" s="11"/>
      <c r="D69" s="2">
        <f>--16.5</f>
        <v>16.5</v>
      </c>
      <c r="E69" s="2"/>
      <c r="F69" s="22"/>
      <c r="G69" s="2"/>
      <c r="H69" s="2">
        <f>--18</f>
        <v>18</v>
      </c>
      <c r="I69" s="2"/>
      <c r="J69" s="22"/>
      <c r="K69" s="2"/>
      <c r="L69" s="2">
        <f t="shared" si="0"/>
        <v>-1.5</v>
      </c>
      <c r="M69" s="2"/>
      <c r="N69" s="22">
        <f t="shared" si="1"/>
        <v>-8.3333333333333329E-2</v>
      </c>
      <c r="O69" s="11"/>
      <c r="P69" s="2">
        <f>--16.5</f>
        <v>16.5</v>
      </c>
      <c r="Q69" s="2"/>
      <c r="R69" s="22"/>
      <c r="S69" s="2"/>
      <c r="T69" s="2">
        <f>--18</f>
        <v>18</v>
      </c>
      <c r="U69" s="2"/>
      <c r="V69" s="22"/>
      <c r="W69" s="2"/>
      <c r="X69" s="2">
        <f t="shared" si="2"/>
        <v>-1.5</v>
      </c>
      <c r="Y69" s="2"/>
      <c r="Z69" s="22">
        <f t="shared" si="3"/>
        <v>-8.3333333333333329E-2</v>
      </c>
    </row>
    <row r="70" spans="1:26" s="24" customFormat="1" hidden="1" outlineLevel="1" x14ac:dyDescent="0.25">
      <c r="A70" s="50"/>
      <c r="B70" s="11" t="str">
        <f>CONCATENATE("          ", "4151", " - ", "NON-TAXABLE SALES-FOOD")</f>
        <v xml:space="preserve">          4151 - NON-TAXABLE SALES-FOOD</v>
      </c>
      <c r="C70" s="11"/>
      <c r="D70" s="2">
        <f>--15396.52</f>
        <v>15396.52</v>
      </c>
      <c r="E70" s="2"/>
      <c r="F70" s="22"/>
      <c r="G70" s="2"/>
      <c r="H70" s="2">
        <f>--17915.14</f>
        <v>17915.14</v>
      </c>
      <c r="I70" s="2"/>
      <c r="J70" s="22"/>
      <c r="K70" s="2"/>
      <c r="L70" s="2">
        <f t="shared" si="0"/>
        <v>-2518.619999999999</v>
      </c>
      <c r="M70" s="2"/>
      <c r="N70" s="22">
        <f t="shared" si="1"/>
        <v>-0.14058611877998156</v>
      </c>
      <c r="O70" s="11"/>
      <c r="P70" s="2">
        <f>--15396.52</f>
        <v>15396.52</v>
      </c>
      <c r="Q70" s="2"/>
      <c r="R70" s="22"/>
      <c r="S70" s="2"/>
      <c r="T70" s="2">
        <f>--17915.14</f>
        <v>17915.14</v>
      </c>
      <c r="U70" s="2"/>
      <c r="V70" s="22"/>
      <c r="W70" s="2"/>
      <c r="X70" s="2">
        <f t="shared" si="2"/>
        <v>-2518.619999999999</v>
      </c>
      <c r="Y70" s="2"/>
      <c r="Z70" s="22">
        <f t="shared" si="3"/>
        <v>-0.14058611877998156</v>
      </c>
    </row>
    <row r="71" spans="1:26" s="24" customFormat="1" hidden="1" outlineLevel="1" x14ac:dyDescent="0.25">
      <c r="A71" s="50"/>
      <c r="B71" s="11" t="str">
        <f>CONCATENATE("          ", "4153", " - ", "NON-TAXABLE SALES-FOOD")</f>
        <v xml:space="preserve">          4153 - NON-TAXABLE SALES-FOOD</v>
      </c>
      <c r="C71" s="11"/>
      <c r="D71" s="2">
        <f>--237</f>
        <v>237</v>
      </c>
      <c r="E71" s="2"/>
      <c r="F71" s="22"/>
      <c r="G71" s="2"/>
      <c r="H71" s="2">
        <f>--160.25</f>
        <v>160.25</v>
      </c>
      <c r="I71" s="2"/>
      <c r="J71" s="22"/>
      <c r="K71" s="2"/>
      <c r="L71" s="2">
        <f t="shared" si="0"/>
        <v>76.75</v>
      </c>
      <c r="M71" s="2"/>
      <c r="N71" s="22">
        <f t="shared" si="1"/>
        <v>0.47893915756630268</v>
      </c>
      <c r="O71" s="11"/>
      <c r="P71" s="2">
        <f>--237</f>
        <v>237</v>
      </c>
      <c r="Q71" s="2"/>
      <c r="R71" s="22"/>
      <c r="S71" s="2"/>
      <c r="T71" s="2">
        <f>--160.25</f>
        <v>160.25</v>
      </c>
      <c r="U71" s="2"/>
      <c r="V71" s="22"/>
      <c r="W71" s="2"/>
      <c r="X71" s="2">
        <f t="shared" si="2"/>
        <v>76.75</v>
      </c>
      <c r="Y71" s="2"/>
      <c r="Z71" s="22">
        <f t="shared" si="3"/>
        <v>0.47893915756630268</v>
      </c>
    </row>
    <row r="72" spans="1:26" s="24" customFormat="1" hidden="1" outlineLevel="1" x14ac:dyDescent="0.25">
      <c r="A72" s="50"/>
      <c r="B72" s="11" t="str">
        <f>CONCATENATE("          ", "4186", " - ", "NON-TAXABLE SALES-COMPUTER SUP")</f>
        <v xml:space="preserve">          4186 - NON-TAXABLE SALES-COMPUTER SUP</v>
      </c>
      <c r="C72" s="11"/>
      <c r="D72" s="2">
        <f>0</f>
        <v>0</v>
      </c>
      <c r="E72" s="2"/>
      <c r="F72" s="22"/>
      <c r="G72" s="2"/>
      <c r="H72" s="2">
        <f>-14.99</f>
        <v>-14.99</v>
      </c>
      <c r="I72" s="2"/>
      <c r="J72" s="22"/>
      <c r="K72" s="2"/>
      <c r="L72" s="2">
        <f t="shared" si="0"/>
        <v>14.99</v>
      </c>
      <c r="M72" s="2"/>
      <c r="N72" s="22">
        <f t="shared" si="1"/>
        <v>-1</v>
      </c>
      <c r="O72" s="11"/>
      <c r="P72" s="2">
        <f>0</f>
        <v>0</v>
      </c>
      <c r="Q72" s="2"/>
      <c r="R72" s="22"/>
      <c r="S72" s="2"/>
      <c r="T72" s="2">
        <f>-14.99</f>
        <v>-14.99</v>
      </c>
      <c r="U72" s="2"/>
      <c r="V72" s="22"/>
      <c r="W72" s="2"/>
      <c r="X72" s="2">
        <f t="shared" si="2"/>
        <v>14.99</v>
      </c>
      <c r="Y72" s="2"/>
      <c r="Z72" s="22">
        <f t="shared" si="3"/>
        <v>-1</v>
      </c>
    </row>
    <row r="73" spans="1:26" s="24" customFormat="1" hidden="1" outlineLevel="1" x14ac:dyDescent="0.25">
      <c r="A73" s="50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>-607.15</f>
        <v>-607.15</v>
      </c>
      <c r="E73" s="2"/>
      <c r="F73" s="22"/>
      <c r="G73" s="2"/>
      <c r="H73" s="2">
        <f>-1507.5</f>
        <v>-1507.5</v>
      </c>
      <c r="I73" s="2"/>
      <c r="J73" s="22"/>
      <c r="K73" s="2"/>
      <c r="L73" s="2">
        <f t="shared" si="0"/>
        <v>900.35</v>
      </c>
      <c r="M73" s="2"/>
      <c r="N73" s="22">
        <f t="shared" si="1"/>
        <v>-0.59724709784411278</v>
      </c>
      <c r="O73" s="11"/>
      <c r="P73" s="2">
        <f>-607.15</f>
        <v>-607.15</v>
      </c>
      <c r="Q73" s="2"/>
      <c r="R73" s="22"/>
      <c r="S73" s="2"/>
      <c r="T73" s="2">
        <f>-1507.5</f>
        <v>-1507.5</v>
      </c>
      <c r="U73" s="2"/>
      <c r="V73" s="22"/>
      <c r="W73" s="2"/>
      <c r="X73" s="2">
        <f t="shared" si="2"/>
        <v>900.35</v>
      </c>
      <c r="Y73" s="2"/>
      <c r="Z73" s="22">
        <f t="shared" si="3"/>
        <v>-0.59724709784411278</v>
      </c>
    </row>
    <row r="74" spans="1:26" s="24" customFormat="1" hidden="1" outlineLevel="1" x14ac:dyDescent="0.25">
      <c r="A74" s="50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>-721.45</f>
        <v>-721.45</v>
      </c>
      <c r="E74" s="2"/>
      <c r="F74" s="22"/>
      <c r="G74" s="2"/>
      <c r="H74" s="2">
        <f>-579.25</f>
        <v>-579.25</v>
      </c>
      <c r="I74" s="2"/>
      <c r="J74" s="22"/>
      <c r="K74" s="2"/>
      <c r="L74" s="2">
        <f t="shared" si="0"/>
        <v>-142.20000000000005</v>
      </c>
      <c r="M74" s="2"/>
      <c r="N74" s="22">
        <f t="shared" si="1"/>
        <v>0.2454898575744498</v>
      </c>
      <c r="O74" s="11"/>
      <c r="P74" s="2">
        <f>-721.45</f>
        <v>-721.45</v>
      </c>
      <c r="Q74" s="2"/>
      <c r="R74" s="22"/>
      <c r="S74" s="2"/>
      <c r="T74" s="2">
        <f>-579.25</f>
        <v>-579.25</v>
      </c>
      <c r="U74" s="2"/>
      <c r="V74" s="22"/>
      <c r="W74" s="2"/>
      <c r="X74" s="2">
        <f t="shared" si="2"/>
        <v>-142.20000000000005</v>
      </c>
      <c r="Y74" s="2"/>
      <c r="Z74" s="22">
        <f t="shared" si="3"/>
        <v>0.2454898575744498</v>
      </c>
    </row>
    <row r="75" spans="1:26" s="24" customFormat="1" hidden="1" outlineLevel="1" x14ac:dyDescent="0.25">
      <c r="A75" s="50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 t="shared" ref="D75:D76" si="4">0</f>
        <v>0</v>
      </c>
      <c r="E75" s="2"/>
      <c r="F75" s="22"/>
      <c r="G75" s="2"/>
      <c r="H75" s="2">
        <f>-85</f>
        <v>-85</v>
      </c>
      <c r="I75" s="2"/>
      <c r="J75" s="22"/>
      <c r="K75" s="2"/>
      <c r="L75" s="2">
        <f t="shared" si="0"/>
        <v>85</v>
      </c>
      <c r="M75" s="2"/>
      <c r="N75" s="22">
        <f t="shared" si="1"/>
        <v>-1</v>
      </c>
      <c r="O75" s="11"/>
      <c r="P75" s="2">
        <f t="shared" ref="P75:P76" si="5">0</f>
        <v>0</v>
      </c>
      <c r="Q75" s="2"/>
      <c r="R75" s="22"/>
      <c r="S75" s="2"/>
      <c r="T75" s="2">
        <f>-85</f>
        <v>-85</v>
      </c>
      <c r="U75" s="2"/>
      <c r="V75" s="22"/>
      <c r="W75" s="2"/>
      <c r="X75" s="2">
        <f t="shared" si="2"/>
        <v>85</v>
      </c>
      <c r="Y75" s="2"/>
      <c r="Z75" s="22">
        <f t="shared" si="3"/>
        <v>-1</v>
      </c>
    </row>
    <row r="76" spans="1:26" s="24" customFormat="1" hidden="1" outlineLevel="1" x14ac:dyDescent="0.25">
      <c r="A76" s="50"/>
      <c r="B76" s="11" t="str">
        <f>CONCATENATE("          ", "4218", " - ", "SALES RETURN TAXABLE-STUDY GUI")</f>
        <v xml:space="preserve">          4218 - SALES RETURN TAXABLE-STUDY GUI</v>
      </c>
      <c r="C76" s="11"/>
      <c r="D76" s="2">
        <f t="shared" si="4"/>
        <v>0</v>
      </c>
      <c r="E76" s="2"/>
      <c r="F76" s="22"/>
      <c r="G76" s="2"/>
      <c r="H76" s="2">
        <f>-15.95</f>
        <v>-15.95</v>
      </c>
      <c r="I76" s="2"/>
      <c r="J76" s="22"/>
      <c r="K76" s="2"/>
      <c r="L76" s="2">
        <f t="shared" si="0"/>
        <v>15.95</v>
      </c>
      <c r="M76" s="2"/>
      <c r="N76" s="22">
        <f t="shared" si="1"/>
        <v>-1</v>
      </c>
      <c r="O76" s="11"/>
      <c r="P76" s="2">
        <f t="shared" si="5"/>
        <v>0</v>
      </c>
      <c r="Q76" s="2"/>
      <c r="R76" s="22"/>
      <c r="S76" s="2"/>
      <c r="T76" s="2">
        <f>-15.95</f>
        <v>-15.95</v>
      </c>
      <c r="U76" s="2"/>
      <c r="V76" s="22"/>
      <c r="W76" s="2"/>
      <c r="X76" s="2">
        <f t="shared" si="2"/>
        <v>15.95</v>
      </c>
      <c r="Y76" s="2"/>
      <c r="Z76" s="22">
        <f t="shared" si="3"/>
        <v>-1</v>
      </c>
    </row>
    <row r="77" spans="1:26" s="24" customFormat="1" hidden="1" outlineLevel="1" x14ac:dyDescent="0.25">
      <c r="A77" s="50"/>
      <c r="B77" s="11" t="str">
        <f>CONCATENATE("          ", "4225", " - ", "SALES RETURN TAXABLE-TEST FORM")</f>
        <v xml:space="preserve">          4225 - SALES RETURN TAXABLE-TEST FORM</v>
      </c>
      <c r="C77" s="11"/>
      <c r="D77" s="2">
        <f>-4.08</f>
        <v>-4.08</v>
      </c>
      <c r="E77" s="2"/>
      <c r="F77" s="22"/>
      <c r="G77" s="2"/>
      <c r="H77" s="2">
        <f>-6.78</f>
        <v>-6.78</v>
      </c>
      <c r="I77" s="2"/>
      <c r="J77" s="22"/>
      <c r="K77" s="2"/>
      <c r="L77" s="2">
        <f t="shared" si="0"/>
        <v>2.7</v>
      </c>
      <c r="M77" s="2"/>
      <c r="N77" s="22">
        <f t="shared" si="1"/>
        <v>-0.39823008849557523</v>
      </c>
      <c r="O77" s="11"/>
      <c r="P77" s="2">
        <f>-4.08</f>
        <v>-4.08</v>
      </c>
      <c r="Q77" s="2"/>
      <c r="R77" s="22"/>
      <c r="S77" s="2"/>
      <c r="T77" s="2">
        <f>-6.78</f>
        <v>-6.78</v>
      </c>
      <c r="U77" s="2"/>
      <c r="V77" s="22"/>
      <c r="W77" s="2"/>
      <c r="X77" s="2">
        <f t="shared" si="2"/>
        <v>2.7</v>
      </c>
      <c r="Y77" s="2"/>
      <c r="Z77" s="22">
        <f t="shared" si="3"/>
        <v>-0.39823008849557523</v>
      </c>
    </row>
    <row r="78" spans="1:26" s="24" customFormat="1" hidden="1" outlineLevel="1" x14ac:dyDescent="0.25">
      <c r="A78" s="50"/>
      <c r="B78" s="11" t="str">
        <f>CONCATENATE("          ", "4226", " - ", "SALES RETURN TAXABLE-WRITING I")</f>
        <v xml:space="preserve">          4226 - SALES RETURN TAXABLE-WRITING I</v>
      </c>
      <c r="C78" s="11"/>
      <c r="D78" s="2">
        <f>-63.93</f>
        <v>-63.93</v>
      </c>
      <c r="E78" s="2"/>
      <c r="F78" s="22"/>
      <c r="G78" s="2"/>
      <c r="H78" s="2">
        <f>-11.17</f>
        <v>-11.17</v>
      </c>
      <c r="I78" s="2"/>
      <c r="J78" s="22"/>
      <c r="K78" s="2"/>
      <c r="L78" s="2">
        <f t="shared" si="0"/>
        <v>-52.76</v>
      </c>
      <c r="M78" s="2"/>
      <c r="N78" s="22">
        <f t="shared" si="1"/>
        <v>4.7233661593554164</v>
      </c>
      <c r="O78" s="11"/>
      <c r="P78" s="2">
        <f>-63.93</f>
        <v>-63.93</v>
      </c>
      <c r="Q78" s="2"/>
      <c r="R78" s="22"/>
      <c r="S78" s="2"/>
      <c r="T78" s="2">
        <f>-11.17</f>
        <v>-11.17</v>
      </c>
      <c r="U78" s="2"/>
      <c r="V78" s="22"/>
      <c r="W78" s="2"/>
      <c r="X78" s="2">
        <f t="shared" si="2"/>
        <v>-52.76</v>
      </c>
      <c r="Y78" s="2"/>
      <c r="Z78" s="22">
        <f t="shared" si="3"/>
        <v>4.7233661593554164</v>
      </c>
    </row>
    <row r="79" spans="1:26" s="24" customFormat="1" hidden="1" outlineLevel="1" x14ac:dyDescent="0.25">
      <c r="A79" s="50"/>
      <c r="B79" s="11" t="str">
        <f>CONCATENATE("          ", "4227", " - ", "SALES RETURN TAXABLE-SCHOOL SU")</f>
        <v xml:space="preserve">          4227 - SALES RETURN TAXABLE-SCHOOL SU</v>
      </c>
      <c r="C79" s="11"/>
      <c r="D79" s="2">
        <f>-165.44</f>
        <v>-165.44</v>
      </c>
      <c r="E79" s="2"/>
      <c r="F79" s="22"/>
      <c r="G79" s="2"/>
      <c r="H79" s="2">
        <f>-121.97</f>
        <v>-121.97</v>
      </c>
      <c r="I79" s="2"/>
      <c r="J79" s="22"/>
      <c r="K79" s="2"/>
      <c r="L79" s="2">
        <f t="shared" si="0"/>
        <v>-43.47</v>
      </c>
      <c r="M79" s="2"/>
      <c r="N79" s="22">
        <f t="shared" si="1"/>
        <v>0.35639911453636142</v>
      </c>
      <c r="O79" s="11"/>
      <c r="P79" s="2">
        <f>-165.44</f>
        <v>-165.44</v>
      </c>
      <c r="Q79" s="2"/>
      <c r="R79" s="22"/>
      <c r="S79" s="2"/>
      <c r="T79" s="2">
        <f>-121.97</f>
        <v>-121.97</v>
      </c>
      <c r="U79" s="2"/>
      <c r="V79" s="22"/>
      <c r="W79" s="2"/>
      <c r="X79" s="2">
        <f t="shared" si="2"/>
        <v>-43.47</v>
      </c>
      <c r="Y79" s="2"/>
      <c r="Z79" s="22">
        <f t="shared" si="3"/>
        <v>0.35639911453636142</v>
      </c>
    </row>
    <row r="80" spans="1:26" s="24" customFormat="1" hidden="1" outlineLevel="1" x14ac:dyDescent="0.25">
      <c r="A80" s="50"/>
      <c r="B80" s="11" t="str">
        <f>CONCATENATE("          ", "4228", " - ", "SALES RETURN TAXABLE-ART/TECH")</f>
        <v xml:space="preserve">          4228 - SALES RETURN TAXABLE-ART/TECH</v>
      </c>
      <c r="C80" s="11"/>
      <c r="D80" s="2">
        <f>-10.37</f>
        <v>-10.37</v>
      </c>
      <c r="E80" s="2"/>
      <c r="F80" s="22"/>
      <c r="G80" s="2"/>
      <c r="H80" s="2">
        <f>-149.44</f>
        <v>-149.44</v>
      </c>
      <c r="I80" s="2"/>
      <c r="J80" s="22"/>
      <c r="K80" s="2"/>
      <c r="L80" s="2">
        <f t="shared" si="0"/>
        <v>139.07</v>
      </c>
      <c r="M80" s="2"/>
      <c r="N80" s="22">
        <f t="shared" si="1"/>
        <v>-0.93060760171306212</v>
      </c>
      <c r="O80" s="11"/>
      <c r="P80" s="2">
        <f>-10.37</f>
        <v>-10.37</v>
      </c>
      <c r="Q80" s="2"/>
      <c r="R80" s="22"/>
      <c r="S80" s="2"/>
      <c r="T80" s="2">
        <f>-149.44</f>
        <v>-149.44</v>
      </c>
      <c r="U80" s="2"/>
      <c r="V80" s="22"/>
      <c r="W80" s="2"/>
      <c r="X80" s="2">
        <f t="shared" si="2"/>
        <v>139.07</v>
      </c>
      <c r="Y80" s="2"/>
      <c r="Z80" s="22">
        <f t="shared" si="3"/>
        <v>-0.93060760171306212</v>
      </c>
    </row>
    <row r="81" spans="1:26" s="24" customFormat="1" hidden="1" outlineLevel="1" x14ac:dyDescent="0.25">
      <c r="A81" s="50"/>
      <c r="B81" s="11" t="str">
        <f>CONCATENATE("          ", "4240", " - ", "SALES RETURN TAXABLE-LOGO CLOT")</f>
        <v xml:space="preserve">          4240 - SALES RETURN TAXABLE-LOGO CLOT</v>
      </c>
      <c r="C81" s="11"/>
      <c r="D81" s="2">
        <f>-4446.84</f>
        <v>-4446.84</v>
      </c>
      <c r="E81" s="2"/>
      <c r="F81" s="22"/>
      <c r="G81" s="2"/>
      <c r="H81" s="2">
        <f>-5229.95</f>
        <v>-5229.95</v>
      </c>
      <c r="I81" s="2"/>
      <c r="J81" s="22"/>
      <c r="K81" s="2"/>
      <c r="L81" s="2">
        <f t="shared" si="0"/>
        <v>783.10999999999967</v>
      </c>
      <c r="M81" s="2"/>
      <c r="N81" s="22">
        <f t="shared" si="1"/>
        <v>-0.14973565712865319</v>
      </c>
      <c r="O81" s="11"/>
      <c r="P81" s="2">
        <f>-4446.84</f>
        <v>-4446.84</v>
      </c>
      <c r="Q81" s="2"/>
      <c r="R81" s="22"/>
      <c r="S81" s="2"/>
      <c r="T81" s="2">
        <f>-5229.95</f>
        <v>-5229.95</v>
      </c>
      <c r="U81" s="2"/>
      <c r="V81" s="22"/>
      <c r="W81" s="2"/>
      <c r="X81" s="2">
        <f t="shared" si="2"/>
        <v>783.10999999999967</v>
      </c>
      <c r="Y81" s="2"/>
      <c r="Z81" s="22">
        <f t="shared" si="3"/>
        <v>-0.14973565712865319</v>
      </c>
    </row>
    <row r="82" spans="1:26" s="24" customFormat="1" hidden="1" outlineLevel="1" x14ac:dyDescent="0.25">
      <c r="A82" s="50"/>
      <c r="B82" s="11" t="str">
        <f>CONCATENATE("          ", "4241", " - ", "SALES RETURN TAXABLE-LOGO GIFT")</f>
        <v xml:space="preserve">          4241 - SALES RETURN TAXABLE-LOGO GIFT</v>
      </c>
      <c r="C82" s="11"/>
      <c r="D82" s="2">
        <f>-718.9</f>
        <v>-718.9</v>
      </c>
      <c r="E82" s="2"/>
      <c r="F82" s="22"/>
      <c r="G82" s="2"/>
      <c r="H82" s="2">
        <f>-475.06</f>
        <v>-475.06</v>
      </c>
      <c r="I82" s="2"/>
      <c r="J82" s="22"/>
      <c r="K82" s="2"/>
      <c r="L82" s="2">
        <f t="shared" si="0"/>
        <v>-243.83999999999997</v>
      </c>
      <c r="M82" s="2"/>
      <c r="N82" s="22">
        <f t="shared" si="1"/>
        <v>0.51328253273270741</v>
      </c>
      <c r="O82" s="11"/>
      <c r="P82" s="2">
        <f>-718.9</f>
        <v>-718.9</v>
      </c>
      <c r="Q82" s="2"/>
      <c r="R82" s="22"/>
      <c r="S82" s="2"/>
      <c r="T82" s="2">
        <f>-475.06</f>
        <v>-475.06</v>
      </c>
      <c r="U82" s="2"/>
      <c r="V82" s="22"/>
      <c r="W82" s="2"/>
      <c r="X82" s="2">
        <f t="shared" si="2"/>
        <v>-243.83999999999997</v>
      </c>
      <c r="Y82" s="2"/>
      <c r="Z82" s="22">
        <f t="shared" si="3"/>
        <v>0.51328253273270741</v>
      </c>
    </row>
    <row r="83" spans="1:26" s="24" customFormat="1" hidden="1" outlineLevel="1" x14ac:dyDescent="0.25">
      <c r="A83" s="50"/>
      <c r="B83" s="11" t="str">
        <f>CONCATENATE("          ", "4242", " - ", "SALES RETURN TAXABLE-EVERYDAY")</f>
        <v xml:space="preserve">          4242 - SALES RETURN TAXABLE-EVERYDAY</v>
      </c>
      <c r="C83" s="11"/>
      <c r="D83" s="2">
        <f>-373.98</f>
        <v>-373.98</v>
      </c>
      <c r="E83" s="2"/>
      <c r="F83" s="22"/>
      <c r="G83" s="2"/>
      <c r="H83" s="2">
        <f>-160.74</f>
        <v>-160.74</v>
      </c>
      <c r="I83" s="2"/>
      <c r="J83" s="22"/>
      <c r="K83" s="2"/>
      <c r="L83" s="2">
        <f t="shared" si="0"/>
        <v>-213.24</v>
      </c>
      <c r="M83" s="2"/>
      <c r="N83" s="22">
        <f t="shared" si="1"/>
        <v>1.3266144083613289</v>
      </c>
      <c r="O83" s="11"/>
      <c r="P83" s="2">
        <f>-373.98</f>
        <v>-373.98</v>
      </c>
      <c r="Q83" s="2"/>
      <c r="R83" s="22"/>
      <c r="S83" s="2"/>
      <c r="T83" s="2">
        <f>-160.74</f>
        <v>-160.74</v>
      </c>
      <c r="U83" s="2"/>
      <c r="V83" s="22"/>
      <c r="W83" s="2"/>
      <c r="X83" s="2">
        <f t="shared" si="2"/>
        <v>-213.24</v>
      </c>
      <c r="Y83" s="2"/>
      <c r="Z83" s="22">
        <f t="shared" si="3"/>
        <v>1.3266144083613289</v>
      </c>
    </row>
    <row r="84" spans="1:26" s="24" customFormat="1" hidden="1" outlineLevel="1" x14ac:dyDescent="0.25">
      <c r="A84" s="50"/>
      <c r="B84" s="11" t="str">
        <f>CONCATENATE("          ", "4244", " - ", "SALES RETURN TAXABLE-ACCESSORI")</f>
        <v xml:space="preserve">          4244 - SALES RETURN TAXABLE-ACCESSORI</v>
      </c>
      <c r="C84" s="11"/>
      <c r="D84" s="2">
        <f>-106.79</f>
        <v>-106.79</v>
      </c>
      <c r="E84" s="2"/>
      <c r="F84" s="22"/>
      <c r="G84" s="2"/>
      <c r="H84" s="2">
        <f>-144.9</f>
        <v>-144.9</v>
      </c>
      <c r="I84" s="2"/>
      <c r="J84" s="22"/>
      <c r="K84" s="2"/>
      <c r="L84" s="2">
        <f t="shared" si="0"/>
        <v>38.11</v>
      </c>
      <c r="M84" s="2"/>
      <c r="N84" s="22">
        <f t="shared" si="1"/>
        <v>-0.26300897170462384</v>
      </c>
      <c r="O84" s="11"/>
      <c r="P84" s="2">
        <f>-106.79</f>
        <v>-106.79</v>
      </c>
      <c r="Q84" s="2"/>
      <c r="R84" s="22"/>
      <c r="S84" s="2"/>
      <c r="T84" s="2">
        <f>-144.9</f>
        <v>-144.9</v>
      </c>
      <c r="U84" s="2"/>
      <c r="V84" s="22"/>
      <c r="W84" s="2"/>
      <c r="X84" s="2">
        <f t="shared" si="2"/>
        <v>38.11</v>
      </c>
      <c r="Y84" s="2"/>
      <c r="Z84" s="22">
        <f t="shared" si="3"/>
        <v>-0.26300897170462384</v>
      </c>
    </row>
    <row r="85" spans="1:26" s="24" customFormat="1" hidden="1" outlineLevel="1" x14ac:dyDescent="0.25">
      <c r="A85" s="50"/>
      <c r="B85" s="11" t="str">
        <f>CONCATENATE("          ", "4245", " - ", "SALES RETURN TAXABLE-SPECIAL O")</f>
        <v xml:space="preserve">          4245 - SALES RETURN TAXABLE-SPECIAL O</v>
      </c>
      <c r="C85" s="11"/>
      <c r="D85" s="2">
        <f>0</f>
        <v>0</v>
      </c>
      <c r="E85" s="2"/>
      <c r="F85" s="22"/>
      <c r="G85" s="2"/>
      <c r="H85" s="2">
        <f>-19.95</f>
        <v>-19.95</v>
      </c>
      <c r="I85" s="2"/>
      <c r="J85" s="22"/>
      <c r="K85" s="2"/>
      <c r="L85" s="2">
        <f t="shared" si="0"/>
        <v>19.95</v>
      </c>
      <c r="M85" s="2"/>
      <c r="N85" s="22">
        <f t="shared" si="1"/>
        <v>-1</v>
      </c>
      <c r="O85" s="11"/>
      <c r="P85" s="2">
        <f>0</f>
        <v>0</v>
      </c>
      <c r="Q85" s="2"/>
      <c r="R85" s="22"/>
      <c r="S85" s="2"/>
      <c r="T85" s="2">
        <f>-19.95</f>
        <v>-19.95</v>
      </c>
      <c r="U85" s="2"/>
      <c r="V85" s="22"/>
      <c r="W85" s="2"/>
      <c r="X85" s="2">
        <f t="shared" si="2"/>
        <v>19.95</v>
      </c>
      <c r="Y85" s="2"/>
      <c r="Z85" s="22">
        <f t="shared" si="3"/>
        <v>-1</v>
      </c>
    </row>
    <row r="86" spans="1:26" s="24" customFormat="1" hidden="1" outlineLevel="1" x14ac:dyDescent="0.25">
      <c r="A86" s="50"/>
      <c r="B86" s="11" t="str">
        <f>CONCATENATE("          ", "4292", " - ", "SALES RETURN TAXABLE-GRAD MERC")</f>
        <v xml:space="preserve">          4292 - SALES RETURN TAXABLE-GRAD MERC</v>
      </c>
      <c r="C86" s="11"/>
      <c r="D86" s="2">
        <f>-9.95</f>
        <v>-9.9499999999999993</v>
      </c>
      <c r="E86" s="2"/>
      <c r="F86" s="22"/>
      <c r="G86" s="2"/>
      <c r="H86" s="2">
        <f>-478.25</f>
        <v>-478.25</v>
      </c>
      <c r="I86" s="2"/>
      <c r="J86" s="22"/>
      <c r="K86" s="2"/>
      <c r="L86" s="2">
        <f t="shared" si="0"/>
        <v>468.3</v>
      </c>
      <c r="M86" s="2"/>
      <c r="N86" s="22">
        <f t="shared" si="1"/>
        <v>-0.97919498170412966</v>
      </c>
      <c r="O86" s="11"/>
      <c r="P86" s="2">
        <f>-9.95</f>
        <v>-9.9499999999999993</v>
      </c>
      <c r="Q86" s="2"/>
      <c r="R86" s="22"/>
      <c r="S86" s="2"/>
      <c r="T86" s="2">
        <f>-478.25</f>
        <v>-478.25</v>
      </c>
      <c r="U86" s="2"/>
      <c r="V86" s="22"/>
      <c r="W86" s="2"/>
      <c r="X86" s="2">
        <f t="shared" si="2"/>
        <v>468.3</v>
      </c>
      <c r="Y86" s="2"/>
      <c r="Z86" s="22">
        <f t="shared" si="3"/>
        <v>-0.97919498170412966</v>
      </c>
    </row>
    <row r="87" spans="1:26" s="24" customFormat="1" hidden="1" outlineLevel="1" x14ac:dyDescent="0.25">
      <c r="A87" s="50"/>
      <c r="B87" s="11" t="str">
        <f>CONCATENATE("          ", "4301", " - ", "SALES RETURN NON TAXABLE-NEW T")</f>
        <v xml:space="preserve">          4301 - SALES RETURN NON TAXABLE-NEW T</v>
      </c>
      <c r="C87" s="11"/>
      <c r="D87" s="2">
        <f>-254.59</f>
        <v>-254.59</v>
      </c>
      <c r="E87" s="2"/>
      <c r="F87" s="22"/>
      <c r="G87" s="2"/>
      <c r="H87" s="2">
        <f>-996.13</f>
        <v>-996.13</v>
      </c>
      <c r="I87" s="2"/>
      <c r="J87" s="22"/>
      <c r="K87" s="2"/>
      <c r="L87" s="2">
        <f t="shared" si="0"/>
        <v>741.54</v>
      </c>
      <c r="M87" s="2"/>
      <c r="N87" s="22">
        <f t="shared" si="1"/>
        <v>-0.74442090891751078</v>
      </c>
      <c r="O87" s="11"/>
      <c r="P87" s="2">
        <f>-254.59</f>
        <v>-254.59</v>
      </c>
      <c r="Q87" s="2"/>
      <c r="R87" s="22"/>
      <c r="S87" s="2"/>
      <c r="T87" s="2">
        <f>-996.13</f>
        <v>-996.13</v>
      </c>
      <c r="U87" s="2"/>
      <c r="V87" s="22"/>
      <c r="W87" s="2"/>
      <c r="X87" s="2">
        <f t="shared" si="2"/>
        <v>741.54</v>
      </c>
      <c r="Y87" s="2"/>
      <c r="Z87" s="22">
        <f t="shared" si="3"/>
        <v>-0.74442090891751078</v>
      </c>
    </row>
    <row r="88" spans="1:26" s="24" customFormat="1" hidden="1" outlineLevel="1" x14ac:dyDescent="0.25">
      <c r="A88" s="50"/>
      <c r="B88" s="11" t="str">
        <f>CONCATENATE("          ", "4302", " - ", "SALES RETURN NON TAXABLE-TEXT")</f>
        <v xml:space="preserve">          4302 - SALES RETURN NON TAXABLE-TEXT</v>
      </c>
      <c r="C88" s="11"/>
      <c r="D88" s="2">
        <f t="shared" ref="D88:D89" si="6">0</f>
        <v>0</v>
      </c>
      <c r="E88" s="2"/>
      <c r="F88" s="22"/>
      <c r="G88" s="2"/>
      <c r="H88" s="2">
        <f>-112.8</f>
        <v>-112.8</v>
      </c>
      <c r="I88" s="2"/>
      <c r="J88" s="22"/>
      <c r="K88" s="2"/>
      <c r="L88" s="2">
        <f t="shared" si="0"/>
        <v>112.8</v>
      </c>
      <c r="M88" s="2"/>
      <c r="N88" s="22">
        <f t="shared" si="1"/>
        <v>-1</v>
      </c>
      <c r="O88" s="11"/>
      <c r="P88" s="2">
        <f t="shared" ref="P88:P89" si="7">0</f>
        <v>0</v>
      </c>
      <c r="Q88" s="2"/>
      <c r="R88" s="22"/>
      <c r="S88" s="2"/>
      <c r="T88" s="2">
        <f>-112.8</f>
        <v>-112.8</v>
      </c>
      <c r="U88" s="2"/>
      <c r="V88" s="22"/>
      <c r="W88" s="2"/>
      <c r="X88" s="2">
        <f t="shared" si="2"/>
        <v>112.8</v>
      </c>
      <c r="Y88" s="2"/>
      <c r="Z88" s="22">
        <f t="shared" si="3"/>
        <v>-1</v>
      </c>
    </row>
    <row r="89" spans="1:26" s="24" customFormat="1" hidden="1" outlineLevel="1" x14ac:dyDescent="0.25">
      <c r="A89" s="50"/>
      <c r="B89" s="11" t="str">
        <f>CONCATENATE("          ", "4304", " - ", "SALES RETURN NON TAXABLE-DIGIT")</f>
        <v xml:space="preserve">          4304 - SALES RETURN NON TAXABLE-DIGIT</v>
      </c>
      <c r="C89" s="11"/>
      <c r="D89" s="2">
        <f t="shared" si="6"/>
        <v>0</v>
      </c>
      <c r="E89" s="2"/>
      <c r="F89" s="22"/>
      <c r="G89" s="2"/>
      <c r="H89" s="2">
        <f>-20</f>
        <v>-20</v>
      </c>
      <c r="I89" s="2"/>
      <c r="J89" s="22"/>
      <c r="K89" s="2"/>
      <c r="L89" s="2">
        <f t="shared" si="0"/>
        <v>20</v>
      </c>
      <c r="M89" s="2"/>
      <c r="N89" s="22">
        <f t="shared" si="1"/>
        <v>-1</v>
      </c>
      <c r="O89" s="11"/>
      <c r="P89" s="2">
        <f t="shared" si="7"/>
        <v>0</v>
      </c>
      <c r="Q89" s="2"/>
      <c r="R89" s="22"/>
      <c r="S89" s="2"/>
      <c r="T89" s="2">
        <f>-20</f>
        <v>-20</v>
      </c>
      <c r="U89" s="2"/>
      <c r="V89" s="22"/>
      <c r="W89" s="2"/>
      <c r="X89" s="2">
        <f t="shared" si="2"/>
        <v>20</v>
      </c>
      <c r="Y89" s="2"/>
      <c r="Z89" s="22">
        <f t="shared" si="3"/>
        <v>-1</v>
      </c>
    </row>
    <row r="90" spans="1:26" s="24" customFormat="1" hidden="1" outlineLevel="1" x14ac:dyDescent="0.25">
      <c r="A90" s="50"/>
      <c r="B90" s="11" t="str">
        <f>CONCATENATE("          ", "4311", " - ", "SALES RETURN NON TAXABLE-NO VA")</f>
        <v xml:space="preserve">          4311 - SALES RETURN NON TAXABLE-NO VA</v>
      </c>
      <c r="C90" s="11"/>
      <c r="D90" s="2">
        <f>-31.98</f>
        <v>-31.98</v>
      </c>
      <c r="E90" s="2"/>
      <c r="F90" s="22"/>
      <c r="G90" s="2"/>
      <c r="H90" s="2">
        <f>-44.38</f>
        <v>-44.38</v>
      </c>
      <c r="I90" s="2"/>
      <c r="J90" s="22"/>
      <c r="K90" s="2"/>
      <c r="L90" s="2">
        <f t="shared" si="0"/>
        <v>12.400000000000002</v>
      </c>
      <c r="M90" s="2"/>
      <c r="N90" s="22">
        <f t="shared" si="1"/>
        <v>-0.27940513744930151</v>
      </c>
      <c r="O90" s="11"/>
      <c r="P90" s="2">
        <f>-31.98</f>
        <v>-31.98</v>
      </c>
      <c r="Q90" s="2"/>
      <c r="R90" s="22"/>
      <c r="S90" s="2"/>
      <c r="T90" s="2">
        <f>-44.38</f>
        <v>-44.38</v>
      </c>
      <c r="U90" s="2"/>
      <c r="V90" s="22"/>
      <c r="W90" s="2"/>
      <c r="X90" s="2">
        <f t="shared" si="2"/>
        <v>12.400000000000002</v>
      </c>
      <c r="Y90" s="2"/>
      <c r="Z90" s="22">
        <f t="shared" si="3"/>
        <v>-0.27940513744930151</v>
      </c>
    </row>
    <row r="91" spans="1:26" s="24" customFormat="1" hidden="1" outlineLevel="1" x14ac:dyDescent="0.25">
      <c r="A91" s="50"/>
      <c r="B91" s="11" t="str">
        <f>CONCATENATE("          ", "4326", " - ", "SALES RETURN NON TAXABLE-WRITI")</f>
        <v xml:space="preserve">          4326 - SALES RETURN NON TAXABLE-WRITI</v>
      </c>
      <c r="C91" s="11"/>
      <c r="D91" s="2">
        <f>0</f>
        <v>0</v>
      </c>
      <c r="E91" s="2"/>
      <c r="F91" s="22"/>
      <c r="G91" s="2"/>
      <c r="H91" s="2">
        <f>-2.29</f>
        <v>-2.29</v>
      </c>
      <c r="I91" s="2"/>
      <c r="J91" s="22"/>
      <c r="K91" s="2"/>
      <c r="L91" s="2">
        <f t="shared" si="0"/>
        <v>2.29</v>
      </c>
      <c r="M91" s="2"/>
      <c r="N91" s="22">
        <f t="shared" si="1"/>
        <v>-1</v>
      </c>
      <c r="O91" s="11"/>
      <c r="P91" s="2">
        <f>0</f>
        <v>0</v>
      </c>
      <c r="Q91" s="2"/>
      <c r="R91" s="22"/>
      <c r="S91" s="2"/>
      <c r="T91" s="2">
        <f>-2.29</f>
        <v>-2.29</v>
      </c>
      <c r="U91" s="2"/>
      <c r="V91" s="22"/>
      <c r="W91" s="2"/>
      <c r="X91" s="2">
        <f t="shared" si="2"/>
        <v>2.29</v>
      </c>
      <c r="Y91" s="2"/>
      <c r="Z91" s="22">
        <f t="shared" si="3"/>
        <v>-1</v>
      </c>
    </row>
    <row r="92" spans="1:26" s="24" customFormat="1" hidden="1" outlineLevel="1" x14ac:dyDescent="0.25">
      <c r="A92" s="50"/>
      <c r="B92" s="11" t="str">
        <f>CONCATENATE("          ", "4340", " - ", "SALES RETURN NON TAXABLE-LOGO")</f>
        <v xml:space="preserve">          4340 - SALES RETURN NON TAXABLE-LOGO</v>
      </c>
      <c r="C92" s="11"/>
      <c r="D92" s="2">
        <f>-223.55</f>
        <v>-223.55</v>
      </c>
      <c r="E92" s="2"/>
      <c r="F92" s="22"/>
      <c r="G92" s="2"/>
      <c r="H92" s="2">
        <f>0</f>
        <v>0</v>
      </c>
      <c r="I92" s="2"/>
      <c r="J92" s="22"/>
      <c r="K92" s="2"/>
      <c r="L92" s="2">
        <f t="shared" si="0"/>
        <v>-223.55</v>
      </c>
      <c r="M92" s="2"/>
      <c r="N92" s="22">
        <f t="shared" si="1"/>
        <v>0</v>
      </c>
      <c r="O92" s="11"/>
      <c r="P92" s="2">
        <f>-223.55</f>
        <v>-223.55</v>
      </c>
      <c r="Q92" s="2"/>
      <c r="R92" s="22"/>
      <c r="S92" s="2"/>
      <c r="T92" s="2">
        <f>0</f>
        <v>0</v>
      </c>
      <c r="U92" s="2"/>
      <c r="V92" s="22"/>
      <c r="W92" s="2"/>
      <c r="X92" s="2">
        <f t="shared" si="2"/>
        <v>-223.55</v>
      </c>
      <c r="Y92" s="2"/>
      <c r="Z92" s="22">
        <f t="shared" si="3"/>
        <v>0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collapsed="1" x14ac:dyDescent="0.25">
      <c r="A94" s="10"/>
      <c r="B94" s="26" t="s">
        <v>8</v>
      </c>
      <c r="C94" s="10"/>
      <c r="D94" s="4">
        <f>SUM(OSRRefD16x_0)</f>
        <v>219188.74999999991</v>
      </c>
      <c r="E94" s="4"/>
      <c r="F94" s="12">
        <f t="shared" ref="F94:F136" si="8">IF(D$12=0,0,D94/D$12)</f>
        <v>0.53361324959589851</v>
      </c>
      <c r="G94" s="4"/>
      <c r="H94" s="4">
        <f>SUM(OSRRefH16x_0)</f>
        <v>224208.65</v>
      </c>
      <c r="I94" s="4"/>
      <c r="J94" s="12">
        <f t="shared" ref="J94:J136" si="9">IF(H$12=0,0,H94/H$12)</f>
        <v>0.50876514981534493</v>
      </c>
      <c r="K94" s="4"/>
      <c r="L94" s="4">
        <f t="shared" ref="L94:L136" si="10">+D94-H94</f>
        <v>-5019.9000000000815</v>
      </c>
      <c r="M94" s="4"/>
      <c r="N94" s="12">
        <f t="shared" ref="N94:N136" si="11">IF(H94=0,0,L94/H94)</f>
        <v>-2.2389412718911966E-2</v>
      </c>
      <c r="O94" s="10"/>
      <c r="P94" s="4">
        <f>SUM(OSRRefP16x_0)</f>
        <v>219188.74999999991</v>
      </c>
      <c r="Q94" s="4"/>
      <c r="R94" s="12">
        <f t="shared" ref="R94:R136" si="12">IF(P$12=0,0,P94/P$12)</f>
        <v>0.53361324959589851</v>
      </c>
      <c r="S94" s="4"/>
      <c r="T94" s="4">
        <f>SUM(OSRRefT16x_0)</f>
        <v>224208.65</v>
      </c>
      <c r="U94" s="4"/>
      <c r="V94" s="12">
        <f t="shared" ref="V94:V136" si="13">IF(T$12=0,0,T94/T$12)</f>
        <v>0.50876514981534493</v>
      </c>
      <c r="W94" s="4"/>
      <c r="X94" s="4">
        <f t="shared" ref="X94:X136" si="14">+P94-T94</f>
        <v>-5019.9000000000815</v>
      </c>
      <c r="Y94" s="4"/>
      <c r="Z94" s="12">
        <f t="shared" ref="Z94:Z136" si="15">IF(T94=0,0,X94/T94)</f>
        <v>-2.2389412718911966E-2</v>
      </c>
    </row>
    <row r="95" spans="1:26" s="24" customFormat="1" hidden="1" outlineLevel="1" x14ac:dyDescent="0.25">
      <c r="A95" s="50"/>
      <c r="B95" s="11" t="str">
        <f>CONCATENATE("          ", "5001", " - ", "PURCHASES @ COST-NEW TEXT")</f>
        <v xml:space="preserve">          5001 - PURCHASES @ COST-NEW TEXT</v>
      </c>
      <c r="C95" s="11"/>
      <c r="D95" s="2">
        <v>343994.56</v>
      </c>
      <c r="E95" s="2"/>
      <c r="F95" s="22">
        <f t="shared" si="8"/>
        <v>0.83745199060130293</v>
      </c>
      <c r="G95" s="2"/>
      <c r="H95" s="2">
        <v>502071.74999999994</v>
      </c>
      <c r="I95" s="2"/>
      <c r="J95" s="22">
        <f t="shared" si="9"/>
        <v>1.13928079539662</v>
      </c>
      <c r="K95" s="2"/>
      <c r="L95" s="2">
        <f t="shared" si="10"/>
        <v>-158077.18999999994</v>
      </c>
      <c r="M95" s="2"/>
      <c r="N95" s="22">
        <f t="shared" si="11"/>
        <v>-0.31484979985430361</v>
      </c>
      <c r="O95" s="11"/>
      <c r="P95" s="2">
        <v>343994.56</v>
      </c>
      <c r="Q95" s="2"/>
      <c r="R95" s="22">
        <f t="shared" si="12"/>
        <v>0.83745199060130293</v>
      </c>
      <c r="S95" s="2"/>
      <c r="T95" s="2">
        <v>502071.74999999994</v>
      </c>
      <c r="U95" s="2"/>
      <c r="V95" s="22">
        <f t="shared" si="13"/>
        <v>1.13928079539662</v>
      </c>
      <c r="W95" s="2"/>
      <c r="X95" s="2">
        <f t="shared" si="14"/>
        <v>-158077.18999999994</v>
      </c>
      <c r="Y95" s="2"/>
      <c r="Z95" s="22">
        <f t="shared" si="15"/>
        <v>-0.31484979985430361</v>
      </c>
    </row>
    <row r="96" spans="1:26" s="24" customFormat="1" hidden="1" outlineLevel="1" x14ac:dyDescent="0.25">
      <c r="A96" s="50"/>
      <c r="B96" s="11" t="str">
        <f>CONCATENATE("          ", "5002", " - ", "PURCHASES @ COST-USED TEXT")</f>
        <v xml:space="preserve">          5002 - PURCHASES @ COST-USED TEXT</v>
      </c>
      <c r="C96" s="11"/>
      <c r="D96" s="2">
        <v>110293.25</v>
      </c>
      <c r="E96" s="2"/>
      <c r="F96" s="22">
        <f t="shared" si="8"/>
        <v>0.2685080303664894</v>
      </c>
      <c r="G96" s="2"/>
      <c r="H96" s="2">
        <v>-64118.3</v>
      </c>
      <c r="I96" s="2"/>
      <c r="J96" s="22">
        <f t="shared" si="9"/>
        <v>-0.14549463861186993</v>
      </c>
      <c r="K96" s="2"/>
      <c r="L96" s="2">
        <f t="shared" si="10"/>
        <v>174411.55</v>
      </c>
      <c r="M96" s="2"/>
      <c r="N96" s="22">
        <f t="shared" si="11"/>
        <v>-2.7201524369797698</v>
      </c>
      <c r="O96" s="11"/>
      <c r="P96" s="2">
        <v>110293.25</v>
      </c>
      <c r="Q96" s="2"/>
      <c r="R96" s="22">
        <f t="shared" si="12"/>
        <v>0.2685080303664894</v>
      </c>
      <c r="S96" s="2"/>
      <c r="T96" s="2">
        <v>-64118.3</v>
      </c>
      <c r="U96" s="2"/>
      <c r="V96" s="22">
        <f t="shared" si="13"/>
        <v>-0.14549463861186993</v>
      </c>
      <c r="W96" s="2"/>
      <c r="X96" s="2">
        <f t="shared" si="14"/>
        <v>174411.55</v>
      </c>
      <c r="Y96" s="2"/>
      <c r="Z96" s="22">
        <f t="shared" si="15"/>
        <v>-2.7201524369797698</v>
      </c>
    </row>
    <row r="97" spans="1:26" s="24" customFormat="1" hidden="1" outlineLevel="1" x14ac:dyDescent="0.25">
      <c r="A97" s="50"/>
      <c r="B97" s="11" t="str">
        <f>CONCATENATE("          ", "5003", " - ", "PURCHASES @ COST-RENTAL TEXT")</f>
        <v xml:space="preserve">          5003 - PURCHASES @ COST-RENTAL TEXT</v>
      </c>
      <c r="C97" s="11"/>
      <c r="D97" s="2">
        <v>38295.800000000003</v>
      </c>
      <c r="E97" s="2"/>
      <c r="F97" s="22">
        <f t="shared" si="8"/>
        <v>9.3230817201496965E-2</v>
      </c>
      <c r="G97" s="2"/>
      <c r="H97" s="2">
        <v>-1763.7</v>
      </c>
      <c r="I97" s="2"/>
      <c r="J97" s="22">
        <f t="shared" si="9"/>
        <v>-4.0021163087567042E-3</v>
      </c>
      <c r="K97" s="2"/>
      <c r="L97" s="2">
        <f t="shared" si="10"/>
        <v>40059.5</v>
      </c>
      <c r="M97" s="2"/>
      <c r="N97" s="22">
        <f t="shared" si="11"/>
        <v>-22.713329931394227</v>
      </c>
      <c r="O97" s="11"/>
      <c r="P97" s="2">
        <v>38295.800000000003</v>
      </c>
      <c r="Q97" s="2"/>
      <c r="R97" s="22">
        <f t="shared" si="12"/>
        <v>9.3230817201496965E-2</v>
      </c>
      <c r="S97" s="2"/>
      <c r="T97" s="2">
        <v>-1763.7</v>
      </c>
      <c r="U97" s="2"/>
      <c r="V97" s="22">
        <f t="shared" si="13"/>
        <v>-4.0021163087567042E-3</v>
      </c>
      <c r="W97" s="2"/>
      <c r="X97" s="2">
        <f t="shared" si="14"/>
        <v>40059.5</v>
      </c>
      <c r="Y97" s="2"/>
      <c r="Z97" s="22">
        <f t="shared" si="15"/>
        <v>-22.713329931394227</v>
      </c>
    </row>
    <row r="98" spans="1:26" s="24" customFormat="1" hidden="1" outlineLevel="1" x14ac:dyDescent="0.25">
      <c r="A98" s="50"/>
      <c r="B98" s="11" t="str">
        <f>CONCATENATE("          ", "5004", " - ", "PURCHASES @ COST-DIGITAL TEXT")</f>
        <v xml:space="preserve">          5004 - PURCHASES @ COST-DIGITAL TEXT</v>
      </c>
      <c r="C98" s="11"/>
      <c r="D98" s="2">
        <v>133958.57</v>
      </c>
      <c r="E98" s="2"/>
      <c r="F98" s="22">
        <f t="shared" si="8"/>
        <v>0.3261210616371491</v>
      </c>
      <c r="G98" s="2"/>
      <c r="H98" s="2">
        <v>145939.9</v>
      </c>
      <c r="I98" s="2"/>
      <c r="J98" s="22">
        <f t="shared" si="9"/>
        <v>0.33116088557482709</v>
      </c>
      <c r="K98" s="2"/>
      <c r="L98" s="2">
        <f t="shared" si="10"/>
        <v>-11981.329999999987</v>
      </c>
      <c r="M98" s="2"/>
      <c r="N98" s="22">
        <f t="shared" si="11"/>
        <v>-8.2097699121350551E-2</v>
      </c>
      <c r="O98" s="11"/>
      <c r="P98" s="2">
        <v>133958.57</v>
      </c>
      <c r="Q98" s="2"/>
      <c r="R98" s="22">
        <f t="shared" si="12"/>
        <v>0.3261210616371491</v>
      </c>
      <c r="S98" s="2"/>
      <c r="T98" s="2">
        <v>145939.9</v>
      </c>
      <c r="U98" s="2"/>
      <c r="V98" s="22">
        <f t="shared" si="13"/>
        <v>0.33116088557482709</v>
      </c>
      <c r="W98" s="2"/>
      <c r="X98" s="2">
        <f t="shared" si="14"/>
        <v>-11981.329999999987</v>
      </c>
      <c r="Y98" s="2"/>
      <c r="Z98" s="22">
        <f t="shared" si="15"/>
        <v>-8.2097699121350551E-2</v>
      </c>
    </row>
    <row r="99" spans="1:26" s="24" customFormat="1" hidden="1" outlineLevel="1" x14ac:dyDescent="0.25">
      <c r="A99" s="50"/>
      <c r="B99" s="11" t="str">
        <f>CONCATENATE("          ", "5011", " - ", "PURCHASES @ COST-NO VALUE TEXT")</f>
        <v xml:space="preserve">          5011 - PURCHASES @ COST-NO VALUE TEXT</v>
      </c>
      <c r="C99" s="11"/>
      <c r="D99" s="2">
        <v>288</v>
      </c>
      <c r="E99" s="2"/>
      <c r="F99" s="22">
        <f t="shared" si="8"/>
        <v>7.0113368447796167E-4</v>
      </c>
      <c r="G99" s="2"/>
      <c r="H99" s="2">
        <v>441</v>
      </c>
      <c r="I99" s="2"/>
      <c r="J99" s="22">
        <f t="shared" si="9"/>
        <v>1.0006992641388595E-3</v>
      </c>
      <c r="K99" s="2"/>
      <c r="L99" s="2">
        <f t="shared" si="10"/>
        <v>-153</v>
      </c>
      <c r="M99" s="2"/>
      <c r="N99" s="22">
        <f t="shared" si="11"/>
        <v>-0.34693877551020408</v>
      </c>
      <c r="O99" s="11"/>
      <c r="P99" s="2">
        <v>288</v>
      </c>
      <c r="Q99" s="2"/>
      <c r="R99" s="22">
        <f t="shared" si="12"/>
        <v>7.0113368447796167E-4</v>
      </c>
      <c r="S99" s="2"/>
      <c r="T99" s="2">
        <v>441</v>
      </c>
      <c r="U99" s="2"/>
      <c r="V99" s="22">
        <f t="shared" si="13"/>
        <v>1.0006992641388595E-3</v>
      </c>
      <c r="W99" s="2"/>
      <c r="X99" s="2">
        <f t="shared" si="14"/>
        <v>-153</v>
      </c>
      <c r="Y99" s="2"/>
      <c r="Z99" s="22">
        <f t="shared" si="15"/>
        <v>-0.34693877551020408</v>
      </c>
    </row>
    <row r="100" spans="1:26" s="24" customFormat="1" hidden="1" outlineLevel="1" x14ac:dyDescent="0.25">
      <c r="A100" s="50"/>
      <c r="B100" s="11" t="str">
        <f>CONCATENATE("          ", "5013", " - ", "PURCHASES @ COST-TRADE BOOKS")</f>
        <v xml:space="preserve">          5013 - PURCHASES @ COST-TRADE BOOKS</v>
      </c>
      <c r="C100" s="11"/>
      <c r="D100" s="2">
        <v>204.9</v>
      </c>
      <c r="E100" s="2"/>
      <c r="F100" s="22">
        <f t="shared" si="8"/>
        <v>4.988274026025498E-4</v>
      </c>
      <c r="G100" s="2"/>
      <c r="H100" s="2">
        <v>119.79</v>
      </c>
      <c r="I100" s="2"/>
      <c r="J100" s="22">
        <f t="shared" si="9"/>
        <v>2.7182259603445352E-4</v>
      </c>
      <c r="K100" s="2"/>
      <c r="L100" s="2">
        <f t="shared" si="10"/>
        <v>85.11</v>
      </c>
      <c r="M100" s="2"/>
      <c r="N100" s="22">
        <f t="shared" si="11"/>
        <v>0.71049336338592528</v>
      </c>
      <c r="O100" s="11"/>
      <c r="P100" s="2">
        <v>204.9</v>
      </c>
      <c r="Q100" s="2"/>
      <c r="R100" s="22">
        <f t="shared" si="12"/>
        <v>4.988274026025498E-4</v>
      </c>
      <c r="S100" s="2"/>
      <c r="T100" s="2">
        <v>119.79</v>
      </c>
      <c r="U100" s="2"/>
      <c r="V100" s="22">
        <f t="shared" si="13"/>
        <v>2.7182259603445352E-4</v>
      </c>
      <c r="W100" s="2"/>
      <c r="X100" s="2">
        <f t="shared" si="14"/>
        <v>85.11</v>
      </c>
      <c r="Y100" s="2"/>
      <c r="Z100" s="22">
        <f t="shared" si="15"/>
        <v>0.71049336338592528</v>
      </c>
    </row>
    <row r="101" spans="1:26" s="24" customFormat="1" hidden="1" outlineLevel="1" x14ac:dyDescent="0.25">
      <c r="A101" s="50"/>
      <c r="B101" s="11" t="str">
        <f>CONCATENATE("          ", "5014", " - ", "PURCHASES @ COST-REMAINDERS")</f>
        <v xml:space="preserve">          5014 - PURCHASES @ COST-REMAINDERS</v>
      </c>
      <c r="C101" s="11"/>
      <c r="D101" s="2">
        <v>100.48</v>
      </c>
      <c r="E101" s="2"/>
      <c r="F101" s="22">
        <f t="shared" si="8"/>
        <v>2.4461775214008885E-4</v>
      </c>
      <c r="G101" s="2"/>
      <c r="H101" s="2">
        <v>227.6</v>
      </c>
      <c r="I101" s="2"/>
      <c r="J101" s="22">
        <f t="shared" si="9"/>
        <v>5.1646066330613251E-4</v>
      </c>
      <c r="K101" s="2"/>
      <c r="L101" s="2">
        <f t="shared" si="10"/>
        <v>-127.11999999999999</v>
      </c>
      <c r="M101" s="2"/>
      <c r="N101" s="22">
        <f t="shared" si="11"/>
        <v>-0.55852372583479781</v>
      </c>
      <c r="O101" s="11"/>
      <c r="P101" s="2">
        <v>100.48</v>
      </c>
      <c r="Q101" s="2"/>
      <c r="R101" s="22">
        <f t="shared" si="12"/>
        <v>2.4461775214008885E-4</v>
      </c>
      <c r="S101" s="2"/>
      <c r="T101" s="2">
        <v>227.6</v>
      </c>
      <c r="U101" s="2"/>
      <c r="V101" s="22">
        <f t="shared" si="13"/>
        <v>5.1646066330613251E-4</v>
      </c>
      <c r="W101" s="2"/>
      <c r="X101" s="2">
        <f t="shared" si="14"/>
        <v>-127.11999999999999</v>
      </c>
      <c r="Y101" s="2"/>
      <c r="Z101" s="22">
        <f t="shared" si="15"/>
        <v>-0.55852372583479781</v>
      </c>
    </row>
    <row r="102" spans="1:26" s="24" customFormat="1" hidden="1" outlineLevel="1" x14ac:dyDescent="0.25">
      <c r="A102" s="50"/>
      <c r="B102" s="11" t="str">
        <f>CONCATENATE("          ", "5018", " - ", "PURCHASES @ COST-STUDY GUIDES")</f>
        <v xml:space="preserve">          5018 - PURCHASES @ COST-STUDY GUIDES</v>
      </c>
      <c r="C102" s="11"/>
      <c r="D102" s="2">
        <v>503.93</v>
      </c>
      <c r="E102" s="2"/>
      <c r="F102" s="22">
        <f t="shared" si="8"/>
        <v>1.2268135333992334E-3</v>
      </c>
      <c r="G102" s="2"/>
      <c r="H102" s="2">
        <v>369.63</v>
      </c>
      <c r="I102" s="2"/>
      <c r="J102" s="22">
        <f t="shared" si="9"/>
        <v>8.3874936282006042E-4</v>
      </c>
      <c r="K102" s="2"/>
      <c r="L102" s="2">
        <f t="shared" si="10"/>
        <v>134.30000000000001</v>
      </c>
      <c r="M102" s="2"/>
      <c r="N102" s="22">
        <f t="shared" si="11"/>
        <v>0.36333630928225524</v>
      </c>
      <c r="O102" s="11"/>
      <c r="P102" s="2">
        <v>503.93</v>
      </c>
      <c r="Q102" s="2"/>
      <c r="R102" s="22">
        <f t="shared" si="12"/>
        <v>1.2268135333992334E-3</v>
      </c>
      <c r="S102" s="2"/>
      <c r="T102" s="2">
        <v>369.63</v>
      </c>
      <c r="U102" s="2"/>
      <c r="V102" s="22">
        <f t="shared" si="13"/>
        <v>8.3874936282006042E-4</v>
      </c>
      <c r="W102" s="2"/>
      <c r="X102" s="2">
        <f t="shared" si="14"/>
        <v>134.30000000000001</v>
      </c>
      <c r="Y102" s="2"/>
      <c r="Z102" s="22">
        <f t="shared" si="15"/>
        <v>0.36333630928225524</v>
      </c>
    </row>
    <row r="103" spans="1:26" s="24" customFormat="1" hidden="1" outlineLevel="1" x14ac:dyDescent="0.25">
      <c r="A103" s="50"/>
      <c r="B103" s="11" t="str">
        <f>CONCATENATE("          ", "5025", " - ", "PURCHASES @ COST-TEST FORMS")</f>
        <v xml:space="preserve">          5025 - PURCHASES @ COST-TEST FORMS</v>
      </c>
      <c r="C103" s="11"/>
      <c r="D103" s="2">
        <v>879.12</v>
      </c>
      <c r="E103" s="2"/>
      <c r="F103" s="22">
        <f t="shared" si="8"/>
        <v>2.140210571868978E-3</v>
      </c>
      <c r="G103" s="2"/>
      <c r="H103" s="2">
        <v>1050</v>
      </c>
      <c r="I103" s="2"/>
      <c r="J103" s="22">
        <f t="shared" si="9"/>
        <v>2.3826172955687132E-3</v>
      </c>
      <c r="K103" s="2"/>
      <c r="L103" s="2">
        <f t="shared" si="10"/>
        <v>-170.88</v>
      </c>
      <c r="M103" s="2"/>
      <c r="N103" s="22">
        <f t="shared" si="11"/>
        <v>-0.16274285714285713</v>
      </c>
      <c r="O103" s="11"/>
      <c r="P103" s="2">
        <v>879.12</v>
      </c>
      <c r="Q103" s="2"/>
      <c r="R103" s="22">
        <f t="shared" si="12"/>
        <v>2.140210571868978E-3</v>
      </c>
      <c r="S103" s="2"/>
      <c r="T103" s="2">
        <v>1050</v>
      </c>
      <c r="U103" s="2"/>
      <c r="V103" s="22">
        <f t="shared" si="13"/>
        <v>2.3826172955687132E-3</v>
      </c>
      <c r="W103" s="2"/>
      <c r="X103" s="2">
        <f t="shared" si="14"/>
        <v>-170.88</v>
      </c>
      <c r="Y103" s="2"/>
      <c r="Z103" s="22">
        <f t="shared" si="15"/>
        <v>-0.16274285714285713</v>
      </c>
    </row>
    <row r="104" spans="1:26" s="24" customFormat="1" hidden="1" outlineLevel="1" x14ac:dyDescent="0.25">
      <c r="A104" s="50"/>
      <c r="B104" s="11" t="str">
        <f>CONCATENATE("          ", "5026", " - ", "PURCHASES @ COST-WRITING INSTR")</f>
        <v xml:space="preserve">          5026 - PURCHASES @ COST-WRITING INSTR</v>
      </c>
      <c r="C104" s="11"/>
      <c r="D104" s="2">
        <v>10331.040000000001</v>
      </c>
      <c r="E104" s="2"/>
      <c r="F104" s="22">
        <f t="shared" si="8"/>
        <v>2.5150833818365283E-2</v>
      </c>
      <c r="G104" s="2"/>
      <c r="H104" s="2">
        <v>21190.09</v>
      </c>
      <c r="I104" s="2"/>
      <c r="J104" s="22">
        <f t="shared" si="9"/>
        <v>4.8083690408245366E-2</v>
      </c>
      <c r="K104" s="2"/>
      <c r="L104" s="2">
        <f t="shared" si="10"/>
        <v>-10859.05</v>
      </c>
      <c r="M104" s="2"/>
      <c r="N104" s="22">
        <f t="shared" si="11"/>
        <v>-0.51245888998111855</v>
      </c>
      <c r="O104" s="11"/>
      <c r="P104" s="2">
        <v>10331.040000000001</v>
      </c>
      <c r="Q104" s="2"/>
      <c r="R104" s="22">
        <f t="shared" si="12"/>
        <v>2.5150833818365283E-2</v>
      </c>
      <c r="S104" s="2"/>
      <c r="T104" s="2">
        <v>21190.09</v>
      </c>
      <c r="U104" s="2"/>
      <c r="V104" s="22">
        <f t="shared" si="13"/>
        <v>4.8083690408245366E-2</v>
      </c>
      <c r="W104" s="2"/>
      <c r="X104" s="2">
        <f t="shared" si="14"/>
        <v>-10859.05</v>
      </c>
      <c r="Y104" s="2"/>
      <c r="Z104" s="22">
        <f t="shared" si="15"/>
        <v>-0.51245888998111855</v>
      </c>
    </row>
    <row r="105" spans="1:26" s="24" customFormat="1" hidden="1" outlineLevel="1" x14ac:dyDescent="0.25">
      <c r="A105" s="50"/>
      <c r="B105" s="11" t="str">
        <f>CONCATENATE("          ", "5027", " - ", "PURCHASES @ COST-SCHOOL SUPPLI")</f>
        <v xml:space="preserve">          5027 - PURCHASES @ COST-SCHOOL SUPPLI</v>
      </c>
      <c r="C105" s="11"/>
      <c r="D105" s="2">
        <v>50115.47</v>
      </c>
      <c r="E105" s="2"/>
      <c r="F105" s="22">
        <f t="shared" si="8"/>
        <v>0.1220057087862665</v>
      </c>
      <c r="G105" s="2"/>
      <c r="H105" s="2">
        <v>55093.8</v>
      </c>
      <c r="I105" s="2"/>
      <c r="J105" s="22">
        <f t="shared" si="9"/>
        <v>0.12501661024628913</v>
      </c>
      <c r="K105" s="2"/>
      <c r="L105" s="2">
        <f t="shared" si="10"/>
        <v>-4978.3300000000017</v>
      </c>
      <c r="M105" s="2"/>
      <c r="N105" s="22">
        <f t="shared" si="11"/>
        <v>-9.0360984357586549E-2</v>
      </c>
      <c r="O105" s="11"/>
      <c r="P105" s="2">
        <v>50115.47</v>
      </c>
      <c r="Q105" s="2"/>
      <c r="R105" s="22">
        <f t="shared" si="12"/>
        <v>0.1220057087862665</v>
      </c>
      <c r="S105" s="2"/>
      <c r="T105" s="2">
        <v>55093.8</v>
      </c>
      <c r="U105" s="2"/>
      <c r="V105" s="22">
        <f t="shared" si="13"/>
        <v>0.12501661024628913</v>
      </c>
      <c r="W105" s="2"/>
      <c r="X105" s="2">
        <f t="shared" si="14"/>
        <v>-4978.3300000000017</v>
      </c>
      <c r="Y105" s="2"/>
      <c r="Z105" s="22">
        <f t="shared" si="15"/>
        <v>-9.0360984357586549E-2</v>
      </c>
    </row>
    <row r="106" spans="1:26" s="24" customFormat="1" hidden="1" outlineLevel="1" x14ac:dyDescent="0.25">
      <c r="A106" s="50"/>
      <c r="B106" s="11" t="str">
        <f>CONCATENATE("          ", "5028", " - ", "PURCHASES @ COST-ART/TECH")</f>
        <v xml:space="preserve">          5028 - PURCHASES @ COST-ART/TECH</v>
      </c>
      <c r="C106" s="11"/>
      <c r="D106" s="2">
        <v>28027.649999999998</v>
      </c>
      <c r="E106" s="2"/>
      <c r="F106" s="22">
        <f t="shared" si="8"/>
        <v>6.8233088582495632E-2</v>
      </c>
      <c r="G106" s="2"/>
      <c r="H106" s="2">
        <v>26024.080000000002</v>
      </c>
      <c r="I106" s="2"/>
      <c r="J106" s="22">
        <f t="shared" si="9"/>
        <v>5.9052783913584615E-2</v>
      </c>
      <c r="K106" s="2"/>
      <c r="L106" s="2">
        <f t="shared" si="10"/>
        <v>2003.5699999999961</v>
      </c>
      <c r="M106" s="2"/>
      <c r="N106" s="22">
        <f t="shared" si="11"/>
        <v>7.6989080882013727E-2</v>
      </c>
      <c r="O106" s="11"/>
      <c r="P106" s="2">
        <v>28027.649999999998</v>
      </c>
      <c r="Q106" s="2"/>
      <c r="R106" s="22">
        <f t="shared" si="12"/>
        <v>6.8233088582495632E-2</v>
      </c>
      <c r="S106" s="2"/>
      <c r="T106" s="2">
        <v>26024.080000000002</v>
      </c>
      <c r="U106" s="2"/>
      <c r="V106" s="22">
        <f t="shared" si="13"/>
        <v>5.9052783913584615E-2</v>
      </c>
      <c r="W106" s="2"/>
      <c r="X106" s="2">
        <f t="shared" si="14"/>
        <v>2003.5699999999961</v>
      </c>
      <c r="Y106" s="2"/>
      <c r="Z106" s="22">
        <f t="shared" si="15"/>
        <v>7.6989080882013727E-2</v>
      </c>
    </row>
    <row r="107" spans="1:26" s="24" customFormat="1" hidden="1" outlineLevel="1" x14ac:dyDescent="0.25">
      <c r="A107" s="50"/>
      <c r="B107" s="11" t="str">
        <f>CONCATENATE("          ", "5031", " - ", "PURCHASES @ COST-FOOD")</f>
        <v xml:space="preserve">          5031 - PURCHASES @ COST-FOOD</v>
      </c>
      <c r="C107" s="11"/>
      <c r="D107" s="2"/>
      <c r="E107" s="2"/>
      <c r="F107" s="22">
        <f t="shared" si="8"/>
        <v>0</v>
      </c>
      <c r="G107" s="2"/>
      <c r="H107" s="2">
        <v>89.16</v>
      </c>
      <c r="I107" s="2"/>
      <c r="J107" s="22">
        <f t="shared" si="9"/>
        <v>2.0231824578372044E-4</v>
      </c>
      <c r="K107" s="2"/>
      <c r="L107" s="2">
        <f t="shared" si="10"/>
        <v>-89.16</v>
      </c>
      <c r="M107" s="2"/>
      <c r="N107" s="22">
        <f t="shared" si="11"/>
        <v>-1</v>
      </c>
      <c r="O107" s="11"/>
      <c r="P107" s="2"/>
      <c r="Q107" s="2"/>
      <c r="R107" s="22">
        <f t="shared" si="12"/>
        <v>0</v>
      </c>
      <c r="S107" s="2"/>
      <c r="T107" s="2">
        <v>89.16</v>
      </c>
      <c r="U107" s="2"/>
      <c r="V107" s="22">
        <f t="shared" si="13"/>
        <v>2.0231824578372044E-4</v>
      </c>
      <c r="W107" s="2"/>
      <c r="X107" s="2">
        <f t="shared" si="14"/>
        <v>-89.16</v>
      </c>
      <c r="Y107" s="2"/>
      <c r="Z107" s="22">
        <f t="shared" si="15"/>
        <v>-1</v>
      </c>
    </row>
    <row r="108" spans="1:26" s="24" customFormat="1" hidden="1" outlineLevel="1" x14ac:dyDescent="0.25">
      <c r="A108" s="50"/>
      <c r="B108" s="11" t="str">
        <f>CONCATENATE("          ", "5032", " - ", "PURCHASES @ COST-JUICE")</f>
        <v xml:space="preserve">          5032 - PURCHASES @ COST-JUICE</v>
      </c>
      <c r="C108" s="11"/>
      <c r="D108" s="2">
        <v>114.42</v>
      </c>
      <c r="E108" s="2"/>
      <c r="F108" s="22">
        <f t="shared" si="8"/>
        <v>2.7855457006239017E-4</v>
      </c>
      <c r="G108" s="2"/>
      <c r="H108" s="2"/>
      <c r="I108" s="2"/>
      <c r="J108" s="22">
        <f t="shared" si="9"/>
        <v>0</v>
      </c>
      <c r="K108" s="2"/>
      <c r="L108" s="2">
        <f t="shared" si="10"/>
        <v>114.42</v>
      </c>
      <c r="M108" s="2"/>
      <c r="N108" s="22">
        <f t="shared" si="11"/>
        <v>0</v>
      </c>
      <c r="O108" s="11"/>
      <c r="P108" s="2">
        <v>114.42</v>
      </c>
      <c r="Q108" s="2"/>
      <c r="R108" s="22">
        <f t="shared" si="12"/>
        <v>2.7855457006239017E-4</v>
      </c>
      <c r="S108" s="2"/>
      <c r="T108" s="2"/>
      <c r="U108" s="2"/>
      <c r="V108" s="22">
        <f t="shared" si="13"/>
        <v>0</v>
      </c>
      <c r="W108" s="2"/>
      <c r="X108" s="2">
        <f t="shared" si="14"/>
        <v>114.42</v>
      </c>
      <c r="Y108" s="2"/>
      <c r="Z108" s="22">
        <f t="shared" si="15"/>
        <v>0</v>
      </c>
    </row>
    <row r="109" spans="1:26" s="24" customFormat="1" hidden="1" outlineLevel="1" x14ac:dyDescent="0.25">
      <c r="A109" s="50"/>
      <c r="B109" s="11" t="str">
        <f>CONCATENATE("          ", "5033", " - ", "PURCHASES @ COST-CANDY")</f>
        <v xml:space="preserve">          5033 - PURCHASES @ COST-CANDY</v>
      </c>
      <c r="C109" s="11"/>
      <c r="D109" s="2"/>
      <c r="E109" s="2"/>
      <c r="F109" s="22">
        <f t="shared" si="8"/>
        <v>0</v>
      </c>
      <c r="G109" s="2"/>
      <c r="H109" s="2">
        <v>162.99</v>
      </c>
      <c r="I109" s="2"/>
      <c r="J109" s="22">
        <f t="shared" si="9"/>
        <v>3.698502790521377E-4</v>
      </c>
      <c r="K109" s="2"/>
      <c r="L109" s="2">
        <f t="shared" si="10"/>
        <v>-162.99</v>
      </c>
      <c r="M109" s="2"/>
      <c r="N109" s="22">
        <f t="shared" si="11"/>
        <v>-1</v>
      </c>
      <c r="O109" s="11"/>
      <c r="P109" s="2"/>
      <c r="Q109" s="2"/>
      <c r="R109" s="22">
        <f t="shared" si="12"/>
        <v>0</v>
      </c>
      <c r="S109" s="2"/>
      <c r="T109" s="2">
        <v>162.99</v>
      </c>
      <c r="U109" s="2"/>
      <c r="V109" s="22">
        <f t="shared" si="13"/>
        <v>3.698502790521377E-4</v>
      </c>
      <c r="W109" s="2"/>
      <c r="X109" s="2">
        <f t="shared" si="14"/>
        <v>-162.99</v>
      </c>
      <c r="Y109" s="2"/>
      <c r="Z109" s="22">
        <f t="shared" si="15"/>
        <v>-1</v>
      </c>
    </row>
    <row r="110" spans="1:26" s="24" customFormat="1" hidden="1" outlineLevel="1" x14ac:dyDescent="0.25">
      <c r="A110" s="50"/>
      <c r="B110" s="11" t="str">
        <f>CONCATENATE("          ", "5034", " - ", "PURCHASES @ COST-SODA")</f>
        <v xml:space="preserve">          5034 - PURCHASES @ COST-SODA</v>
      </c>
      <c r="C110" s="11"/>
      <c r="D110" s="2">
        <v>-61.54</v>
      </c>
      <c r="E110" s="2"/>
      <c r="F110" s="22">
        <f t="shared" si="8"/>
        <v>-1.4981863521796443E-4</v>
      </c>
      <c r="G110" s="2"/>
      <c r="H110" s="2">
        <v>0</v>
      </c>
      <c r="I110" s="2"/>
      <c r="J110" s="22">
        <f t="shared" si="9"/>
        <v>0</v>
      </c>
      <c r="K110" s="2"/>
      <c r="L110" s="2">
        <f t="shared" si="10"/>
        <v>-61.54</v>
      </c>
      <c r="M110" s="2"/>
      <c r="N110" s="22">
        <f t="shared" si="11"/>
        <v>0</v>
      </c>
      <c r="O110" s="11"/>
      <c r="P110" s="2">
        <v>-61.54</v>
      </c>
      <c r="Q110" s="2"/>
      <c r="R110" s="22">
        <f t="shared" si="12"/>
        <v>-1.4981863521796443E-4</v>
      </c>
      <c r="S110" s="2"/>
      <c r="T110" s="2">
        <v>0</v>
      </c>
      <c r="U110" s="2"/>
      <c r="V110" s="22">
        <f t="shared" si="13"/>
        <v>0</v>
      </c>
      <c r="W110" s="2"/>
      <c r="X110" s="2">
        <f t="shared" si="14"/>
        <v>-61.54</v>
      </c>
      <c r="Y110" s="2"/>
      <c r="Z110" s="22">
        <f t="shared" si="15"/>
        <v>0</v>
      </c>
    </row>
    <row r="111" spans="1:26" s="24" customFormat="1" hidden="1" outlineLevel="1" x14ac:dyDescent="0.25">
      <c r="A111" s="50"/>
      <c r="B111" s="11" t="str">
        <f>CONCATENATE("          ", "5037", " - ", "PURCHASES @ COST-WATER")</f>
        <v xml:space="preserve">          5037 - PURCHASES @ COST-WATER</v>
      </c>
      <c r="C111" s="11"/>
      <c r="D111" s="2">
        <v>33.58</v>
      </c>
      <c r="E111" s="2"/>
      <c r="F111" s="22">
        <f t="shared" si="8"/>
        <v>8.1750240016562325E-5</v>
      </c>
      <c r="G111" s="2"/>
      <c r="H111" s="2"/>
      <c r="I111" s="2"/>
      <c r="J111" s="22">
        <f t="shared" si="9"/>
        <v>0</v>
      </c>
      <c r="K111" s="2"/>
      <c r="L111" s="2">
        <f t="shared" si="10"/>
        <v>33.58</v>
      </c>
      <c r="M111" s="2"/>
      <c r="N111" s="22">
        <f t="shared" si="11"/>
        <v>0</v>
      </c>
      <c r="O111" s="11"/>
      <c r="P111" s="2">
        <v>33.58</v>
      </c>
      <c r="Q111" s="2"/>
      <c r="R111" s="22">
        <f t="shared" si="12"/>
        <v>8.1750240016562325E-5</v>
      </c>
      <c r="S111" s="2"/>
      <c r="T111" s="2"/>
      <c r="U111" s="2"/>
      <c r="V111" s="22">
        <f t="shared" si="13"/>
        <v>0</v>
      </c>
      <c r="W111" s="2"/>
      <c r="X111" s="2">
        <f t="shared" si="14"/>
        <v>33.58</v>
      </c>
      <c r="Y111" s="2"/>
      <c r="Z111" s="22">
        <f t="shared" si="15"/>
        <v>0</v>
      </c>
    </row>
    <row r="112" spans="1:26" s="24" customFormat="1" hidden="1" outlineLevel="1" x14ac:dyDescent="0.25">
      <c r="A112" s="50"/>
      <c r="B112" s="11" t="str">
        <f>CONCATENATE("          ", "5040", " - ", "PURCHASES @ COST-LOGO CLOTHING")</f>
        <v xml:space="preserve">          5040 - PURCHASES @ COST-LOGO CLOTHING</v>
      </c>
      <c r="C112" s="11"/>
      <c r="D112" s="2">
        <v>78921.570000000007</v>
      </c>
      <c r="E112" s="2"/>
      <c r="F112" s="22">
        <f t="shared" si="8"/>
        <v>0.19213392763501863</v>
      </c>
      <c r="G112" s="2"/>
      <c r="H112" s="2">
        <v>79500.37000000001</v>
      </c>
      <c r="I112" s="2"/>
      <c r="J112" s="22">
        <f t="shared" si="9"/>
        <v>0.18039900625344008</v>
      </c>
      <c r="K112" s="2"/>
      <c r="L112" s="2">
        <f t="shared" si="10"/>
        <v>-578.80000000000291</v>
      </c>
      <c r="M112" s="2"/>
      <c r="N112" s="22">
        <f t="shared" si="11"/>
        <v>-7.2804692607091369E-3</v>
      </c>
      <c r="O112" s="11"/>
      <c r="P112" s="2">
        <v>78921.570000000007</v>
      </c>
      <c r="Q112" s="2"/>
      <c r="R112" s="22">
        <f t="shared" si="12"/>
        <v>0.19213392763501863</v>
      </c>
      <c r="S112" s="2"/>
      <c r="T112" s="2">
        <v>79500.37000000001</v>
      </c>
      <c r="U112" s="2"/>
      <c r="V112" s="22">
        <f t="shared" si="13"/>
        <v>0.18039900625344008</v>
      </c>
      <c r="W112" s="2"/>
      <c r="X112" s="2">
        <f t="shared" si="14"/>
        <v>-578.80000000000291</v>
      </c>
      <c r="Y112" s="2"/>
      <c r="Z112" s="22">
        <f t="shared" si="15"/>
        <v>-7.2804692607091369E-3</v>
      </c>
    </row>
    <row r="113" spans="1:26" s="24" customFormat="1" hidden="1" outlineLevel="1" x14ac:dyDescent="0.25">
      <c r="A113" s="50"/>
      <c r="B113" s="11" t="str">
        <f>CONCATENATE("          ", "5041", " - ", "PURCHASES @ COST-LOGO GIFTS")</f>
        <v xml:space="preserve">          5041 - PURCHASES @ COST-LOGO GIFTS</v>
      </c>
      <c r="C113" s="11"/>
      <c r="D113" s="2">
        <v>11950.27</v>
      </c>
      <c r="E113" s="2"/>
      <c r="F113" s="22">
        <f t="shared" si="8"/>
        <v>2.9092836234744623E-2</v>
      </c>
      <c r="G113" s="2"/>
      <c r="H113" s="2">
        <v>22095.94</v>
      </c>
      <c r="I113" s="2"/>
      <c r="J113" s="22">
        <f t="shared" si="9"/>
        <v>5.013920838652243E-2</v>
      </c>
      <c r="K113" s="2"/>
      <c r="L113" s="2">
        <f t="shared" si="10"/>
        <v>-10145.669999999998</v>
      </c>
      <c r="M113" s="2"/>
      <c r="N113" s="22">
        <f t="shared" si="11"/>
        <v>-0.45916444378469523</v>
      </c>
      <c r="O113" s="11"/>
      <c r="P113" s="2">
        <v>11950.27</v>
      </c>
      <c r="Q113" s="2"/>
      <c r="R113" s="22">
        <f t="shared" si="12"/>
        <v>2.9092836234744623E-2</v>
      </c>
      <c r="S113" s="2"/>
      <c r="T113" s="2">
        <v>22095.94</v>
      </c>
      <c r="U113" s="2"/>
      <c r="V113" s="22">
        <f t="shared" si="13"/>
        <v>5.013920838652243E-2</v>
      </c>
      <c r="W113" s="2"/>
      <c r="X113" s="2">
        <f t="shared" si="14"/>
        <v>-10145.669999999998</v>
      </c>
      <c r="Y113" s="2"/>
      <c r="Z113" s="22">
        <f t="shared" si="15"/>
        <v>-0.45916444378469523</v>
      </c>
    </row>
    <row r="114" spans="1:26" s="24" customFormat="1" hidden="1" outlineLevel="1" x14ac:dyDescent="0.25">
      <c r="A114" s="50"/>
      <c r="B114" s="11" t="str">
        <f>CONCATENATE("          ", "5042", " - ", "PURCHASES @ COST-EVERYDAY GIFT")</f>
        <v xml:space="preserve">          5042 - PURCHASES @ COST-EVERYDAY GIFT</v>
      </c>
      <c r="C114" s="11"/>
      <c r="D114" s="2">
        <v>7752.36</v>
      </c>
      <c r="E114" s="2"/>
      <c r="F114" s="22">
        <f t="shared" si="8"/>
        <v>1.8873058090970733E-2</v>
      </c>
      <c r="G114" s="2"/>
      <c r="H114" s="2">
        <v>4700.42</v>
      </c>
      <c r="I114" s="2"/>
      <c r="J114" s="22">
        <f t="shared" si="9"/>
        <v>1.066600189374961E-2</v>
      </c>
      <c r="K114" s="2"/>
      <c r="L114" s="2">
        <f t="shared" si="10"/>
        <v>3051.9399999999996</v>
      </c>
      <c r="M114" s="2"/>
      <c r="N114" s="22">
        <f t="shared" si="11"/>
        <v>0.64929091442892328</v>
      </c>
      <c r="O114" s="11"/>
      <c r="P114" s="2">
        <v>7752.36</v>
      </c>
      <c r="Q114" s="2"/>
      <c r="R114" s="22">
        <f t="shared" si="12"/>
        <v>1.8873058090970733E-2</v>
      </c>
      <c r="S114" s="2"/>
      <c r="T114" s="2">
        <v>4700.42</v>
      </c>
      <c r="U114" s="2"/>
      <c r="V114" s="22">
        <f t="shared" si="13"/>
        <v>1.066600189374961E-2</v>
      </c>
      <c r="W114" s="2"/>
      <c r="X114" s="2">
        <f t="shared" si="14"/>
        <v>3051.9399999999996</v>
      </c>
      <c r="Y114" s="2"/>
      <c r="Z114" s="22">
        <f t="shared" si="15"/>
        <v>0.64929091442892328</v>
      </c>
    </row>
    <row r="115" spans="1:26" s="24" customFormat="1" hidden="1" outlineLevel="1" x14ac:dyDescent="0.25">
      <c r="A115" s="50"/>
      <c r="B115" s="11" t="str">
        <f>CONCATENATE("          ", "5043", " - ", "PURCHASES @ COST-CARDS")</f>
        <v xml:space="preserve">          5043 - PURCHASES @ COST-CARDS</v>
      </c>
      <c r="C115" s="11"/>
      <c r="D115" s="2">
        <v>498.26</v>
      </c>
      <c r="E115" s="2"/>
      <c r="F115" s="22">
        <f t="shared" si="8"/>
        <v>1.2130099639860734E-3</v>
      </c>
      <c r="G115" s="2"/>
      <c r="H115" s="2">
        <v>470.73</v>
      </c>
      <c r="I115" s="2"/>
      <c r="J115" s="22">
        <f t="shared" si="9"/>
        <v>1.0681613709933909E-3</v>
      </c>
      <c r="K115" s="2"/>
      <c r="L115" s="2">
        <f t="shared" si="10"/>
        <v>27.529999999999973</v>
      </c>
      <c r="M115" s="2"/>
      <c r="N115" s="22">
        <f t="shared" si="11"/>
        <v>5.848363180591841E-2</v>
      </c>
      <c r="O115" s="11"/>
      <c r="P115" s="2">
        <v>498.26</v>
      </c>
      <c r="Q115" s="2"/>
      <c r="R115" s="22">
        <f t="shared" si="12"/>
        <v>1.2130099639860734E-3</v>
      </c>
      <c r="S115" s="2"/>
      <c r="T115" s="2">
        <v>470.73</v>
      </c>
      <c r="U115" s="2"/>
      <c r="V115" s="22">
        <f t="shared" si="13"/>
        <v>1.0681613709933909E-3</v>
      </c>
      <c r="W115" s="2"/>
      <c r="X115" s="2">
        <f t="shared" si="14"/>
        <v>27.529999999999973</v>
      </c>
      <c r="Y115" s="2"/>
      <c r="Z115" s="22">
        <f t="shared" si="15"/>
        <v>5.848363180591841E-2</v>
      </c>
    </row>
    <row r="116" spans="1:26" s="24" customFormat="1" hidden="1" outlineLevel="1" x14ac:dyDescent="0.25">
      <c r="A116" s="50"/>
      <c r="B116" s="11" t="str">
        <f>CONCATENATE("          ", "5044", " - ", "PURCHASES @ COST-ACCESSORIES")</f>
        <v xml:space="preserve">          5044 - PURCHASES @ COST-ACCESSORIES</v>
      </c>
      <c r="C116" s="11"/>
      <c r="D116" s="2">
        <v>4839</v>
      </c>
      <c r="E116" s="2"/>
      <c r="F116" s="22">
        <f t="shared" si="8"/>
        <v>1.1780506594405752E-2</v>
      </c>
      <c r="G116" s="2"/>
      <c r="H116" s="2">
        <v>6063</v>
      </c>
      <c r="I116" s="2"/>
      <c r="J116" s="22">
        <f t="shared" si="9"/>
        <v>1.3757913012412484E-2</v>
      </c>
      <c r="K116" s="2"/>
      <c r="L116" s="2">
        <f t="shared" si="10"/>
        <v>-1224</v>
      </c>
      <c r="M116" s="2"/>
      <c r="N116" s="22">
        <f t="shared" si="11"/>
        <v>-0.20188025729836714</v>
      </c>
      <c r="O116" s="11"/>
      <c r="P116" s="2">
        <v>4839</v>
      </c>
      <c r="Q116" s="2"/>
      <c r="R116" s="22">
        <f t="shared" si="12"/>
        <v>1.1780506594405752E-2</v>
      </c>
      <c r="S116" s="2"/>
      <c r="T116" s="2">
        <v>6063</v>
      </c>
      <c r="U116" s="2"/>
      <c r="V116" s="22">
        <f t="shared" si="13"/>
        <v>1.3757913012412484E-2</v>
      </c>
      <c r="W116" s="2"/>
      <c r="X116" s="2">
        <f t="shared" si="14"/>
        <v>-1224</v>
      </c>
      <c r="Y116" s="2"/>
      <c r="Z116" s="22">
        <f t="shared" si="15"/>
        <v>-0.20188025729836714</v>
      </c>
    </row>
    <row r="117" spans="1:26" s="24" customFormat="1" hidden="1" outlineLevel="1" x14ac:dyDescent="0.25">
      <c r="A117" s="50"/>
      <c r="B117" s="11" t="str">
        <f>CONCATENATE("          ", "5045", " - ", "PURCHASES @ COST-SPECIAL ORDER")</f>
        <v xml:space="preserve">          5045 - PURCHASES @ COST-SPECIAL ORDER</v>
      </c>
      <c r="C117" s="11"/>
      <c r="D117" s="2">
        <v>15992.849999999999</v>
      </c>
      <c r="E117" s="2"/>
      <c r="F117" s="22">
        <f t="shared" si="8"/>
        <v>3.8934464742372804E-2</v>
      </c>
      <c r="G117" s="2"/>
      <c r="H117" s="2">
        <v>18624.310000000001</v>
      </c>
      <c r="I117" s="2"/>
      <c r="J117" s="22">
        <f t="shared" si="9"/>
        <v>4.2261526784793661E-2</v>
      </c>
      <c r="K117" s="2"/>
      <c r="L117" s="2">
        <f t="shared" si="10"/>
        <v>-2631.4600000000028</v>
      </c>
      <c r="M117" s="2"/>
      <c r="N117" s="22">
        <f t="shared" si="11"/>
        <v>-0.14129167738294748</v>
      </c>
      <c r="O117" s="11"/>
      <c r="P117" s="2">
        <v>15992.849999999999</v>
      </c>
      <c r="Q117" s="2"/>
      <c r="R117" s="22">
        <f t="shared" si="12"/>
        <v>3.8934464742372804E-2</v>
      </c>
      <c r="S117" s="2"/>
      <c r="T117" s="2">
        <v>18624.310000000001</v>
      </c>
      <c r="U117" s="2"/>
      <c r="V117" s="22">
        <f t="shared" si="13"/>
        <v>4.2261526784793661E-2</v>
      </c>
      <c r="W117" s="2"/>
      <c r="X117" s="2">
        <f t="shared" si="14"/>
        <v>-2631.4600000000028</v>
      </c>
      <c r="Y117" s="2"/>
      <c r="Z117" s="22">
        <f t="shared" si="15"/>
        <v>-0.14129167738294748</v>
      </c>
    </row>
    <row r="118" spans="1:26" s="24" customFormat="1" hidden="1" outlineLevel="1" x14ac:dyDescent="0.25">
      <c r="A118" s="50"/>
      <c r="B118" s="11" t="str">
        <f>CONCATENATE("          ", "5053", " - ", "PURCHASES @ COST-FOOD")</f>
        <v xml:space="preserve">          5053 - PURCHASES @ COST-FOOD</v>
      </c>
      <c r="C118" s="11"/>
      <c r="D118" s="2">
        <v>41557.07</v>
      </c>
      <c r="E118" s="2"/>
      <c r="F118" s="22">
        <f t="shared" si="8"/>
        <v>0.10117035279586307</v>
      </c>
      <c r="G118" s="2"/>
      <c r="H118" s="2">
        <v>33668.899999999994</v>
      </c>
      <c r="I118" s="2"/>
      <c r="J118" s="22">
        <f t="shared" si="9"/>
        <v>7.6400098535974695E-2</v>
      </c>
      <c r="K118" s="2"/>
      <c r="L118" s="2">
        <f t="shared" si="10"/>
        <v>7888.1700000000055</v>
      </c>
      <c r="M118" s="2"/>
      <c r="N118" s="22">
        <f t="shared" si="11"/>
        <v>0.23428653742771541</v>
      </c>
      <c r="O118" s="11"/>
      <c r="P118" s="2">
        <v>41557.07</v>
      </c>
      <c r="Q118" s="2"/>
      <c r="R118" s="22">
        <f t="shared" si="12"/>
        <v>0.10117035279586307</v>
      </c>
      <c r="S118" s="2"/>
      <c r="T118" s="2">
        <v>33668.899999999994</v>
      </c>
      <c r="U118" s="2"/>
      <c r="V118" s="22">
        <f t="shared" si="13"/>
        <v>7.6400098535974695E-2</v>
      </c>
      <c r="W118" s="2"/>
      <c r="X118" s="2">
        <f t="shared" si="14"/>
        <v>7888.1700000000055</v>
      </c>
      <c r="Y118" s="2"/>
      <c r="Z118" s="22">
        <f t="shared" si="15"/>
        <v>0.23428653742771541</v>
      </c>
    </row>
    <row r="119" spans="1:26" s="24" customFormat="1" hidden="1" outlineLevel="1" x14ac:dyDescent="0.25">
      <c r="A119" s="50"/>
      <c r="B119" s="11" t="str">
        <f>CONCATENATE("          ", "5059", " - ", "PURCHASES @ COST-FOOD")</f>
        <v xml:space="preserve">          5059 - PURCHASES @ COST-FOOD</v>
      </c>
      <c r="C119" s="11"/>
      <c r="D119" s="2">
        <v>-16290.750000000002</v>
      </c>
      <c r="E119" s="2"/>
      <c r="F119" s="22">
        <f t="shared" si="8"/>
        <v>-3.9659699897254708E-2</v>
      </c>
      <c r="G119" s="2"/>
      <c r="H119" s="2">
        <v>-21155.94</v>
      </c>
      <c r="I119" s="2"/>
      <c r="J119" s="22">
        <f t="shared" si="9"/>
        <v>-4.8006198617156152E-2</v>
      </c>
      <c r="K119" s="2"/>
      <c r="L119" s="2">
        <f t="shared" si="10"/>
        <v>4865.1899999999969</v>
      </c>
      <c r="M119" s="2"/>
      <c r="N119" s="22">
        <f t="shared" si="11"/>
        <v>-0.22996803734553969</v>
      </c>
      <c r="O119" s="11"/>
      <c r="P119" s="2">
        <v>-16290.750000000002</v>
      </c>
      <c r="Q119" s="2"/>
      <c r="R119" s="22">
        <f t="shared" si="12"/>
        <v>-3.9659699897254708E-2</v>
      </c>
      <c r="S119" s="2"/>
      <c r="T119" s="2">
        <v>-21155.94</v>
      </c>
      <c r="U119" s="2"/>
      <c r="V119" s="22">
        <f t="shared" si="13"/>
        <v>-4.8006198617156152E-2</v>
      </c>
      <c r="W119" s="2"/>
      <c r="X119" s="2">
        <f t="shared" si="14"/>
        <v>4865.1899999999969</v>
      </c>
      <c r="Y119" s="2"/>
      <c r="Z119" s="22">
        <f t="shared" si="15"/>
        <v>-0.22996803734553969</v>
      </c>
    </row>
    <row r="120" spans="1:26" s="24" customFormat="1" hidden="1" outlineLevel="1" x14ac:dyDescent="0.25">
      <c r="A120" s="50"/>
      <c r="B120" s="11" t="str">
        <f>CONCATENATE("          ", "5092", " - ", "PURCHASES @ COST-GRAD MERCH")</f>
        <v xml:space="preserve">          5092 - PURCHASES @ COST-GRAD MERCH</v>
      </c>
      <c r="C120" s="11"/>
      <c r="D120" s="2">
        <v>1228.5999999999999</v>
      </c>
      <c r="E120" s="2"/>
      <c r="F120" s="22">
        <f t="shared" si="8"/>
        <v>2.9910168220473043E-3</v>
      </c>
      <c r="G120" s="2"/>
      <c r="H120" s="2">
        <v>-1235.3900000000001</v>
      </c>
      <c r="I120" s="2"/>
      <c r="J120" s="22">
        <f t="shared" si="9"/>
        <v>-2.8032967435929839E-3</v>
      </c>
      <c r="K120" s="2"/>
      <c r="L120" s="2">
        <f t="shared" si="10"/>
        <v>2463.9899999999998</v>
      </c>
      <c r="M120" s="2"/>
      <c r="N120" s="22">
        <f t="shared" si="11"/>
        <v>-1.9945037599462514</v>
      </c>
      <c r="O120" s="11"/>
      <c r="P120" s="2">
        <v>1228.5999999999999</v>
      </c>
      <c r="Q120" s="2"/>
      <c r="R120" s="22">
        <f t="shared" si="12"/>
        <v>2.9910168220473043E-3</v>
      </c>
      <c r="S120" s="2"/>
      <c r="T120" s="2">
        <v>-1235.3900000000001</v>
      </c>
      <c r="U120" s="2"/>
      <c r="V120" s="22">
        <f t="shared" si="13"/>
        <v>-2.8032967435929839E-3</v>
      </c>
      <c r="W120" s="2"/>
      <c r="X120" s="2">
        <f t="shared" si="14"/>
        <v>2463.9899999999998</v>
      </c>
      <c r="Y120" s="2"/>
      <c r="Z120" s="22">
        <f t="shared" si="15"/>
        <v>-1.9945037599462514</v>
      </c>
    </row>
    <row r="121" spans="1:26" s="24" customFormat="1" hidden="1" outlineLevel="1" x14ac:dyDescent="0.25">
      <c r="A121" s="50"/>
      <c r="B121" s="11" t="str">
        <f>CONCATENATE("          ", "5095", " - ", "PURCHASES @ COST-CUSTOMER SERV")</f>
        <v xml:space="preserve">          5095 - PURCHASES @ COST-CUSTOMER SERV</v>
      </c>
      <c r="C121" s="11"/>
      <c r="D121" s="2">
        <v>0</v>
      </c>
      <c r="E121" s="2"/>
      <c r="F121" s="22">
        <f t="shared" si="8"/>
        <v>0</v>
      </c>
      <c r="G121" s="2"/>
      <c r="H121" s="2"/>
      <c r="I121" s="2"/>
      <c r="J121" s="22">
        <f t="shared" si="9"/>
        <v>0</v>
      </c>
      <c r="K121" s="2"/>
      <c r="L121" s="2">
        <f t="shared" si="10"/>
        <v>0</v>
      </c>
      <c r="M121" s="2"/>
      <c r="N121" s="22">
        <f t="shared" si="11"/>
        <v>0</v>
      </c>
      <c r="O121" s="11"/>
      <c r="P121" s="2">
        <v>0</v>
      </c>
      <c r="Q121" s="2"/>
      <c r="R121" s="22">
        <f t="shared" si="12"/>
        <v>0</v>
      </c>
      <c r="S121" s="2"/>
      <c r="T121" s="2"/>
      <c r="U121" s="2"/>
      <c r="V121" s="22">
        <f t="shared" si="13"/>
        <v>0</v>
      </c>
      <c r="W121" s="2"/>
      <c r="X121" s="2">
        <f t="shared" si="14"/>
        <v>0</v>
      </c>
      <c r="Y121" s="2"/>
      <c r="Z121" s="22">
        <f t="shared" si="15"/>
        <v>0</v>
      </c>
    </row>
    <row r="122" spans="1:26" s="24" customFormat="1" hidden="1" outlineLevel="1" x14ac:dyDescent="0.25">
      <c r="A122" s="50"/>
      <c r="B122" s="11" t="str">
        <f>CONCATENATE("          ", "5200", " - ", "PURCHASES OFFSET")</f>
        <v xml:space="preserve">          5200 - PURCHASES OFFSET</v>
      </c>
      <c r="C122" s="11"/>
      <c r="D122" s="2">
        <v>-828869</v>
      </c>
      <c r="E122" s="2"/>
      <c r="F122" s="22">
        <f t="shared" si="8"/>
        <v>-2.0178749163873735</v>
      </c>
      <c r="G122" s="2"/>
      <c r="H122" s="2">
        <v>-802418</v>
      </c>
      <c r="I122" s="2"/>
      <c r="J122" s="22">
        <f t="shared" si="9"/>
        <v>-1.8208142905482436</v>
      </c>
      <c r="K122" s="2"/>
      <c r="L122" s="2">
        <f t="shared" si="10"/>
        <v>-26451</v>
      </c>
      <c r="M122" s="2"/>
      <c r="N122" s="22">
        <f t="shared" si="11"/>
        <v>3.2964115959512374E-2</v>
      </c>
      <c r="O122" s="11"/>
      <c r="P122" s="2">
        <v>-828869</v>
      </c>
      <c r="Q122" s="2"/>
      <c r="R122" s="22">
        <f t="shared" si="12"/>
        <v>-2.0178749163873735</v>
      </c>
      <c r="S122" s="2"/>
      <c r="T122" s="2">
        <v>-802418</v>
      </c>
      <c r="U122" s="2"/>
      <c r="V122" s="22">
        <f t="shared" si="13"/>
        <v>-1.8208142905482436</v>
      </c>
      <c r="W122" s="2"/>
      <c r="X122" s="2">
        <f t="shared" si="14"/>
        <v>-26451</v>
      </c>
      <c r="Y122" s="2"/>
      <c r="Z122" s="22">
        <f t="shared" si="15"/>
        <v>3.2964115959512374E-2</v>
      </c>
    </row>
    <row r="123" spans="1:26" s="24" customFormat="1" hidden="1" outlineLevel="1" x14ac:dyDescent="0.25">
      <c r="A123" s="50"/>
      <c r="B123" s="11" t="str">
        <f>CONCATENATE("          ", "5300", " - ", "COG$ OFFSET")</f>
        <v xml:space="preserve">          5300 - COG$ OFFSET</v>
      </c>
      <c r="C123" s="11"/>
      <c r="D123" s="2">
        <v>181170</v>
      </c>
      <c r="E123" s="2"/>
      <c r="F123" s="22">
        <f t="shared" si="8"/>
        <v>0.44105690839191775</v>
      </c>
      <c r="G123" s="2"/>
      <c r="H123" s="2">
        <v>191765</v>
      </c>
      <c r="I123" s="2"/>
      <c r="J123" s="22">
        <f t="shared" si="9"/>
        <v>0.435145338747366</v>
      </c>
      <c r="K123" s="2"/>
      <c r="L123" s="2">
        <f t="shared" si="10"/>
        <v>-10595</v>
      </c>
      <c r="M123" s="2"/>
      <c r="N123" s="22">
        <f t="shared" si="11"/>
        <v>-5.5249915260866166E-2</v>
      </c>
      <c r="O123" s="11"/>
      <c r="P123" s="2">
        <v>181170</v>
      </c>
      <c r="Q123" s="2"/>
      <c r="R123" s="22">
        <f t="shared" si="12"/>
        <v>0.44105690839191775</v>
      </c>
      <c r="S123" s="2"/>
      <c r="T123" s="2">
        <v>191765</v>
      </c>
      <c r="U123" s="2"/>
      <c r="V123" s="22">
        <f t="shared" si="13"/>
        <v>0.435145338747366</v>
      </c>
      <c r="W123" s="2"/>
      <c r="X123" s="2">
        <f t="shared" si="14"/>
        <v>-10595</v>
      </c>
      <c r="Y123" s="2"/>
      <c r="Z123" s="22">
        <f t="shared" si="15"/>
        <v>-5.5249915260866166E-2</v>
      </c>
    </row>
    <row r="124" spans="1:26" s="24" customFormat="1" hidden="1" outlineLevel="1" x14ac:dyDescent="0.25">
      <c r="A124" s="50"/>
      <c r="B124" s="11" t="str">
        <f>CONCATENATE("          ", "5500", " - ", "FREIGHT-IN")</f>
        <v xml:space="preserve">          5500 - FREIGHT-IN</v>
      </c>
      <c r="C124" s="11"/>
      <c r="D124" s="2">
        <v>49</v>
      </c>
      <c r="E124" s="2"/>
      <c r="F124" s="22">
        <f t="shared" si="8"/>
        <v>1.1929010603965319E-4</v>
      </c>
      <c r="G124" s="2"/>
      <c r="H124" s="2"/>
      <c r="I124" s="2"/>
      <c r="J124" s="22">
        <f t="shared" si="9"/>
        <v>0</v>
      </c>
      <c r="K124" s="2"/>
      <c r="L124" s="2">
        <f t="shared" si="10"/>
        <v>49</v>
      </c>
      <c r="M124" s="2"/>
      <c r="N124" s="22">
        <f t="shared" si="11"/>
        <v>0</v>
      </c>
      <c r="O124" s="11"/>
      <c r="P124" s="2">
        <v>49</v>
      </c>
      <c r="Q124" s="2"/>
      <c r="R124" s="22">
        <f t="shared" si="12"/>
        <v>1.1929010603965319E-4</v>
      </c>
      <c r="S124" s="2"/>
      <c r="T124" s="2"/>
      <c r="U124" s="2"/>
      <c r="V124" s="22">
        <f t="shared" si="13"/>
        <v>0</v>
      </c>
      <c r="W124" s="2"/>
      <c r="X124" s="2">
        <f t="shared" si="14"/>
        <v>49</v>
      </c>
      <c r="Y124" s="2"/>
      <c r="Z124" s="22">
        <f t="shared" si="15"/>
        <v>0</v>
      </c>
    </row>
    <row r="125" spans="1:26" s="24" customFormat="1" hidden="1" outlineLevel="1" x14ac:dyDescent="0.25">
      <c r="A125" s="50"/>
      <c r="B125" s="11" t="str">
        <f>CONCATENATE("          ", "5501", " - ", "FREIGHT-IN-NEW TEXT")</f>
        <v xml:space="preserve">          5501 - FREIGHT-IN-NEW TEXT</v>
      </c>
      <c r="C125" s="11"/>
      <c r="D125" s="2">
        <v>1716.08</v>
      </c>
      <c r="E125" s="2"/>
      <c r="F125" s="22">
        <f t="shared" si="8"/>
        <v>4.1777829627046544E-3</v>
      </c>
      <c r="G125" s="2"/>
      <c r="H125" s="2">
        <v>2158.9299999999998</v>
      </c>
      <c r="I125" s="2"/>
      <c r="J125" s="22">
        <f t="shared" si="9"/>
        <v>4.8989561504020583E-3</v>
      </c>
      <c r="K125" s="2"/>
      <c r="L125" s="2">
        <f t="shared" si="10"/>
        <v>-442.84999999999991</v>
      </c>
      <c r="M125" s="2"/>
      <c r="N125" s="22">
        <f t="shared" si="11"/>
        <v>-0.20512476087691586</v>
      </c>
      <c r="O125" s="11"/>
      <c r="P125" s="2">
        <v>1716.08</v>
      </c>
      <c r="Q125" s="2"/>
      <c r="R125" s="22">
        <f t="shared" si="12"/>
        <v>4.1777829627046544E-3</v>
      </c>
      <c r="S125" s="2"/>
      <c r="T125" s="2">
        <v>2158.9299999999998</v>
      </c>
      <c r="U125" s="2"/>
      <c r="V125" s="22">
        <f t="shared" si="13"/>
        <v>4.8989561504020583E-3</v>
      </c>
      <c r="W125" s="2"/>
      <c r="X125" s="2">
        <f t="shared" si="14"/>
        <v>-442.84999999999991</v>
      </c>
      <c r="Y125" s="2"/>
      <c r="Z125" s="22">
        <f t="shared" si="15"/>
        <v>-0.20512476087691586</v>
      </c>
    </row>
    <row r="126" spans="1:26" s="24" customFormat="1" hidden="1" outlineLevel="1" x14ac:dyDescent="0.25">
      <c r="A126" s="50"/>
      <c r="B126" s="11" t="str">
        <f>CONCATENATE("          ", "5502", " - ", "FREIGHT-IN-USED TEXT")</f>
        <v xml:space="preserve">          5502 - FREIGHT-IN-USED TEXT</v>
      </c>
      <c r="C126" s="11"/>
      <c r="D126" s="2">
        <v>277.49</v>
      </c>
      <c r="E126" s="2"/>
      <c r="F126" s="22">
        <f t="shared" si="8"/>
        <v>6.7554717397843602E-4</v>
      </c>
      <c r="G126" s="2"/>
      <c r="H126" s="2">
        <v>286.61</v>
      </c>
      <c r="I126" s="2"/>
      <c r="J126" s="22">
        <f t="shared" si="9"/>
        <v>6.5036375531709418E-4</v>
      </c>
      <c r="K126" s="2"/>
      <c r="L126" s="2">
        <f t="shared" si="10"/>
        <v>-9.1200000000000045</v>
      </c>
      <c r="M126" s="2"/>
      <c r="N126" s="22">
        <f t="shared" si="11"/>
        <v>-3.1820243536513047E-2</v>
      </c>
      <c r="O126" s="11"/>
      <c r="P126" s="2">
        <v>277.49</v>
      </c>
      <c r="Q126" s="2"/>
      <c r="R126" s="22">
        <f t="shared" si="12"/>
        <v>6.7554717397843602E-4</v>
      </c>
      <c r="S126" s="2"/>
      <c r="T126" s="2">
        <v>286.61</v>
      </c>
      <c r="U126" s="2"/>
      <c r="V126" s="22">
        <f t="shared" si="13"/>
        <v>6.5036375531709418E-4</v>
      </c>
      <c r="W126" s="2"/>
      <c r="X126" s="2">
        <f t="shared" si="14"/>
        <v>-9.1200000000000045</v>
      </c>
      <c r="Y126" s="2"/>
      <c r="Z126" s="22">
        <f t="shared" si="15"/>
        <v>-3.1820243536513047E-2</v>
      </c>
    </row>
    <row r="127" spans="1:26" s="24" customFormat="1" hidden="1" outlineLevel="1" x14ac:dyDescent="0.25">
      <c r="A127" s="50"/>
      <c r="B127" s="11" t="str">
        <f>CONCATENATE("          ", "5513", " - ", "FREIGHT-IN-TRADE BOOKS")</f>
        <v xml:space="preserve">          5513 - FREIGHT-IN-TRADE BOOKS</v>
      </c>
      <c r="C127" s="11"/>
      <c r="D127" s="2"/>
      <c r="E127" s="2"/>
      <c r="F127" s="22">
        <f t="shared" si="8"/>
        <v>0</v>
      </c>
      <c r="G127" s="2"/>
      <c r="H127" s="2">
        <v>7.27</v>
      </c>
      <c r="I127" s="2"/>
      <c r="J127" s="22">
        <f t="shared" si="9"/>
        <v>1.6496788322651948E-5</v>
      </c>
      <c r="K127" s="2"/>
      <c r="L127" s="2">
        <f t="shared" si="10"/>
        <v>-7.27</v>
      </c>
      <c r="M127" s="2"/>
      <c r="N127" s="22">
        <f t="shared" si="11"/>
        <v>-1</v>
      </c>
      <c r="O127" s="11"/>
      <c r="P127" s="2"/>
      <c r="Q127" s="2"/>
      <c r="R127" s="22">
        <f t="shared" si="12"/>
        <v>0</v>
      </c>
      <c r="S127" s="2"/>
      <c r="T127" s="2">
        <v>7.27</v>
      </c>
      <c r="U127" s="2"/>
      <c r="V127" s="22">
        <f t="shared" si="13"/>
        <v>1.6496788322651948E-5</v>
      </c>
      <c r="W127" s="2"/>
      <c r="X127" s="2">
        <f t="shared" si="14"/>
        <v>-7.27</v>
      </c>
      <c r="Y127" s="2"/>
      <c r="Z127" s="22">
        <f t="shared" si="15"/>
        <v>-1</v>
      </c>
    </row>
    <row r="128" spans="1:26" s="24" customFormat="1" hidden="1" outlineLevel="1" x14ac:dyDescent="0.25">
      <c r="A128" s="50"/>
      <c r="B128" s="11" t="str">
        <f>CONCATENATE("          ", "5526", " - ", "FREIGHT-IN-WRITING INSTRUMENTS")</f>
        <v xml:space="preserve">          5526 - FREIGHT-IN-WRITING INSTRUMENTS</v>
      </c>
      <c r="C128" s="11"/>
      <c r="D128" s="2">
        <v>39.11</v>
      </c>
      <c r="E128" s="2"/>
      <c r="F128" s="22">
        <f t="shared" si="8"/>
        <v>9.5212980555323199E-5</v>
      </c>
      <c r="G128" s="2"/>
      <c r="H128" s="2">
        <v>34.159999999999997</v>
      </c>
      <c r="I128" s="2"/>
      <c r="J128" s="22">
        <f t="shared" si="9"/>
        <v>7.7514482682502125E-5</v>
      </c>
      <c r="K128" s="2"/>
      <c r="L128" s="2">
        <f t="shared" si="10"/>
        <v>4.9500000000000028</v>
      </c>
      <c r="M128" s="2"/>
      <c r="N128" s="22">
        <f t="shared" si="11"/>
        <v>0.14490632318501181</v>
      </c>
      <c r="O128" s="11"/>
      <c r="P128" s="2">
        <v>39.11</v>
      </c>
      <c r="Q128" s="2"/>
      <c r="R128" s="22">
        <f t="shared" si="12"/>
        <v>9.5212980555323199E-5</v>
      </c>
      <c r="S128" s="2"/>
      <c r="T128" s="2">
        <v>34.159999999999997</v>
      </c>
      <c r="U128" s="2"/>
      <c r="V128" s="22">
        <f t="shared" si="13"/>
        <v>7.7514482682502125E-5</v>
      </c>
      <c r="W128" s="2"/>
      <c r="X128" s="2">
        <f t="shared" si="14"/>
        <v>4.9500000000000028</v>
      </c>
      <c r="Y128" s="2"/>
      <c r="Z128" s="22">
        <f t="shared" si="15"/>
        <v>0.14490632318501181</v>
      </c>
    </row>
    <row r="129" spans="1:26" s="24" customFormat="1" hidden="1" outlineLevel="1" x14ac:dyDescent="0.25">
      <c r="A129" s="50"/>
      <c r="B129" s="11" t="str">
        <f>CONCATENATE("          ", "5527", " - ", "FREIGHT-IN-SCHOOL SUPPLIES")</f>
        <v xml:space="preserve">          5527 - FREIGHT-IN-SCHOOL SUPPLIES</v>
      </c>
      <c r="C129" s="11"/>
      <c r="D129" s="2">
        <v>250.02</v>
      </c>
      <c r="E129" s="2"/>
      <c r="F129" s="22">
        <f t="shared" si="8"/>
        <v>6.0867167983743046E-4</v>
      </c>
      <c r="G129" s="2"/>
      <c r="H129" s="2">
        <v>280.67</v>
      </c>
      <c r="I129" s="2"/>
      <c r="J129" s="22">
        <f t="shared" si="9"/>
        <v>6.3688494890216268E-4</v>
      </c>
      <c r="K129" s="2"/>
      <c r="L129" s="2">
        <f t="shared" si="10"/>
        <v>-30.650000000000006</v>
      </c>
      <c r="M129" s="2"/>
      <c r="N129" s="22">
        <f t="shared" si="11"/>
        <v>-0.10920297858695266</v>
      </c>
      <c r="O129" s="11"/>
      <c r="P129" s="2">
        <v>250.02</v>
      </c>
      <c r="Q129" s="2"/>
      <c r="R129" s="22">
        <f t="shared" si="12"/>
        <v>6.0867167983743046E-4</v>
      </c>
      <c r="S129" s="2"/>
      <c r="T129" s="2">
        <v>280.67</v>
      </c>
      <c r="U129" s="2"/>
      <c r="V129" s="22">
        <f t="shared" si="13"/>
        <v>6.3688494890216268E-4</v>
      </c>
      <c r="W129" s="2"/>
      <c r="X129" s="2">
        <f t="shared" si="14"/>
        <v>-30.650000000000006</v>
      </c>
      <c r="Y129" s="2"/>
      <c r="Z129" s="22">
        <f t="shared" si="15"/>
        <v>-0.10920297858695266</v>
      </c>
    </row>
    <row r="130" spans="1:26" s="24" customFormat="1" hidden="1" outlineLevel="1" x14ac:dyDescent="0.25">
      <c r="A130" s="50"/>
      <c r="B130" s="11" t="str">
        <f>CONCATENATE("          ", "5528", " - ", "FREIGHT-IN-ART/TECH")</f>
        <v xml:space="preserve">          5528 - FREIGHT-IN-ART/TECH</v>
      </c>
      <c r="C130" s="11"/>
      <c r="D130" s="2">
        <v>44.35</v>
      </c>
      <c r="E130" s="2"/>
      <c r="F130" s="22">
        <f t="shared" si="8"/>
        <v>1.0796971842568611E-4</v>
      </c>
      <c r="G130" s="2"/>
      <c r="H130" s="2">
        <v>145.88999999999999</v>
      </c>
      <c r="I130" s="2"/>
      <c r="J130" s="22">
        <f t="shared" si="9"/>
        <v>3.3104765452430433E-4</v>
      </c>
      <c r="K130" s="2"/>
      <c r="L130" s="2">
        <f t="shared" si="10"/>
        <v>-101.53999999999999</v>
      </c>
      <c r="M130" s="2"/>
      <c r="N130" s="22">
        <f t="shared" si="11"/>
        <v>-0.69600383850846526</v>
      </c>
      <c r="O130" s="11"/>
      <c r="P130" s="2">
        <v>44.35</v>
      </c>
      <c r="Q130" s="2"/>
      <c r="R130" s="22">
        <f t="shared" si="12"/>
        <v>1.0796971842568611E-4</v>
      </c>
      <c r="S130" s="2"/>
      <c r="T130" s="2">
        <v>145.88999999999999</v>
      </c>
      <c r="U130" s="2"/>
      <c r="V130" s="22">
        <f t="shared" si="13"/>
        <v>3.3104765452430433E-4</v>
      </c>
      <c r="W130" s="2"/>
      <c r="X130" s="2">
        <f t="shared" si="14"/>
        <v>-101.53999999999999</v>
      </c>
      <c r="Y130" s="2"/>
      <c r="Z130" s="22">
        <f t="shared" si="15"/>
        <v>-0.69600383850846526</v>
      </c>
    </row>
    <row r="131" spans="1:26" s="24" customFormat="1" hidden="1" outlineLevel="1" x14ac:dyDescent="0.25">
      <c r="A131" s="50"/>
      <c r="B131" s="11" t="str">
        <f>CONCATENATE("          ", "5540", " - ", "FREIGHT-IN-LOGO CLOTHING")</f>
        <v xml:space="preserve">          5540 - FREIGHT-IN-LOGO CLOTHING</v>
      </c>
      <c r="C131" s="11"/>
      <c r="D131" s="2">
        <v>395.22</v>
      </c>
      <c r="E131" s="2"/>
      <c r="F131" s="22">
        <f t="shared" si="8"/>
        <v>9.6215991242840288E-4</v>
      </c>
      <c r="G131" s="2"/>
      <c r="H131" s="2">
        <v>1089.53</v>
      </c>
      <c r="I131" s="2"/>
      <c r="J131" s="22">
        <f t="shared" si="9"/>
        <v>2.4723171638485523E-3</v>
      </c>
      <c r="K131" s="2"/>
      <c r="L131" s="2">
        <f t="shared" si="10"/>
        <v>-694.31</v>
      </c>
      <c r="M131" s="2"/>
      <c r="N131" s="22">
        <f t="shared" si="11"/>
        <v>-0.63725643167237245</v>
      </c>
      <c r="O131" s="11"/>
      <c r="P131" s="2">
        <v>395.22</v>
      </c>
      <c r="Q131" s="2"/>
      <c r="R131" s="22">
        <f t="shared" si="12"/>
        <v>9.6215991242840288E-4</v>
      </c>
      <c r="S131" s="2"/>
      <c r="T131" s="2">
        <v>1089.53</v>
      </c>
      <c r="U131" s="2"/>
      <c r="V131" s="22">
        <f t="shared" si="13"/>
        <v>2.4723171638485523E-3</v>
      </c>
      <c r="W131" s="2"/>
      <c r="X131" s="2">
        <f t="shared" si="14"/>
        <v>-694.31</v>
      </c>
      <c r="Y131" s="2"/>
      <c r="Z131" s="22">
        <f t="shared" si="15"/>
        <v>-0.63725643167237245</v>
      </c>
    </row>
    <row r="132" spans="1:26" s="24" customFormat="1" hidden="1" outlineLevel="1" x14ac:dyDescent="0.25">
      <c r="A132" s="50"/>
      <c r="B132" s="11" t="str">
        <f>CONCATENATE("          ", "5541", " - ", "FREIGHT-IN-LOGO GIFTS")</f>
        <v xml:space="preserve">          5541 - FREIGHT-IN-LOGO GIFTS</v>
      </c>
      <c r="C132" s="11"/>
      <c r="D132" s="2">
        <v>314.49</v>
      </c>
      <c r="E132" s="2"/>
      <c r="F132" s="22">
        <f t="shared" si="8"/>
        <v>7.6562337649817422E-4</v>
      </c>
      <c r="G132" s="2"/>
      <c r="H132" s="2">
        <v>785.4</v>
      </c>
      <c r="I132" s="2"/>
      <c r="J132" s="22">
        <f t="shared" si="9"/>
        <v>1.7821977370853974E-3</v>
      </c>
      <c r="K132" s="2"/>
      <c r="L132" s="2">
        <f t="shared" si="10"/>
        <v>-470.90999999999997</v>
      </c>
      <c r="M132" s="2"/>
      <c r="N132" s="22">
        <f t="shared" si="11"/>
        <v>-0.59957983193277309</v>
      </c>
      <c r="O132" s="11"/>
      <c r="P132" s="2">
        <v>314.49</v>
      </c>
      <c r="Q132" s="2"/>
      <c r="R132" s="22">
        <f t="shared" si="12"/>
        <v>7.6562337649817422E-4</v>
      </c>
      <c r="S132" s="2"/>
      <c r="T132" s="2">
        <v>785.4</v>
      </c>
      <c r="U132" s="2"/>
      <c r="V132" s="22">
        <f t="shared" si="13"/>
        <v>1.7821977370853974E-3</v>
      </c>
      <c r="W132" s="2"/>
      <c r="X132" s="2">
        <f t="shared" si="14"/>
        <v>-470.90999999999997</v>
      </c>
      <c r="Y132" s="2"/>
      <c r="Z132" s="22">
        <f t="shared" si="15"/>
        <v>-0.59957983193277309</v>
      </c>
    </row>
    <row r="133" spans="1:26" s="24" customFormat="1" hidden="1" outlineLevel="1" x14ac:dyDescent="0.25">
      <c r="A133" s="50"/>
      <c r="B133" s="11" t="str">
        <f>CONCATENATE("          ", "5542", " - ", "FREIGHT-IN-EVERYDAY GIFTS")</f>
        <v xml:space="preserve">          5542 - FREIGHT-IN-EVERYDAY GIFTS</v>
      </c>
      <c r="C133" s="11"/>
      <c r="D133" s="2">
        <v>29.72</v>
      </c>
      <c r="E133" s="2"/>
      <c r="F133" s="22">
        <f t="shared" si="8"/>
        <v>7.2353101050989655E-5</v>
      </c>
      <c r="G133" s="2"/>
      <c r="H133" s="2"/>
      <c r="I133" s="2"/>
      <c r="J133" s="22">
        <f t="shared" si="9"/>
        <v>0</v>
      </c>
      <c r="K133" s="2"/>
      <c r="L133" s="2">
        <f t="shared" si="10"/>
        <v>29.72</v>
      </c>
      <c r="M133" s="2"/>
      <c r="N133" s="22">
        <f t="shared" si="11"/>
        <v>0</v>
      </c>
      <c r="O133" s="11"/>
      <c r="P133" s="2">
        <v>29.72</v>
      </c>
      <c r="Q133" s="2"/>
      <c r="R133" s="22">
        <f t="shared" si="12"/>
        <v>7.2353101050989655E-5</v>
      </c>
      <c r="S133" s="2"/>
      <c r="T133" s="2"/>
      <c r="U133" s="2"/>
      <c r="V133" s="22">
        <f t="shared" si="13"/>
        <v>0</v>
      </c>
      <c r="W133" s="2"/>
      <c r="X133" s="2">
        <f t="shared" si="14"/>
        <v>29.72</v>
      </c>
      <c r="Y133" s="2"/>
      <c r="Z133" s="22">
        <f t="shared" si="15"/>
        <v>0</v>
      </c>
    </row>
    <row r="134" spans="1:26" s="24" customFormat="1" hidden="1" outlineLevel="1" x14ac:dyDescent="0.25">
      <c r="A134" s="50"/>
      <c r="B134" s="11" t="str">
        <f>CONCATENATE("          ", "5544", " - ", "FREIGHT-IN-ACCESSORIES")</f>
        <v xml:space="preserve">          5544 - FREIGHT-IN-ACCESSORIES</v>
      </c>
      <c r="C134" s="11"/>
      <c r="D134" s="2">
        <v>16.73</v>
      </c>
      <c r="E134" s="2"/>
      <c r="F134" s="22">
        <f t="shared" si="8"/>
        <v>4.0729050490681591E-5</v>
      </c>
      <c r="G134" s="2"/>
      <c r="H134" s="2">
        <v>29.26</v>
      </c>
      <c r="I134" s="2"/>
      <c r="J134" s="22">
        <f t="shared" si="9"/>
        <v>6.6395601969848145E-5</v>
      </c>
      <c r="K134" s="2"/>
      <c r="L134" s="2">
        <f t="shared" si="10"/>
        <v>-12.530000000000001</v>
      </c>
      <c r="M134" s="2"/>
      <c r="N134" s="22">
        <f t="shared" si="11"/>
        <v>-0.42822966507177035</v>
      </c>
      <c r="O134" s="11"/>
      <c r="P134" s="2">
        <v>16.73</v>
      </c>
      <c r="Q134" s="2"/>
      <c r="R134" s="22">
        <f t="shared" si="12"/>
        <v>4.0729050490681591E-5</v>
      </c>
      <c r="S134" s="2"/>
      <c r="T134" s="2">
        <v>29.26</v>
      </c>
      <c r="U134" s="2"/>
      <c r="V134" s="22">
        <f t="shared" si="13"/>
        <v>6.6395601969848145E-5</v>
      </c>
      <c r="W134" s="2"/>
      <c r="X134" s="2">
        <f t="shared" si="14"/>
        <v>-12.530000000000001</v>
      </c>
      <c r="Y134" s="2"/>
      <c r="Z134" s="22">
        <f t="shared" si="15"/>
        <v>-0.42822966507177035</v>
      </c>
    </row>
    <row r="135" spans="1:26" s="24" customFormat="1" hidden="1" outlineLevel="1" x14ac:dyDescent="0.25">
      <c r="A135" s="50"/>
      <c r="B135" s="11" t="str">
        <f>CONCATENATE("          ", "5545", " - ", "FREIGHT-IN-SPECIAL ORDERS")</f>
        <v xml:space="preserve">          5545 - FREIGHT-IN-SPECIAL ORDERS</v>
      </c>
      <c r="C135" s="11"/>
      <c r="D135" s="2">
        <v>227.08</v>
      </c>
      <c r="E135" s="2"/>
      <c r="F135" s="22">
        <f t="shared" si="8"/>
        <v>5.5282443427519289E-4</v>
      </c>
      <c r="G135" s="2"/>
      <c r="H135" s="2">
        <v>305.11</v>
      </c>
      <c r="I135" s="2"/>
      <c r="J135" s="22">
        <f t="shared" si="9"/>
        <v>6.9234320290568585E-4</v>
      </c>
      <c r="K135" s="2"/>
      <c r="L135" s="2">
        <f t="shared" si="10"/>
        <v>-78.03</v>
      </c>
      <c r="M135" s="2"/>
      <c r="N135" s="22">
        <f t="shared" si="11"/>
        <v>-0.25574383009406443</v>
      </c>
      <c r="O135" s="11"/>
      <c r="P135" s="2">
        <v>227.08</v>
      </c>
      <c r="Q135" s="2"/>
      <c r="R135" s="22">
        <f t="shared" si="12"/>
        <v>5.5282443427519289E-4</v>
      </c>
      <c r="S135" s="2"/>
      <c r="T135" s="2">
        <v>305.11</v>
      </c>
      <c r="U135" s="2"/>
      <c r="V135" s="22">
        <f t="shared" si="13"/>
        <v>6.9234320290568585E-4</v>
      </c>
      <c r="W135" s="2"/>
      <c r="X135" s="2">
        <f t="shared" si="14"/>
        <v>-78.03</v>
      </c>
      <c r="Y135" s="2"/>
      <c r="Z135" s="22">
        <f t="shared" si="15"/>
        <v>-0.25574383009406443</v>
      </c>
    </row>
    <row r="136" spans="1:26" s="24" customFormat="1" hidden="1" outlineLevel="1" x14ac:dyDescent="0.25">
      <c r="A136" s="50"/>
      <c r="B136" s="11" t="str">
        <f>CONCATENATE("          ", "5592", " - ", "FREIGHT-IN-GRAD MERCH")</f>
        <v xml:space="preserve">          5592 - FREIGHT-IN-GRAD MERCH</v>
      </c>
      <c r="C136" s="11"/>
      <c r="D136" s="2"/>
      <c r="E136" s="2"/>
      <c r="F136" s="22">
        <f t="shared" si="8"/>
        <v>0</v>
      </c>
      <c r="G136" s="2"/>
      <c r="H136" s="2">
        <v>108.69</v>
      </c>
      <c r="I136" s="2"/>
      <c r="J136" s="22">
        <f t="shared" si="9"/>
        <v>2.4663492748129849E-4</v>
      </c>
      <c r="K136" s="2"/>
      <c r="L136" s="2">
        <f t="shared" si="10"/>
        <v>-108.69</v>
      </c>
      <c r="M136" s="2"/>
      <c r="N136" s="22">
        <f t="shared" si="11"/>
        <v>-1</v>
      </c>
      <c r="O136" s="11"/>
      <c r="P136" s="2"/>
      <c r="Q136" s="2"/>
      <c r="R136" s="22">
        <f t="shared" si="12"/>
        <v>0</v>
      </c>
      <c r="S136" s="2"/>
      <c r="T136" s="2">
        <v>108.69</v>
      </c>
      <c r="U136" s="2"/>
      <c r="V136" s="22">
        <f t="shared" si="13"/>
        <v>2.4663492748129849E-4</v>
      </c>
      <c r="W136" s="2"/>
      <c r="X136" s="2">
        <f t="shared" si="14"/>
        <v>-108.69</v>
      </c>
      <c r="Y136" s="2"/>
      <c r="Z136" s="22">
        <f t="shared" si="15"/>
        <v>-1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10"/>
      <c r="B138" s="25" t="s">
        <v>6</v>
      </c>
      <c r="C138" s="25"/>
      <c r="D138" s="21">
        <f>D12-D94</f>
        <v>191574.57000000009</v>
      </c>
      <c r="E138" s="13"/>
      <c r="F138" s="20">
        <f>IF(D$12=0,0,D138/D$12)</f>
        <v>0.46638675040410155</v>
      </c>
      <c r="G138" s="13"/>
      <c r="H138" s="21">
        <f>H12-H94</f>
        <v>216483.18999999997</v>
      </c>
      <c r="I138" s="13"/>
      <c r="J138" s="20">
        <f>IF(H$12=0,0,H138/H$12)</f>
        <v>0.49123485018465507</v>
      </c>
      <c r="K138" s="16"/>
      <c r="L138" s="21">
        <f>+D138-H138</f>
        <v>-24908.619999999879</v>
      </c>
      <c r="M138" s="16"/>
      <c r="N138" s="20">
        <f>IF(H138=0,0,L138/H138)</f>
        <v>-0.11506029636758347</v>
      </c>
      <c r="O138" s="26"/>
      <c r="P138" s="21">
        <f>P12-P94</f>
        <v>191574.57000000009</v>
      </c>
      <c r="Q138" s="13"/>
      <c r="R138" s="20">
        <f>IF(P$12=0,0,P138/P$12)</f>
        <v>0.46638675040410155</v>
      </c>
      <c r="S138" s="13"/>
      <c r="T138" s="21">
        <f>T12-T94</f>
        <v>216483.18999999997</v>
      </c>
      <c r="U138" s="13"/>
      <c r="V138" s="20">
        <f>IF(T$12=0,0,T138/T$12)</f>
        <v>0.49123485018465507</v>
      </c>
      <c r="W138" s="16"/>
      <c r="X138" s="21">
        <f>+P138-T138</f>
        <v>-24908.619999999879</v>
      </c>
      <c r="Y138" s="16"/>
      <c r="Z138" s="20">
        <f>IF(T138=0,0,X138/T138)</f>
        <v>-0.11506029636758347</v>
      </c>
    </row>
    <row r="139" spans="1:26" x14ac:dyDescent="0.25">
      <c r="A139" s="9"/>
      <c r="B139" s="10"/>
      <c r="C139" s="9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7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x14ac:dyDescent="0.25">
      <c r="A140" s="10"/>
      <c r="B140" s="26" t="s">
        <v>9</v>
      </c>
      <c r="C140" s="10"/>
      <c r="D140" s="19">
        <f>SUM(OSRRefD22x_0)</f>
        <v>440488.96999999986</v>
      </c>
      <c r="E140" s="19"/>
      <c r="F140" s="35">
        <f t="shared" ref="F140:F150" si="16">IF(D$12=0,0,D140/D$12)</f>
        <v>1.0723668559305632</v>
      </c>
      <c r="G140" s="19"/>
      <c r="H140" s="19">
        <f>SUM(OSRRefH22x_0)</f>
        <v>484245.30000000022</v>
      </c>
      <c r="I140" s="19"/>
      <c r="J140" s="35">
        <f t="shared" ref="J140:J150" si="17">IF(H$12=0,0,H140/H$12)</f>
        <v>1.0988297400741531</v>
      </c>
      <c r="K140" s="4"/>
      <c r="L140" s="19">
        <f t="shared" ref="L140:L150" si="18">+D140-H140</f>
        <v>-43756.330000000366</v>
      </c>
      <c r="M140" s="4"/>
      <c r="N140" s="35">
        <f t="shared" ref="N140:N150" si="19">IF(H140=0,0,L140/H140)</f>
        <v>-9.0359844483777846E-2</v>
      </c>
      <c r="O140" s="10"/>
      <c r="P140" s="19">
        <f>SUM(OSRRefP22x_0)</f>
        <v>440488.96999999986</v>
      </c>
      <c r="Q140" s="19"/>
      <c r="R140" s="35">
        <f t="shared" ref="R140:R150" si="20">IF(P$12=0,0,P140/P$12)</f>
        <v>1.0723668559305632</v>
      </c>
      <c r="S140" s="19"/>
      <c r="T140" s="19">
        <f>SUM(OSRRefT22x_0)</f>
        <v>484245.30000000022</v>
      </c>
      <c r="U140" s="19"/>
      <c r="V140" s="35">
        <f t="shared" ref="V140:V150" si="21">IF(T$12=0,0,T140/T$12)</f>
        <v>1.0988297400741531</v>
      </c>
      <c r="W140" s="4"/>
      <c r="X140" s="19">
        <f t="shared" ref="X140:X150" si="22">+P140-T140</f>
        <v>-43756.330000000366</v>
      </c>
      <c r="Y140" s="4"/>
      <c r="Z140" s="35">
        <f t="shared" ref="Z140:Z150" si="23">IF(T140=0,0,X140/T140)</f>
        <v>-9.0359844483777846E-2</v>
      </c>
    </row>
    <row r="141" spans="1:26" s="28" customFormat="1" outlineLevel="1" collapsed="1" x14ac:dyDescent="0.25">
      <c r="A141" s="27"/>
      <c r="B141" s="14" t="str">
        <f>CONCATENATE("     ","*Benefits                                         ")</f>
        <v xml:space="preserve">     *Benefits                                         </v>
      </c>
      <c r="C141" s="14"/>
      <c r="D141" s="1">
        <f>SUM(OSRRefD22_0x_0)</f>
        <v>69602.099999999991</v>
      </c>
      <c r="E141" s="1"/>
      <c r="F141" s="5">
        <f t="shared" si="16"/>
        <v>0.16944575284862337</v>
      </c>
      <c r="G141" s="1"/>
      <c r="H141" s="1">
        <f>SUM(OSRRefH22_0x_0)</f>
        <v>59901.31</v>
      </c>
      <c r="I141" s="1"/>
      <c r="J141" s="5">
        <f t="shared" si="17"/>
        <v>0.13592561641259343</v>
      </c>
      <c r="K141" s="1"/>
      <c r="L141" s="1">
        <f t="shared" si="18"/>
        <v>9700.7899999999936</v>
      </c>
      <c r="M141" s="1"/>
      <c r="N141" s="5">
        <f t="shared" si="19"/>
        <v>0.16194620785421879</v>
      </c>
      <c r="O141" s="14"/>
      <c r="P141" s="1">
        <f>SUM(OSRRefP22_0x_0)</f>
        <v>69602.099999999991</v>
      </c>
      <c r="Q141" s="1"/>
      <c r="R141" s="5">
        <f t="shared" si="20"/>
        <v>0.16944575284862337</v>
      </c>
      <c r="S141" s="1"/>
      <c r="T141" s="1">
        <f>SUM(OSRRefT22_0x_0)</f>
        <v>59901.31</v>
      </c>
      <c r="U141" s="1"/>
      <c r="V141" s="5">
        <f t="shared" si="21"/>
        <v>0.13592561641259343</v>
      </c>
      <c r="W141" s="1"/>
      <c r="X141" s="1">
        <f t="shared" si="22"/>
        <v>9700.7899999999936</v>
      </c>
      <c r="Y141" s="1"/>
      <c r="Z141" s="5">
        <f t="shared" si="23"/>
        <v>0.16194620785421879</v>
      </c>
    </row>
    <row r="142" spans="1:26" s="24" customFormat="1" hidden="1" outlineLevel="2" x14ac:dyDescent="0.25">
      <c r="A142" s="29"/>
      <c r="B142" s="11" t="str">
        <f>CONCATENATE("          ", "6111", " - ", "F.I.C.A.")</f>
        <v xml:space="preserve">          6111 - F.I.C.A.</v>
      </c>
      <c r="C142" s="11"/>
      <c r="D142" s="7">
        <v>13044.05</v>
      </c>
      <c r="E142" s="2"/>
      <c r="F142" s="6">
        <f t="shared" si="16"/>
        <v>3.175563485074568E-2</v>
      </c>
      <c r="G142" s="2"/>
      <c r="H142" s="7">
        <v>12639.13</v>
      </c>
      <c r="I142" s="2"/>
      <c r="J142" s="6">
        <f t="shared" si="17"/>
        <v>2.8680199751372752E-2</v>
      </c>
      <c r="K142" s="2"/>
      <c r="L142" s="7">
        <f t="shared" si="18"/>
        <v>404.92000000000007</v>
      </c>
      <c r="M142" s="2"/>
      <c r="N142" s="6">
        <f t="shared" si="19"/>
        <v>3.2037015205951681E-2</v>
      </c>
      <c r="O142" s="11"/>
      <c r="P142" s="7">
        <v>13044.05</v>
      </c>
      <c r="Q142" s="2"/>
      <c r="R142" s="6">
        <f t="shared" si="20"/>
        <v>3.175563485074568E-2</v>
      </c>
      <c r="S142" s="2"/>
      <c r="T142" s="7">
        <v>12639.13</v>
      </c>
      <c r="U142" s="2"/>
      <c r="V142" s="6">
        <f t="shared" si="21"/>
        <v>2.8680199751372752E-2</v>
      </c>
      <c r="W142" s="2"/>
      <c r="X142" s="7">
        <f t="shared" si="22"/>
        <v>404.92000000000007</v>
      </c>
      <c r="Y142" s="2"/>
      <c r="Z142" s="6">
        <f t="shared" si="23"/>
        <v>3.2037015205951681E-2</v>
      </c>
    </row>
    <row r="143" spans="1:26" s="24" customFormat="1" hidden="1" outlineLevel="2" x14ac:dyDescent="0.25">
      <c r="A143" s="29"/>
      <c r="B143" s="11" t="str">
        <f>CONCATENATE("          ", "6112", " - ", "COMPENSATION INSURANCE")</f>
        <v xml:space="preserve">          6112 - COMPENSATION INSURANCE</v>
      </c>
      <c r="C143" s="11"/>
      <c r="D143" s="7">
        <v>2663.93</v>
      </c>
      <c r="E143" s="2"/>
      <c r="F143" s="6">
        <f t="shared" si="16"/>
        <v>6.4853161669839454E-3</v>
      </c>
      <c r="G143" s="2"/>
      <c r="H143" s="7">
        <v>2500.7399999999998</v>
      </c>
      <c r="I143" s="2"/>
      <c r="J143" s="6">
        <f t="shared" si="17"/>
        <v>5.674577500686194E-3</v>
      </c>
      <c r="K143" s="2"/>
      <c r="L143" s="7">
        <f t="shared" si="18"/>
        <v>163.19000000000005</v>
      </c>
      <c r="M143" s="2"/>
      <c r="N143" s="6">
        <f t="shared" si="19"/>
        <v>6.5256684021529648E-2</v>
      </c>
      <c r="O143" s="11"/>
      <c r="P143" s="7">
        <v>2663.93</v>
      </c>
      <c r="Q143" s="2"/>
      <c r="R143" s="6">
        <f t="shared" si="20"/>
        <v>6.4853161669839454E-3</v>
      </c>
      <c r="S143" s="2"/>
      <c r="T143" s="7">
        <v>2500.7399999999998</v>
      </c>
      <c r="U143" s="2"/>
      <c r="V143" s="6">
        <f t="shared" si="21"/>
        <v>5.674577500686194E-3</v>
      </c>
      <c r="W143" s="2"/>
      <c r="X143" s="7">
        <f t="shared" si="22"/>
        <v>163.19000000000005</v>
      </c>
      <c r="Y143" s="2"/>
      <c r="Z143" s="6">
        <f t="shared" si="23"/>
        <v>6.5256684021529648E-2</v>
      </c>
    </row>
    <row r="144" spans="1:26" s="24" customFormat="1" hidden="1" outlineLevel="2" x14ac:dyDescent="0.25">
      <c r="A144" s="29"/>
      <c r="B144" s="11" t="str">
        <f>CONCATENATE("          ", "6113", " - ", "GROUP INSURANCE")</f>
        <v xml:space="preserve">          6113 - GROUP INSURANCE</v>
      </c>
      <c r="C144" s="11"/>
      <c r="D144" s="7">
        <v>25376.27</v>
      </c>
      <c r="E144" s="2"/>
      <c r="F144" s="6">
        <f t="shared" si="16"/>
        <v>6.1778325289609595E-2</v>
      </c>
      <c r="G144" s="2"/>
      <c r="H144" s="7">
        <v>10043.27</v>
      </c>
      <c r="I144" s="2"/>
      <c r="J144" s="6">
        <f t="shared" si="17"/>
        <v>2.2789779815301326E-2</v>
      </c>
      <c r="K144" s="2"/>
      <c r="L144" s="7">
        <f t="shared" si="18"/>
        <v>15333</v>
      </c>
      <c r="M144" s="2"/>
      <c r="N144" s="6">
        <f t="shared" si="19"/>
        <v>1.5266939950832745</v>
      </c>
      <c r="O144" s="11"/>
      <c r="P144" s="7">
        <v>25376.27</v>
      </c>
      <c r="Q144" s="2"/>
      <c r="R144" s="6">
        <f t="shared" si="20"/>
        <v>6.1778325289609595E-2</v>
      </c>
      <c r="S144" s="2"/>
      <c r="T144" s="7">
        <v>10043.27</v>
      </c>
      <c r="U144" s="2"/>
      <c r="V144" s="6">
        <f t="shared" si="21"/>
        <v>2.2789779815301326E-2</v>
      </c>
      <c r="W144" s="2"/>
      <c r="X144" s="7">
        <f t="shared" si="22"/>
        <v>15333</v>
      </c>
      <c r="Y144" s="2"/>
      <c r="Z144" s="6">
        <f t="shared" si="23"/>
        <v>1.5266939950832745</v>
      </c>
    </row>
    <row r="145" spans="1:26" s="24" customFormat="1" hidden="1" outlineLevel="2" x14ac:dyDescent="0.25">
      <c r="A145" s="29"/>
      <c r="B145" s="11" t="str">
        <f>CONCATENATE("          ", "6114", " - ", "STATE UNEMPLOYMENT INSURANCE")</f>
        <v xml:space="preserve">          6114 - STATE UNEMPLOYMENT INSURANCE</v>
      </c>
      <c r="C145" s="11"/>
      <c r="D145" s="7">
        <v>445.47</v>
      </c>
      <c r="E145" s="2"/>
      <c r="F145" s="6">
        <f t="shared" si="16"/>
        <v>1.0844931334180472E-3</v>
      </c>
      <c r="G145" s="2"/>
      <c r="H145" s="7">
        <v>658.05</v>
      </c>
      <c r="I145" s="2"/>
      <c r="J145" s="6">
        <f t="shared" si="17"/>
        <v>1.4932202965228492E-3</v>
      </c>
      <c r="K145" s="2"/>
      <c r="L145" s="7">
        <f t="shared" si="18"/>
        <v>-212.57999999999993</v>
      </c>
      <c r="M145" s="2"/>
      <c r="N145" s="6">
        <f t="shared" si="19"/>
        <v>-0.32304536129473438</v>
      </c>
      <c r="O145" s="11"/>
      <c r="P145" s="7">
        <v>445.47</v>
      </c>
      <c r="Q145" s="2"/>
      <c r="R145" s="6">
        <f t="shared" si="20"/>
        <v>1.0844931334180472E-3</v>
      </c>
      <c r="S145" s="2"/>
      <c r="T145" s="7">
        <v>658.05</v>
      </c>
      <c r="U145" s="2"/>
      <c r="V145" s="6">
        <f t="shared" si="21"/>
        <v>1.4932202965228492E-3</v>
      </c>
      <c r="W145" s="2"/>
      <c r="X145" s="7">
        <f t="shared" si="22"/>
        <v>-212.57999999999993</v>
      </c>
      <c r="Y145" s="2"/>
      <c r="Z145" s="6">
        <f t="shared" si="23"/>
        <v>-0.32304536129473438</v>
      </c>
    </row>
    <row r="146" spans="1:26" s="24" customFormat="1" hidden="1" outlineLevel="2" x14ac:dyDescent="0.25">
      <c r="A146" s="29"/>
      <c r="B146" s="11" t="str">
        <f>CONCATENATE("          ", "6115", " - ", "P.E.R.S.")</f>
        <v xml:space="preserve">          6115 - P.E.R.S.</v>
      </c>
      <c r="C146" s="11"/>
      <c r="D146" s="7">
        <v>7612.39</v>
      </c>
      <c r="E146" s="2"/>
      <c r="F146" s="6">
        <f t="shared" si="16"/>
        <v>1.8532302251330523E-2</v>
      </c>
      <c r="G146" s="2"/>
      <c r="H146" s="7">
        <v>10331.17</v>
      </c>
      <c r="I146" s="2"/>
      <c r="J146" s="6">
        <f t="shared" si="17"/>
        <v>2.3443070786152976E-2</v>
      </c>
      <c r="K146" s="2"/>
      <c r="L146" s="7">
        <f t="shared" si="18"/>
        <v>-2718.7799999999997</v>
      </c>
      <c r="M146" s="2"/>
      <c r="N146" s="6">
        <f t="shared" si="19"/>
        <v>-0.26316283634864202</v>
      </c>
      <c r="O146" s="11"/>
      <c r="P146" s="7">
        <v>7612.39</v>
      </c>
      <c r="Q146" s="2"/>
      <c r="R146" s="6">
        <f t="shared" si="20"/>
        <v>1.8532302251330523E-2</v>
      </c>
      <c r="S146" s="2"/>
      <c r="T146" s="7">
        <v>10331.17</v>
      </c>
      <c r="U146" s="2"/>
      <c r="V146" s="6">
        <f t="shared" si="21"/>
        <v>2.3443070786152976E-2</v>
      </c>
      <c r="W146" s="2"/>
      <c r="X146" s="7">
        <f t="shared" si="22"/>
        <v>-2718.7799999999997</v>
      </c>
      <c r="Y146" s="2"/>
      <c r="Z146" s="6">
        <f t="shared" si="23"/>
        <v>-0.26316283634864202</v>
      </c>
    </row>
    <row r="147" spans="1:26" s="24" customFormat="1" hidden="1" outlineLevel="2" x14ac:dyDescent="0.25">
      <c r="A147" s="29"/>
      <c r="B147" s="11" t="str">
        <f>CONCATENATE("          ", "6117", " - ", "RETIREMENT STAFF HOURLY")</f>
        <v xml:space="preserve">          6117 - RETIREMENT STAFF HOURLY</v>
      </c>
      <c r="C147" s="11"/>
      <c r="D147" s="7">
        <v>220.69</v>
      </c>
      <c r="E147" s="2"/>
      <c r="F147" s="6">
        <f t="shared" si="16"/>
        <v>5.3726803065083802E-4</v>
      </c>
      <c r="G147" s="2"/>
      <c r="H147" s="7">
        <v>285.22000000000003</v>
      </c>
      <c r="I147" s="2"/>
      <c r="J147" s="6">
        <f t="shared" si="17"/>
        <v>6.4720962384962706E-4</v>
      </c>
      <c r="K147" s="2"/>
      <c r="L147" s="7">
        <f t="shared" si="18"/>
        <v>-64.53000000000003</v>
      </c>
      <c r="M147" s="2"/>
      <c r="N147" s="6">
        <f t="shared" si="19"/>
        <v>-0.22624640628286943</v>
      </c>
      <c r="O147" s="11"/>
      <c r="P147" s="7">
        <v>220.69</v>
      </c>
      <c r="Q147" s="2"/>
      <c r="R147" s="6">
        <f t="shared" si="20"/>
        <v>5.3726803065083802E-4</v>
      </c>
      <c r="S147" s="2"/>
      <c r="T147" s="7">
        <v>285.22000000000003</v>
      </c>
      <c r="U147" s="2"/>
      <c r="V147" s="6">
        <f t="shared" si="21"/>
        <v>6.4720962384962706E-4</v>
      </c>
      <c r="W147" s="2"/>
      <c r="X147" s="7">
        <f t="shared" si="22"/>
        <v>-64.53000000000003</v>
      </c>
      <c r="Y147" s="2"/>
      <c r="Z147" s="6">
        <f t="shared" si="23"/>
        <v>-0.22624640628286943</v>
      </c>
    </row>
    <row r="148" spans="1:26" s="24" customFormat="1" hidden="1" outlineLevel="2" x14ac:dyDescent="0.25">
      <c r="A148" s="29"/>
      <c r="B148" s="11" t="str">
        <f>CONCATENATE("          ", "6118", " - ", "VACATION")</f>
        <v xml:space="preserve">          6118 - VACATION</v>
      </c>
      <c r="C148" s="11"/>
      <c r="D148" s="7">
        <v>8700.7800000000007</v>
      </c>
      <c r="E148" s="2"/>
      <c r="F148" s="6">
        <f t="shared" si="16"/>
        <v>2.118197895566722E-2</v>
      </c>
      <c r="G148" s="2"/>
      <c r="H148" s="7">
        <v>10096.56</v>
      </c>
      <c r="I148" s="2"/>
      <c r="J148" s="6">
        <f t="shared" si="17"/>
        <v>2.2910703315949757E-2</v>
      </c>
      <c r="K148" s="2"/>
      <c r="L148" s="7">
        <f t="shared" si="18"/>
        <v>-1395.7799999999988</v>
      </c>
      <c r="M148" s="2"/>
      <c r="N148" s="6">
        <f t="shared" si="19"/>
        <v>-0.13824312439088154</v>
      </c>
      <c r="O148" s="11"/>
      <c r="P148" s="7">
        <v>8700.7800000000007</v>
      </c>
      <c r="Q148" s="2"/>
      <c r="R148" s="6">
        <f t="shared" si="20"/>
        <v>2.118197895566722E-2</v>
      </c>
      <c r="S148" s="2"/>
      <c r="T148" s="7">
        <v>10096.56</v>
      </c>
      <c r="U148" s="2"/>
      <c r="V148" s="6">
        <f t="shared" si="21"/>
        <v>2.2910703315949757E-2</v>
      </c>
      <c r="W148" s="2"/>
      <c r="X148" s="7">
        <f t="shared" si="22"/>
        <v>-1395.7799999999988</v>
      </c>
      <c r="Y148" s="2"/>
      <c r="Z148" s="6">
        <f t="shared" si="23"/>
        <v>-0.13824312439088154</v>
      </c>
    </row>
    <row r="149" spans="1:26" s="24" customFormat="1" hidden="1" outlineLevel="2" x14ac:dyDescent="0.25">
      <c r="A149" s="29"/>
      <c r="B149" s="11" t="str">
        <f>CONCATENATE("          ", "6119", " - ", "SICK LEAVE")</f>
        <v xml:space="preserve">          6119 - SICK LEAVE</v>
      </c>
      <c r="C149" s="11"/>
      <c r="D149" s="7">
        <v>9243.6200000000008</v>
      </c>
      <c r="E149" s="2"/>
      <c r="F149" s="6">
        <f t="shared" si="16"/>
        <v>2.2503518571229779E-2</v>
      </c>
      <c r="G149" s="2"/>
      <c r="H149" s="7">
        <v>10888.11</v>
      </c>
      <c r="I149" s="2"/>
      <c r="J149" s="6">
        <f t="shared" si="17"/>
        <v>2.4706856382909204E-2</v>
      </c>
      <c r="K149" s="2"/>
      <c r="L149" s="7">
        <f t="shared" si="18"/>
        <v>-1644.4899999999998</v>
      </c>
      <c r="M149" s="2"/>
      <c r="N149" s="6">
        <f t="shared" si="19"/>
        <v>-0.15103539549104478</v>
      </c>
      <c r="O149" s="11"/>
      <c r="P149" s="7">
        <v>9243.6200000000008</v>
      </c>
      <c r="Q149" s="2"/>
      <c r="R149" s="6">
        <f t="shared" si="20"/>
        <v>2.2503518571229779E-2</v>
      </c>
      <c r="S149" s="2"/>
      <c r="T149" s="7">
        <v>10888.11</v>
      </c>
      <c r="U149" s="2"/>
      <c r="V149" s="6">
        <f t="shared" si="21"/>
        <v>2.4706856382909204E-2</v>
      </c>
      <c r="W149" s="2"/>
      <c r="X149" s="7">
        <f t="shared" si="22"/>
        <v>-1644.4899999999998</v>
      </c>
      <c r="Y149" s="2"/>
      <c r="Z149" s="6">
        <f t="shared" si="23"/>
        <v>-0.15103539549104478</v>
      </c>
    </row>
    <row r="150" spans="1:26" s="24" customFormat="1" hidden="1" outlineLevel="2" x14ac:dyDescent="0.25">
      <c r="A150" s="29"/>
      <c r="B150" s="11" t="str">
        <f>CONCATENATE("          ", "6156", " - ", "EMPLOYEE MEALS")</f>
        <v xml:space="preserve">          6156 - EMPLOYEE MEALS</v>
      </c>
      <c r="C150" s="11"/>
      <c r="D150" s="7">
        <v>2294.9</v>
      </c>
      <c r="E150" s="2"/>
      <c r="F150" s="6">
        <f t="shared" si="16"/>
        <v>5.5869155989877574E-3</v>
      </c>
      <c r="G150" s="2"/>
      <c r="H150" s="7">
        <v>2459.06</v>
      </c>
      <c r="I150" s="2"/>
      <c r="J150" s="6">
        <f t="shared" si="17"/>
        <v>5.5799989398487614E-3</v>
      </c>
      <c r="K150" s="2"/>
      <c r="L150" s="7">
        <f t="shared" si="18"/>
        <v>-164.15999999999985</v>
      </c>
      <c r="M150" s="2"/>
      <c r="N150" s="6">
        <f t="shared" si="19"/>
        <v>-6.675721617203316E-2</v>
      </c>
      <c r="O150" s="11"/>
      <c r="P150" s="7">
        <v>2294.9</v>
      </c>
      <c r="Q150" s="2"/>
      <c r="R150" s="6">
        <f t="shared" si="20"/>
        <v>5.5869155989877574E-3</v>
      </c>
      <c r="S150" s="2"/>
      <c r="T150" s="7">
        <v>2459.06</v>
      </c>
      <c r="U150" s="2"/>
      <c r="V150" s="6">
        <f t="shared" si="21"/>
        <v>5.5799989398487614E-3</v>
      </c>
      <c r="W150" s="2"/>
      <c r="X150" s="7">
        <f t="shared" si="22"/>
        <v>-164.15999999999985</v>
      </c>
      <c r="Y150" s="2"/>
      <c r="Z150" s="6">
        <f t="shared" si="23"/>
        <v>-6.675721617203316E-2</v>
      </c>
    </row>
    <row r="151" spans="1:26" s="28" customFormat="1" outlineLevel="1" collapsed="1" x14ac:dyDescent="0.25">
      <c r="A151" s="27"/>
      <c r="B151" s="14" t="str">
        <f>CONCATENATE("     ","*Payroll                                          ")</f>
        <v xml:space="preserve">     *Payroll                                          </v>
      </c>
      <c r="C151" s="14"/>
      <c r="D151" s="1">
        <f>SUM(OSRRefD22_1x_0)</f>
        <v>208066.32000000004</v>
      </c>
      <c r="E151" s="1"/>
      <c r="F151" s="5">
        <f t="shared" ref="F151:F158" si="24">IF(D$12=0,0,D151/D$12)</f>
        <v>0.50653578318531467</v>
      </c>
      <c r="G151" s="1"/>
      <c r="H151" s="1">
        <f>SUM(OSRRefH22_1x_0)</f>
        <v>203224.82</v>
      </c>
      <c r="I151" s="1"/>
      <c r="J151" s="5">
        <f t="shared" ref="J151:J158" si="25">IF(H$12=0,0,H151/H$12)</f>
        <v>0.46114949621032242</v>
      </c>
      <c r="K151" s="1"/>
      <c r="L151" s="1">
        <f t="shared" ref="L151:L158" si="26">+D151-H151</f>
        <v>4841.5000000000291</v>
      </c>
      <c r="M151" s="1"/>
      <c r="N151" s="5">
        <f t="shared" ref="N151:N158" si="27">IF(H151=0,0,L151/H151)</f>
        <v>2.382336960613388E-2</v>
      </c>
      <c r="O151" s="14"/>
      <c r="P151" s="1">
        <f>SUM(OSRRefP22_1x_0)</f>
        <v>208066.32000000004</v>
      </c>
      <c r="Q151" s="1"/>
      <c r="R151" s="5">
        <f t="shared" ref="R151:R158" si="28">IF(P$12=0,0,P151/P$12)</f>
        <v>0.50653578318531467</v>
      </c>
      <c r="S151" s="1"/>
      <c r="T151" s="1">
        <f>SUM(OSRRefT22_1x_0)</f>
        <v>203224.82</v>
      </c>
      <c r="U151" s="1"/>
      <c r="V151" s="5">
        <f t="shared" ref="V151:V158" si="29">IF(T$12=0,0,T151/T$12)</f>
        <v>0.46114949621032242</v>
      </c>
      <c r="W151" s="1"/>
      <c r="X151" s="1">
        <f t="shared" ref="X151:X158" si="30">+P151-T151</f>
        <v>4841.5000000000291</v>
      </c>
      <c r="Y151" s="1"/>
      <c r="Z151" s="5">
        <f t="shared" ref="Z151:Z158" si="31">IF(T151=0,0,X151/T151)</f>
        <v>2.382336960613388E-2</v>
      </c>
    </row>
    <row r="152" spans="1:26" s="24" customFormat="1" hidden="1" outlineLevel="2" x14ac:dyDescent="0.25">
      <c r="A152" s="29"/>
      <c r="B152" s="11" t="str">
        <f>CONCATENATE("          ", "6001", " - ", "ADMINISTRATIVE SALARIES")</f>
        <v xml:space="preserve">          6001 - ADMINISTRATIVE SALARIES</v>
      </c>
      <c r="C152" s="11"/>
      <c r="D152" s="7">
        <v>12860.28</v>
      </c>
      <c r="E152" s="2"/>
      <c r="F152" s="6">
        <f t="shared" si="24"/>
        <v>3.130824826325778E-2</v>
      </c>
      <c r="G152" s="2"/>
      <c r="H152" s="7">
        <v>13006</v>
      </c>
      <c r="I152" s="2"/>
      <c r="J152" s="6">
        <f t="shared" si="25"/>
        <v>2.951268623444446E-2</v>
      </c>
      <c r="K152" s="2"/>
      <c r="L152" s="7">
        <f t="shared" si="26"/>
        <v>-145.71999999999935</v>
      </c>
      <c r="M152" s="2"/>
      <c r="N152" s="6">
        <f t="shared" si="27"/>
        <v>-1.1204059664770056E-2</v>
      </c>
      <c r="O152" s="11"/>
      <c r="P152" s="7">
        <v>12860.28</v>
      </c>
      <c r="Q152" s="2"/>
      <c r="R152" s="6">
        <f t="shared" si="28"/>
        <v>3.130824826325778E-2</v>
      </c>
      <c r="S152" s="2"/>
      <c r="T152" s="7">
        <v>13006</v>
      </c>
      <c r="U152" s="2"/>
      <c r="V152" s="6">
        <f t="shared" si="29"/>
        <v>2.951268623444446E-2</v>
      </c>
      <c r="W152" s="2"/>
      <c r="X152" s="7">
        <f t="shared" si="30"/>
        <v>-145.71999999999935</v>
      </c>
      <c r="Y152" s="2"/>
      <c r="Z152" s="6">
        <f t="shared" si="31"/>
        <v>-1.1204059664770056E-2</v>
      </c>
    </row>
    <row r="153" spans="1:26" s="24" customFormat="1" hidden="1" outlineLevel="2" x14ac:dyDescent="0.25">
      <c r="A153" s="29"/>
      <c r="B153" s="11" t="str">
        <f>CONCATENATE("          ", "6002", " - ", "STAFF SALARIES")</f>
        <v xml:space="preserve">          6002 - STAFF SALARIES</v>
      </c>
      <c r="C153" s="11"/>
      <c r="D153" s="7">
        <v>83411.650000000009</v>
      </c>
      <c r="E153" s="2"/>
      <c r="F153" s="6">
        <f t="shared" si="24"/>
        <v>0.20306499129474367</v>
      </c>
      <c r="G153" s="2"/>
      <c r="H153" s="7">
        <v>81063.929999999993</v>
      </c>
      <c r="I153" s="2"/>
      <c r="J153" s="6">
        <f t="shared" si="25"/>
        <v>0.18394697301406807</v>
      </c>
      <c r="K153" s="2"/>
      <c r="L153" s="7">
        <f t="shared" si="26"/>
        <v>2347.7200000000157</v>
      </c>
      <c r="M153" s="2"/>
      <c r="N153" s="6">
        <f t="shared" si="27"/>
        <v>2.8961339525483354E-2</v>
      </c>
      <c r="O153" s="11"/>
      <c r="P153" s="7">
        <v>83411.650000000009</v>
      </c>
      <c r="Q153" s="2"/>
      <c r="R153" s="6">
        <f t="shared" si="28"/>
        <v>0.20306499129474367</v>
      </c>
      <c r="S153" s="2"/>
      <c r="T153" s="7">
        <v>81063.929999999993</v>
      </c>
      <c r="U153" s="2"/>
      <c r="V153" s="6">
        <f t="shared" si="29"/>
        <v>0.18394697301406807</v>
      </c>
      <c r="W153" s="2"/>
      <c r="X153" s="7">
        <f t="shared" si="30"/>
        <v>2347.7200000000157</v>
      </c>
      <c r="Y153" s="2"/>
      <c r="Z153" s="6">
        <f t="shared" si="31"/>
        <v>2.8961339525483354E-2</v>
      </c>
    </row>
    <row r="154" spans="1:26" s="24" customFormat="1" hidden="1" outlineLevel="2" x14ac:dyDescent="0.25">
      <c r="A154" s="29"/>
      <c r="B154" s="11" t="str">
        <f>CONCATENATE("          ", "6004", " - ", "STAFF HOURLY")</f>
        <v xml:space="preserve">          6004 - STAFF HOURLY</v>
      </c>
      <c r="C154" s="11"/>
      <c r="D154" s="7">
        <v>2005.93</v>
      </c>
      <c r="E154" s="2"/>
      <c r="F154" s="6">
        <f t="shared" si="24"/>
        <v>4.8834204573086027E-3</v>
      </c>
      <c r="G154" s="2"/>
      <c r="H154" s="7">
        <v>5369.04</v>
      </c>
      <c r="I154" s="2"/>
      <c r="J154" s="6">
        <f t="shared" si="25"/>
        <v>1.2183207204381185E-2</v>
      </c>
      <c r="K154" s="2"/>
      <c r="L154" s="7">
        <f t="shared" si="26"/>
        <v>-3363.1099999999997</v>
      </c>
      <c r="M154" s="2"/>
      <c r="N154" s="6">
        <f t="shared" si="27"/>
        <v>-0.62638944764799664</v>
      </c>
      <c r="O154" s="11"/>
      <c r="P154" s="7">
        <v>2005.93</v>
      </c>
      <c r="Q154" s="2"/>
      <c r="R154" s="6">
        <f t="shared" si="28"/>
        <v>4.8834204573086027E-3</v>
      </c>
      <c r="S154" s="2"/>
      <c r="T154" s="7">
        <v>5369.04</v>
      </c>
      <c r="U154" s="2"/>
      <c r="V154" s="6">
        <f t="shared" si="29"/>
        <v>1.2183207204381185E-2</v>
      </c>
      <c r="W154" s="2"/>
      <c r="X154" s="7">
        <f t="shared" si="30"/>
        <v>-3363.1099999999997</v>
      </c>
      <c r="Y154" s="2"/>
      <c r="Z154" s="6">
        <f t="shared" si="31"/>
        <v>-0.62638944764799664</v>
      </c>
    </row>
    <row r="155" spans="1:26" s="24" customFormat="1" hidden="1" outlineLevel="2" x14ac:dyDescent="0.25">
      <c r="A155" s="29"/>
      <c r="B155" s="11" t="str">
        <f>CONCATENATE("          ", "6005", " - ", "TEMPORARY WAGES-HOURLY")</f>
        <v xml:space="preserve">          6005 - TEMPORARY WAGES-HOURLY</v>
      </c>
      <c r="C155" s="11"/>
      <c r="D155" s="7">
        <v>20836.05</v>
      </c>
      <c r="E155" s="2"/>
      <c r="F155" s="6">
        <f t="shared" si="24"/>
        <v>5.0725196203010532E-2</v>
      </c>
      <c r="G155" s="2"/>
      <c r="H155" s="7">
        <v>17187.329999999998</v>
      </c>
      <c r="I155" s="2"/>
      <c r="J155" s="6">
        <f t="shared" si="25"/>
        <v>3.9000790212044771E-2</v>
      </c>
      <c r="K155" s="2"/>
      <c r="L155" s="7">
        <f t="shared" si="26"/>
        <v>3648.7200000000012</v>
      </c>
      <c r="M155" s="2"/>
      <c r="N155" s="6">
        <f t="shared" si="27"/>
        <v>0.21229126338995072</v>
      </c>
      <c r="O155" s="11"/>
      <c r="P155" s="7">
        <v>20836.05</v>
      </c>
      <c r="Q155" s="2"/>
      <c r="R155" s="6">
        <f t="shared" si="28"/>
        <v>5.0725196203010532E-2</v>
      </c>
      <c r="S155" s="2"/>
      <c r="T155" s="7">
        <v>17187.329999999998</v>
      </c>
      <c r="U155" s="2"/>
      <c r="V155" s="6">
        <f t="shared" si="29"/>
        <v>3.9000790212044771E-2</v>
      </c>
      <c r="W155" s="2"/>
      <c r="X155" s="7">
        <f t="shared" si="30"/>
        <v>3648.7200000000012</v>
      </c>
      <c r="Y155" s="2"/>
      <c r="Z155" s="6">
        <f t="shared" si="31"/>
        <v>0.21229126338995072</v>
      </c>
    </row>
    <row r="156" spans="1:26" s="24" customFormat="1" hidden="1" outlineLevel="2" x14ac:dyDescent="0.25">
      <c r="A156" s="29"/>
      <c r="B156" s="11" t="str">
        <f>CONCATENATE("          ", "6006", " - ", "TEMPORARY PART TIME")</f>
        <v xml:space="preserve">          6006 - TEMPORARY PART TIME</v>
      </c>
      <c r="C156" s="11"/>
      <c r="D156" s="7">
        <v>3918.19</v>
      </c>
      <c r="E156" s="2"/>
      <c r="F156" s="6">
        <f t="shared" si="24"/>
        <v>9.5388020527246691E-3</v>
      </c>
      <c r="G156" s="2"/>
      <c r="H156" s="7">
        <v>11693.42</v>
      </c>
      <c r="I156" s="2"/>
      <c r="J156" s="6">
        <f t="shared" si="25"/>
        <v>2.6534233082237242E-2</v>
      </c>
      <c r="K156" s="2"/>
      <c r="L156" s="7">
        <f t="shared" si="26"/>
        <v>-7775.23</v>
      </c>
      <c r="M156" s="2"/>
      <c r="N156" s="6">
        <f t="shared" si="27"/>
        <v>-0.66492352109134878</v>
      </c>
      <c r="O156" s="11"/>
      <c r="P156" s="7">
        <v>3918.19</v>
      </c>
      <c r="Q156" s="2"/>
      <c r="R156" s="6">
        <f t="shared" si="28"/>
        <v>9.5388020527246691E-3</v>
      </c>
      <c r="S156" s="2"/>
      <c r="T156" s="7">
        <v>11693.42</v>
      </c>
      <c r="U156" s="2"/>
      <c r="V156" s="6">
        <f t="shared" si="29"/>
        <v>2.6534233082237242E-2</v>
      </c>
      <c r="W156" s="2"/>
      <c r="X156" s="7">
        <f t="shared" si="30"/>
        <v>-7775.23</v>
      </c>
      <c r="Y156" s="2"/>
      <c r="Z156" s="6">
        <f t="shared" si="31"/>
        <v>-0.66492352109134878</v>
      </c>
    </row>
    <row r="157" spans="1:26" s="24" customFormat="1" hidden="1" outlineLevel="2" x14ac:dyDescent="0.25">
      <c r="A157" s="29"/>
      <c r="B157" s="11" t="str">
        <f>CONCATENATE("          ", "6007", " - ", "STUDENT HOURLY")</f>
        <v xml:space="preserve">          6007 - STUDENT HOURLY</v>
      </c>
      <c r="C157" s="11"/>
      <c r="D157" s="7">
        <v>82926.62000000001</v>
      </c>
      <c r="E157" s="2"/>
      <c r="F157" s="6">
        <f t="shared" si="24"/>
        <v>0.20188418965938831</v>
      </c>
      <c r="G157" s="2"/>
      <c r="H157" s="7">
        <v>71802.850000000006</v>
      </c>
      <c r="I157" s="2"/>
      <c r="J157" s="6">
        <f t="shared" si="25"/>
        <v>0.16293210693440571</v>
      </c>
      <c r="K157" s="2"/>
      <c r="L157" s="7">
        <f t="shared" si="26"/>
        <v>11123.770000000004</v>
      </c>
      <c r="M157" s="2"/>
      <c r="N157" s="6">
        <f t="shared" si="27"/>
        <v>0.15492100940283016</v>
      </c>
      <c r="O157" s="11"/>
      <c r="P157" s="7">
        <v>82926.62000000001</v>
      </c>
      <c r="Q157" s="2"/>
      <c r="R157" s="6">
        <f t="shared" si="28"/>
        <v>0.20188418965938831</v>
      </c>
      <c r="S157" s="2"/>
      <c r="T157" s="7">
        <v>71802.850000000006</v>
      </c>
      <c r="U157" s="2"/>
      <c r="V157" s="6">
        <f t="shared" si="29"/>
        <v>0.16293210693440571</v>
      </c>
      <c r="W157" s="2"/>
      <c r="X157" s="7">
        <f t="shared" si="30"/>
        <v>11123.770000000004</v>
      </c>
      <c r="Y157" s="2"/>
      <c r="Z157" s="6">
        <f t="shared" si="31"/>
        <v>0.15492100940283016</v>
      </c>
    </row>
    <row r="158" spans="1:26" s="24" customFormat="1" hidden="1" outlineLevel="2" x14ac:dyDescent="0.25">
      <c r="A158" s="29"/>
      <c r="B158" s="11" t="str">
        <f>CONCATENATE("          ", "6008", " - ", "STUDENT HOURLY-FICA EXEMPT")</f>
        <v xml:space="preserve">          6008 - STUDENT HOURLY-FICA EXEMPT</v>
      </c>
      <c r="C158" s="11"/>
      <c r="D158" s="7">
        <v>2107.6</v>
      </c>
      <c r="E158" s="2"/>
      <c r="F158" s="6">
        <f t="shared" si="24"/>
        <v>5.1309352548810829E-3</v>
      </c>
      <c r="G158" s="2"/>
      <c r="H158" s="7">
        <v>3102.25</v>
      </c>
      <c r="I158" s="2"/>
      <c r="J158" s="6">
        <f t="shared" si="25"/>
        <v>7.0394995287409914E-3</v>
      </c>
      <c r="K158" s="2"/>
      <c r="L158" s="7">
        <f t="shared" si="26"/>
        <v>-994.65000000000009</v>
      </c>
      <c r="M158" s="2"/>
      <c r="N158" s="6">
        <f t="shared" si="27"/>
        <v>-0.32062212909984694</v>
      </c>
      <c r="O158" s="11"/>
      <c r="P158" s="7">
        <v>2107.6</v>
      </c>
      <c r="Q158" s="2"/>
      <c r="R158" s="6">
        <f t="shared" si="28"/>
        <v>5.1309352548810829E-3</v>
      </c>
      <c r="S158" s="2"/>
      <c r="T158" s="7">
        <v>3102.25</v>
      </c>
      <c r="U158" s="2"/>
      <c r="V158" s="6">
        <f t="shared" si="29"/>
        <v>7.0394995287409914E-3</v>
      </c>
      <c r="W158" s="2"/>
      <c r="X158" s="7">
        <f t="shared" si="30"/>
        <v>-994.65000000000009</v>
      </c>
      <c r="Y158" s="2"/>
      <c r="Z158" s="6">
        <f t="shared" si="31"/>
        <v>-0.32062212909984694</v>
      </c>
    </row>
    <row r="159" spans="1:26" s="28" customFormat="1" outlineLevel="1" collapsed="1" x14ac:dyDescent="0.25">
      <c r="A159" s="27"/>
      <c r="B159" s="14" t="str">
        <f>CONCATENATE("     ","Advertising/Promo                                 ")</f>
        <v xml:space="preserve">     Advertising/Promo                                 </v>
      </c>
      <c r="C159" s="14"/>
      <c r="D159" s="1">
        <f>SUM(OSRRefD22_2x_0)</f>
        <v>931.92</v>
      </c>
      <c r="E159" s="1"/>
      <c r="F159" s="5">
        <f t="shared" ref="F159:F167" si="32">IF(D$12=0,0,D159/D$12)</f>
        <v>2.268751747356604E-3</v>
      </c>
      <c r="G159" s="1"/>
      <c r="H159" s="1">
        <f>SUM(OSRRefH22_2x_0)</f>
        <v>5487.68</v>
      </c>
      <c r="I159" s="1"/>
      <c r="J159" s="5">
        <f t="shared" ref="J159:J167" si="33">IF(H$12=0,0,H159/H$12)</f>
        <v>1.2452420267187158E-2</v>
      </c>
      <c r="K159" s="1"/>
      <c r="L159" s="1">
        <f t="shared" ref="L159:L167" si="34">+D159-H159</f>
        <v>-4555.76</v>
      </c>
      <c r="M159" s="1"/>
      <c r="N159" s="5">
        <f t="shared" ref="N159:N167" si="35">IF(H159=0,0,L159/H159)</f>
        <v>-0.83017960230917254</v>
      </c>
      <c r="O159" s="14"/>
      <c r="P159" s="1">
        <f>SUM(OSRRefP22_2x_0)</f>
        <v>931.92</v>
      </c>
      <c r="Q159" s="1"/>
      <c r="R159" s="5">
        <f t="shared" ref="R159:R167" si="36">IF(P$12=0,0,P159/P$12)</f>
        <v>2.268751747356604E-3</v>
      </c>
      <c r="S159" s="1"/>
      <c r="T159" s="1">
        <f>SUM(OSRRefT22_2x_0)</f>
        <v>5487.68</v>
      </c>
      <c r="U159" s="1"/>
      <c r="V159" s="5">
        <f t="shared" ref="V159:V167" si="37">IF(T$12=0,0,T159/T$12)</f>
        <v>1.2452420267187158E-2</v>
      </c>
      <c r="W159" s="1"/>
      <c r="X159" s="1">
        <f t="shared" ref="X159:X167" si="38">+P159-T159</f>
        <v>-4555.76</v>
      </c>
      <c r="Y159" s="1"/>
      <c r="Z159" s="5">
        <f t="shared" ref="Z159:Z167" si="39">IF(T159=0,0,X159/T159)</f>
        <v>-0.83017960230917254</v>
      </c>
    </row>
    <row r="160" spans="1:26" s="24" customFormat="1" hidden="1" outlineLevel="2" x14ac:dyDescent="0.25">
      <c r="A160" s="29"/>
      <c r="B160" s="11" t="str">
        <f>CONCATENATE("          ", "6362", " - ", "ADVERTISING EXPENSE")</f>
        <v xml:space="preserve">          6362 - ADVERTISING EXPENSE</v>
      </c>
      <c r="C160" s="11"/>
      <c r="D160" s="7">
        <v>931.92</v>
      </c>
      <c r="E160" s="2"/>
      <c r="F160" s="6">
        <f t="shared" si="32"/>
        <v>2.268751747356604E-3</v>
      </c>
      <c r="G160" s="2"/>
      <c r="H160" s="7">
        <v>5487.68</v>
      </c>
      <c r="I160" s="2"/>
      <c r="J160" s="6">
        <f t="shared" si="33"/>
        <v>1.2452420267187158E-2</v>
      </c>
      <c r="K160" s="2"/>
      <c r="L160" s="7">
        <f t="shared" si="34"/>
        <v>-4555.76</v>
      </c>
      <c r="M160" s="2"/>
      <c r="N160" s="6">
        <f t="shared" si="35"/>
        <v>-0.83017960230917254</v>
      </c>
      <c r="O160" s="11"/>
      <c r="P160" s="7">
        <v>931.92</v>
      </c>
      <c r="Q160" s="2"/>
      <c r="R160" s="6">
        <f t="shared" si="36"/>
        <v>2.268751747356604E-3</v>
      </c>
      <c r="S160" s="2"/>
      <c r="T160" s="7">
        <v>5487.68</v>
      </c>
      <c r="U160" s="2"/>
      <c r="V160" s="6">
        <f t="shared" si="37"/>
        <v>1.2452420267187158E-2</v>
      </c>
      <c r="W160" s="2"/>
      <c r="X160" s="7">
        <f t="shared" si="38"/>
        <v>-4555.76</v>
      </c>
      <c r="Y160" s="2"/>
      <c r="Z160" s="6">
        <f t="shared" si="39"/>
        <v>-0.83017960230917254</v>
      </c>
    </row>
    <row r="161" spans="1:26" s="28" customFormat="1" outlineLevel="1" collapsed="1" x14ac:dyDescent="0.25">
      <c r="A161" s="27"/>
      <c r="B161" s="14" t="str">
        <f>CONCATENATE("     ","Bad Debts/Over/Short                              ")</f>
        <v xml:space="preserve">     Bad Debts/Over/Short                              </v>
      </c>
      <c r="C161" s="14"/>
      <c r="D161" s="1">
        <f>SUM(OSRRefD22_3x_0)</f>
        <v>-20.88</v>
      </c>
      <c r="E161" s="1"/>
      <c r="F161" s="5">
        <f t="shared" si="32"/>
        <v>-5.0832192124652217E-5</v>
      </c>
      <c r="G161" s="1"/>
      <c r="H161" s="1">
        <f>SUM(OSRRefH22_3x_0)</f>
        <v>-49.73</v>
      </c>
      <c r="I161" s="1"/>
      <c r="J161" s="5">
        <f t="shared" si="33"/>
        <v>-1.1284529343679248E-4</v>
      </c>
      <c r="K161" s="1"/>
      <c r="L161" s="1">
        <f t="shared" si="34"/>
        <v>28.849999999999998</v>
      </c>
      <c r="M161" s="1"/>
      <c r="N161" s="5">
        <f t="shared" si="35"/>
        <v>-0.58013271667001809</v>
      </c>
      <c r="O161" s="14"/>
      <c r="P161" s="1">
        <f>SUM(OSRRefP22_3x_0)</f>
        <v>-20.88</v>
      </c>
      <c r="Q161" s="1"/>
      <c r="R161" s="5">
        <f t="shared" si="36"/>
        <v>-5.0832192124652217E-5</v>
      </c>
      <c r="S161" s="1"/>
      <c r="T161" s="1">
        <f>SUM(OSRRefT22_3x_0)</f>
        <v>-49.73</v>
      </c>
      <c r="U161" s="1"/>
      <c r="V161" s="5">
        <f t="shared" si="37"/>
        <v>-1.1284529343679248E-4</v>
      </c>
      <c r="W161" s="1"/>
      <c r="X161" s="1">
        <f t="shared" si="38"/>
        <v>28.849999999999998</v>
      </c>
      <c r="Y161" s="1"/>
      <c r="Z161" s="5">
        <f t="shared" si="39"/>
        <v>-0.58013271667001809</v>
      </c>
    </row>
    <row r="162" spans="1:26" s="24" customFormat="1" hidden="1" outlineLevel="2" x14ac:dyDescent="0.25">
      <c r="A162" s="29"/>
      <c r="B162" s="11" t="str">
        <f>CONCATENATE("          ", "6272", " - ", "CASH (OVER/SHORT)")</f>
        <v xml:space="preserve">          6272 - CASH (OVER/SHORT)</v>
      </c>
      <c r="C162" s="11"/>
      <c r="D162" s="7">
        <v>-20.88</v>
      </c>
      <c r="E162" s="2"/>
      <c r="F162" s="6">
        <f t="shared" si="32"/>
        <v>-5.0832192124652217E-5</v>
      </c>
      <c r="G162" s="2"/>
      <c r="H162" s="7">
        <v>-49.73</v>
      </c>
      <c r="I162" s="2"/>
      <c r="J162" s="6">
        <f t="shared" si="33"/>
        <v>-1.1284529343679248E-4</v>
      </c>
      <c r="K162" s="2"/>
      <c r="L162" s="7">
        <f t="shared" si="34"/>
        <v>28.849999999999998</v>
      </c>
      <c r="M162" s="2"/>
      <c r="N162" s="6">
        <f t="shared" si="35"/>
        <v>-0.58013271667001809</v>
      </c>
      <c r="O162" s="11"/>
      <c r="P162" s="7">
        <v>-20.88</v>
      </c>
      <c r="Q162" s="2"/>
      <c r="R162" s="6">
        <f t="shared" si="36"/>
        <v>-5.0832192124652217E-5</v>
      </c>
      <c r="S162" s="2"/>
      <c r="T162" s="7">
        <v>-49.73</v>
      </c>
      <c r="U162" s="2"/>
      <c r="V162" s="6">
        <f t="shared" si="37"/>
        <v>-1.1284529343679248E-4</v>
      </c>
      <c r="W162" s="2"/>
      <c r="X162" s="7">
        <f t="shared" si="38"/>
        <v>28.849999999999998</v>
      </c>
      <c r="Y162" s="2"/>
      <c r="Z162" s="6">
        <f t="shared" si="39"/>
        <v>-0.58013271667001809</v>
      </c>
    </row>
    <row r="163" spans="1:26" s="28" customFormat="1" outlineLevel="1" collapsed="1" x14ac:dyDescent="0.25">
      <c r="A163" s="27"/>
      <c r="B163" s="14" t="str">
        <f>CONCATENATE("     ","Bank/card Fees                                    ")</f>
        <v xml:space="preserve">     Bank/card Fees                                    </v>
      </c>
      <c r="C163" s="14"/>
      <c r="D163" s="1">
        <f>SUM(OSRRefD22_4x_0)</f>
        <v>7335.35</v>
      </c>
      <c r="E163" s="1"/>
      <c r="F163" s="5">
        <f t="shared" si="32"/>
        <v>1.7857850598734085E-2</v>
      </c>
      <c r="G163" s="1"/>
      <c r="H163" s="1">
        <f>SUM(OSRRefH22_4x_0)</f>
        <v>7560.34</v>
      </c>
      <c r="I163" s="1"/>
      <c r="J163" s="5">
        <f t="shared" si="33"/>
        <v>1.7155616042266633E-2</v>
      </c>
      <c r="K163" s="1"/>
      <c r="L163" s="1">
        <f t="shared" si="34"/>
        <v>-224.98999999999978</v>
      </c>
      <c r="M163" s="1"/>
      <c r="N163" s="5">
        <f t="shared" si="35"/>
        <v>-2.9759243631900124E-2</v>
      </c>
      <c r="O163" s="14"/>
      <c r="P163" s="1">
        <f>SUM(OSRRefP22_4x_0)</f>
        <v>7335.35</v>
      </c>
      <c r="Q163" s="1"/>
      <c r="R163" s="5">
        <f t="shared" si="36"/>
        <v>1.7857850598734085E-2</v>
      </c>
      <c r="S163" s="1"/>
      <c r="T163" s="1">
        <f>SUM(OSRRefT22_4x_0)</f>
        <v>7560.34</v>
      </c>
      <c r="U163" s="1"/>
      <c r="V163" s="5">
        <f t="shared" si="37"/>
        <v>1.7155616042266633E-2</v>
      </c>
      <c r="W163" s="1"/>
      <c r="X163" s="1">
        <f t="shared" si="38"/>
        <v>-224.98999999999978</v>
      </c>
      <c r="Y163" s="1"/>
      <c r="Z163" s="5">
        <f t="shared" si="39"/>
        <v>-2.9759243631900124E-2</v>
      </c>
    </row>
    <row r="164" spans="1:26" s="24" customFormat="1" hidden="1" outlineLevel="2" x14ac:dyDescent="0.25">
      <c r="A164" s="29"/>
      <c r="B164" s="11" t="str">
        <f>CONCATENATE("          ", "6381", " - ", "BANK/CREDIT CARD FEES")</f>
        <v xml:space="preserve">          6381 - BANK/CREDIT CARD FEES</v>
      </c>
      <c r="C164" s="11"/>
      <c r="D164" s="7">
        <v>7335.35</v>
      </c>
      <c r="E164" s="2"/>
      <c r="F164" s="6">
        <f t="shared" si="32"/>
        <v>1.7857850598734085E-2</v>
      </c>
      <c r="G164" s="2"/>
      <c r="H164" s="7">
        <v>7560.34</v>
      </c>
      <c r="I164" s="2"/>
      <c r="J164" s="6">
        <f t="shared" si="33"/>
        <v>1.7155616042266633E-2</v>
      </c>
      <c r="K164" s="2"/>
      <c r="L164" s="7">
        <f t="shared" si="34"/>
        <v>-224.98999999999978</v>
      </c>
      <c r="M164" s="2"/>
      <c r="N164" s="6">
        <f t="shared" si="35"/>
        <v>-2.9759243631900124E-2</v>
      </c>
      <c r="O164" s="11"/>
      <c r="P164" s="7">
        <v>7335.35</v>
      </c>
      <c r="Q164" s="2"/>
      <c r="R164" s="6">
        <f t="shared" si="36"/>
        <v>1.7857850598734085E-2</v>
      </c>
      <c r="S164" s="2"/>
      <c r="T164" s="7">
        <v>7560.34</v>
      </c>
      <c r="U164" s="2"/>
      <c r="V164" s="6">
        <f t="shared" si="37"/>
        <v>1.7155616042266633E-2</v>
      </c>
      <c r="W164" s="2"/>
      <c r="X164" s="7">
        <f t="shared" si="38"/>
        <v>-224.98999999999978</v>
      </c>
      <c r="Y164" s="2"/>
      <c r="Z164" s="6">
        <f t="shared" si="39"/>
        <v>-2.9759243631900124E-2</v>
      </c>
    </row>
    <row r="165" spans="1:26" s="28" customFormat="1" outlineLevel="1" collapsed="1" x14ac:dyDescent="0.25">
      <c r="A165" s="27"/>
      <c r="B165" s="14" t="str">
        <f>CONCATENATE("     ","Depreciation                                      ")</f>
        <v xml:space="preserve">     Depreciation                                      </v>
      </c>
      <c r="C165" s="14"/>
      <c r="D165" s="1">
        <f>SUM(OSRRefD22_5x_0)</f>
        <v>38010.910000000003</v>
      </c>
      <c r="E165" s="1"/>
      <c r="F165" s="5">
        <f t="shared" si="32"/>
        <v>9.2537254787014578E-2</v>
      </c>
      <c r="G165" s="1"/>
      <c r="H165" s="1">
        <f>SUM(OSRRefH22_5x_0)</f>
        <v>37694.15</v>
      </c>
      <c r="I165" s="1"/>
      <c r="J165" s="5">
        <f t="shared" si="33"/>
        <v>8.5534032125487061E-2</v>
      </c>
      <c r="K165" s="1"/>
      <c r="L165" s="1">
        <f t="shared" si="34"/>
        <v>316.76000000000204</v>
      </c>
      <c r="M165" s="1"/>
      <c r="N165" s="5">
        <f t="shared" si="35"/>
        <v>8.403425995811075E-3</v>
      </c>
      <c r="O165" s="14"/>
      <c r="P165" s="1">
        <f>SUM(OSRRefP22_5x_0)</f>
        <v>38010.910000000003</v>
      </c>
      <c r="Q165" s="1"/>
      <c r="R165" s="5">
        <f t="shared" si="36"/>
        <v>9.2537254787014578E-2</v>
      </c>
      <c r="S165" s="1"/>
      <c r="T165" s="1">
        <f>SUM(OSRRefT22_5x_0)</f>
        <v>37694.15</v>
      </c>
      <c r="U165" s="1"/>
      <c r="V165" s="5">
        <f t="shared" si="37"/>
        <v>8.5534032125487061E-2</v>
      </c>
      <c r="W165" s="1"/>
      <c r="X165" s="1">
        <f t="shared" si="38"/>
        <v>316.76000000000204</v>
      </c>
      <c r="Y165" s="1"/>
      <c r="Z165" s="5">
        <f t="shared" si="39"/>
        <v>8.403425995811075E-3</v>
      </c>
    </row>
    <row r="166" spans="1:26" s="24" customFormat="1" hidden="1" outlineLevel="2" x14ac:dyDescent="0.25">
      <c r="A166" s="29"/>
      <c r="B166" s="11" t="str">
        <f>CONCATENATE("          ", "6321", " - ", "BUILDING DEPRECIATION")</f>
        <v xml:space="preserve">          6321 - BUILDING DEPRECIATION</v>
      </c>
      <c r="C166" s="11"/>
      <c r="D166" s="7">
        <v>21477.030000000002</v>
      </c>
      <c r="E166" s="2"/>
      <c r="F166" s="6">
        <f t="shared" si="32"/>
        <v>5.2285656859526804E-2</v>
      </c>
      <c r="G166" s="2"/>
      <c r="H166" s="7">
        <v>21533.89</v>
      </c>
      <c r="I166" s="2"/>
      <c r="J166" s="6">
        <f t="shared" si="33"/>
        <v>4.8863827385594437E-2</v>
      </c>
      <c r="K166" s="2"/>
      <c r="L166" s="7">
        <f t="shared" si="34"/>
        <v>-56.859999999996944</v>
      </c>
      <c r="M166" s="2"/>
      <c r="N166" s="6">
        <f t="shared" si="35"/>
        <v>-2.6404890152219103E-3</v>
      </c>
      <c r="O166" s="11"/>
      <c r="P166" s="7">
        <v>21477.030000000002</v>
      </c>
      <c r="Q166" s="2"/>
      <c r="R166" s="6">
        <f t="shared" si="36"/>
        <v>5.2285656859526804E-2</v>
      </c>
      <c r="S166" s="2"/>
      <c r="T166" s="7">
        <v>21533.89</v>
      </c>
      <c r="U166" s="2"/>
      <c r="V166" s="6">
        <f t="shared" si="37"/>
        <v>4.8863827385594437E-2</v>
      </c>
      <c r="W166" s="2"/>
      <c r="X166" s="7">
        <f t="shared" si="38"/>
        <v>-56.859999999996944</v>
      </c>
      <c r="Y166" s="2"/>
      <c r="Z166" s="6">
        <f t="shared" si="39"/>
        <v>-2.6404890152219103E-3</v>
      </c>
    </row>
    <row r="167" spans="1:26" s="24" customFormat="1" hidden="1" outlineLevel="2" x14ac:dyDescent="0.25">
      <c r="A167" s="29"/>
      <c r="B167" s="11" t="str">
        <f>CONCATENATE("          ", "6322", " - ", "EQUIPMENT DEPRECIATION EXPENSE")</f>
        <v xml:space="preserve">          6322 - EQUIPMENT DEPRECIATION EXPENSE</v>
      </c>
      <c r="C167" s="11"/>
      <c r="D167" s="7">
        <v>16533.88</v>
      </c>
      <c r="E167" s="2"/>
      <c r="F167" s="6">
        <f t="shared" si="32"/>
        <v>4.0251597927487781E-2</v>
      </c>
      <c r="G167" s="2"/>
      <c r="H167" s="7">
        <v>16160.26</v>
      </c>
      <c r="I167" s="2"/>
      <c r="J167" s="6">
        <f t="shared" si="33"/>
        <v>3.6670204739892624E-2</v>
      </c>
      <c r="K167" s="2"/>
      <c r="L167" s="7">
        <f t="shared" si="34"/>
        <v>373.6200000000008</v>
      </c>
      <c r="M167" s="2"/>
      <c r="N167" s="6">
        <f t="shared" si="35"/>
        <v>2.311967752994078E-2</v>
      </c>
      <c r="O167" s="11"/>
      <c r="P167" s="7">
        <v>16533.88</v>
      </c>
      <c r="Q167" s="2"/>
      <c r="R167" s="6">
        <f t="shared" si="36"/>
        <v>4.0251597927487781E-2</v>
      </c>
      <c r="S167" s="2"/>
      <c r="T167" s="7">
        <v>16160.26</v>
      </c>
      <c r="U167" s="2"/>
      <c r="V167" s="6">
        <f t="shared" si="37"/>
        <v>3.6670204739892624E-2</v>
      </c>
      <c r="W167" s="2"/>
      <c r="X167" s="7">
        <f t="shared" si="38"/>
        <v>373.6200000000008</v>
      </c>
      <c r="Y167" s="2"/>
      <c r="Z167" s="6">
        <f t="shared" si="39"/>
        <v>2.311967752994078E-2</v>
      </c>
    </row>
    <row r="168" spans="1:26" s="28" customFormat="1" outlineLevel="1" collapsed="1" x14ac:dyDescent="0.25">
      <c r="A168" s="27"/>
      <c r="B168" s="14" t="str">
        <f>CONCATENATE("     ","Discounts and Markdowns                           ")</f>
        <v xml:space="preserve">     Discounts and Markdowns                           </v>
      </c>
      <c r="C168" s="14"/>
      <c r="D168" s="1">
        <f>SUM(OSRRefD22_6x_0)</f>
        <v>24502.960000000003</v>
      </c>
      <c r="E168" s="1"/>
      <c r="F168" s="5">
        <f t="shared" ref="F168:F170" si="40">IF(D$12=0,0,D168/D$12)</f>
        <v>5.9652259116028186E-2</v>
      </c>
      <c r="G168" s="1"/>
      <c r="H168" s="1">
        <f>SUM(OSRRefH22_6x_0)</f>
        <v>19361.48</v>
      </c>
      <c r="I168" s="1"/>
      <c r="J168" s="5">
        <f t="shared" ref="J168:J170" si="41">IF(H$12=0,0,H168/H$12)</f>
        <v>4.3934282967435935E-2</v>
      </c>
      <c r="K168" s="1"/>
      <c r="L168" s="1">
        <f t="shared" ref="L168:L170" si="42">+D168-H168</f>
        <v>5141.4800000000032</v>
      </c>
      <c r="M168" s="1"/>
      <c r="N168" s="5">
        <f t="shared" ref="N168:N170" si="43">IF(H168=0,0,L168/H168)</f>
        <v>0.26555201358573843</v>
      </c>
      <c r="O168" s="14"/>
      <c r="P168" s="1">
        <f>SUM(OSRRefP22_6x_0)</f>
        <v>24502.960000000003</v>
      </c>
      <c r="Q168" s="1"/>
      <c r="R168" s="5">
        <f t="shared" ref="R168:R170" si="44">IF(P$12=0,0,P168/P$12)</f>
        <v>5.9652259116028186E-2</v>
      </c>
      <c r="S168" s="1"/>
      <c r="T168" s="1">
        <f>SUM(OSRRefT22_6x_0)</f>
        <v>19361.48</v>
      </c>
      <c r="U168" s="1"/>
      <c r="V168" s="5">
        <f t="shared" ref="V168:V170" si="45">IF(T$12=0,0,T168/T$12)</f>
        <v>4.3934282967435935E-2</v>
      </c>
      <c r="W168" s="1"/>
      <c r="X168" s="1">
        <f t="shared" ref="X168:X170" si="46">+P168-T168</f>
        <v>5141.4800000000032</v>
      </c>
      <c r="Y168" s="1"/>
      <c r="Z168" s="5">
        <f t="shared" ref="Z168:Z170" si="47">IF(T168=0,0,X168/T168)</f>
        <v>0.26555201358573843</v>
      </c>
    </row>
    <row r="169" spans="1:26" s="24" customFormat="1" hidden="1" outlineLevel="2" x14ac:dyDescent="0.25">
      <c r="A169" s="29"/>
      <c r="B169" s="11" t="str">
        <f>CONCATENATE("          ", "6382", " - ", "DISCOUNTS/MARK DOWNS")</f>
        <v xml:space="preserve">          6382 - DISCOUNTS/MARK DOWNS</v>
      </c>
      <c r="C169" s="11"/>
      <c r="D169" s="7">
        <v>24946.670000000002</v>
      </c>
      <c r="E169" s="2"/>
      <c r="F169" s="6">
        <f t="shared" si="40"/>
        <v>6.0732467543596645E-2</v>
      </c>
      <c r="G169" s="2"/>
      <c r="H169" s="7">
        <v>20271.64</v>
      </c>
      <c r="I169" s="2"/>
      <c r="J169" s="6">
        <f t="shared" si="41"/>
        <v>4.5999581022421472E-2</v>
      </c>
      <c r="K169" s="2"/>
      <c r="L169" s="7">
        <f t="shared" si="42"/>
        <v>4675.0300000000025</v>
      </c>
      <c r="M169" s="2"/>
      <c r="N169" s="6">
        <f t="shared" si="43"/>
        <v>0.23061922962325707</v>
      </c>
      <c r="O169" s="11"/>
      <c r="P169" s="7">
        <v>24946.670000000002</v>
      </c>
      <c r="Q169" s="2"/>
      <c r="R169" s="6">
        <f t="shared" si="44"/>
        <v>6.0732467543596645E-2</v>
      </c>
      <c r="S169" s="2"/>
      <c r="T169" s="7">
        <v>20271.64</v>
      </c>
      <c r="U169" s="2"/>
      <c r="V169" s="6">
        <f t="shared" si="45"/>
        <v>4.5999581022421472E-2</v>
      </c>
      <c r="W169" s="2"/>
      <c r="X169" s="7">
        <f t="shared" si="46"/>
        <v>4675.0300000000025</v>
      </c>
      <c r="Y169" s="2"/>
      <c r="Z169" s="6">
        <f t="shared" si="47"/>
        <v>0.23061922962325707</v>
      </c>
    </row>
    <row r="170" spans="1:26" s="24" customFormat="1" hidden="1" outlineLevel="2" x14ac:dyDescent="0.25">
      <c r="A170" s="29"/>
      <c r="B170" s="11" t="str">
        <f>CONCATENATE("          ", "9175", " - ", "EARNED DISCOUNTS")</f>
        <v xml:space="preserve">          9175 - EARNED DISCOUNTS</v>
      </c>
      <c r="C170" s="11"/>
      <c r="D170" s="7">
        <v>-443.71</v>
      </c>
      <c r="E170" s="2"/>
      <c r="F170" s="6">
        <f t="shared" si="40"/>
        <v>-1.0802084275684596E-3</v>
      </c>
      <c r="G170" s="2"/>
      <c r="H170" s="7">
        <v>-910.16</v>
      </c>
      <c r="I170" s="2"/>
      <c r="J170" s="6">
        <f t="shared" si="41"/>
        <v>-2.0652980549855427E-3</v>
      </c>
      <c r="K170" s="2"/>
      <c r="L170" s="7">
        <f t="shared" si="42"/>
        <v>466.45</v>
      </c>
      <c r="M170" s="2"/>
      <c r="N170" s="6">
        <f t="shared" si="43"/>
        <v>-0.51249230904456355</v>
      </c>
      <c r="O170" s="11"/>
      <c r="P170" s="7">
        <v>-443.71</v>
      </c>
      <c r="Q170" s="2"/>
      <c r="R170" s="6">
        <f t="shared" si="44"/>
        <v>-1.0802084275684596E-3</v>
      </c>
      <c r="S170" s="2"/>
      <c r="T170" s="7">
        <v>-910.16</v>
      </c>
      <c r="U170" s="2"/>
      <c r="V170" s="6">
        <f t="shared" si="45"/>
        <v>-2.0652980549855427E-3</v>
      </c>
      <c r="W170" s="2"/>
      <c r="X170" s="7">
        <f t="shared" si="46"/>
        <v>466.45</v>
      </c>
      <c r="Y170" s="2"/>
      <c r="Z170" s="6">
        <f t="shared" si="47"/>
        <v>-0.51249230904456355</v>
      </c>
    </row>
    <row r="171" spans="1:26" s="28" customFormat="1" outlineLevel="1" collapsed="1" x14ac:dyDescent="0.25">
      <c r="A171" s="27"/>
      <c r="B171" s="14" t="str">
        <f>CONCATENATE("     ","Donations                                         ")</f>
        <v xml:space="preserve">     Donations                                         </v>
      </c>
      <c r="C171" s="14"/>
      <c r="D171" s="1">
        <f>SUM(OSRRefD22_7x_0)</f>
        <v>925.42</v>
      </c>
      <c r="E171" s="1"/>
      <c r="F171" s="5">
        <f t="shared" ref="F171:F179" si="48">IF(D$12=0,0,D171/D$12)</f>
        <v>2.25292754961665E-3</v>
      </c>
      <c r="G171" s="1"/>
      <c r="H171" s="1">
        <f>SUM(OSRRefH22_7x_0)</f>
        <v>1436.21</v>
      </c>
      <c r="I171" s="1"/>
      <c r="J171" s="5">
        <f t="shared" ref="J171:J179" si="49">IF(H$12=0,0,H171/H$12)</f>
        <v>3.2589893200654684E-3</v>
      </c>
      <c r="K171" s="1"/>
      <c r="L171" s="1">
        <f t="shared" ref="L171:L179" si="50">+D171-H171</f>
        <v>-510.79000000000008</v>
      </c>
      <c r="M171" s="1"/>
      <c r="N171" s="5">
        <f t="shared" ref="N171:N179" si="51">IF(H171=0,0,L171/H171)</f>
        <v>-0.35565133232605262</v>
      </c>
      <c r="O171" s="14"/>
      <c r="P171" s="1">
        <f>SUM(OSRRefP22_7x_0)</f>
        <v>925.42</v>
      </c>
      <c r="Q171" s="1"/>
      <c r="R171" s="5">
        <f t="shared" ref="R171:R179" si="52">IF(P$12=0,0,P171/P$12)</f>
        <v>2.25292754961665E-3</v>
      </c>
      <c r="S171" s="1"/>
      <c r="T171" s="1">
        <f>SUM(OSRRefT22_7x_0)</f>
        <v>1436.21</v>
      </c>
      <c r="U171" s="1"/>
      <c r="V171" s="5">
        <f t="shared" ref="V171:V179" si="53">IF(T$12=0,0,T171/T$12)</f>
        <v>3.2589893200654684E-3</v>
      </c>
      <c r="W171" s="1"/>
      <c r="X171" s="1">
        <f t="shared" ref="X171:X179" si="54">+P171-T171</f>
        <v>-510.79000000000008</v>
      </c>
      <c r="Y171" s="1"/>
      <c r="Z171" s="5">
        <f t="shared" ref="Z171:Z179" si="55">IF(T171=0,0,X171/T171)</f>
        <v>-0.35565133232605262</v>
      </c>
    </row>
    <row r="172" spans="1:26" s="24" customFormat="1" hidden="1" outlineLevel="2" x14ac:dyDescent="0.25">
      <c r="A172" s="29"/>
      <c r="B172" s="11" t="str">
        <f>CONCATENATE("          ", "6399", " - ", "DONATION-ON CAMPUS")</f>
        <v xml:space="preserve">          6399 - DONATION-ON CAMPUS</v>
      </c>
      <c r="C172" s="11"/>
      <c r="D172" s="7">
        <v>925.42</v>
      </c>
      <c r="E172" s="2"/>
      <c r="F172" s="6">
        <f t="shared" si="48"/>
        <v>2.25292754961665E-3</v>
      </c>
      <c r="G172" s="2"/>
      <c r="H172" s="7">
        <v>1436.21</v>
      </c>
      <c r="I172" s="2"/>
      <c r="J172" s="6">
        <f t="shared" si="49"/>
        <v>3.2589893200654684E-3</v>
      </c>
      <c r="K172" s="2"/>
      <c r="L172" s="7">
        <f t="shared" si="50"/>
        <v>-510.79000000000008</v>
      </c>
      <c r="M172" s="2"/>
      <c r="N172" s="6">
        <f t="shared" si="51"/>
        <v>-0.35565133232605262</v>
      </c>
      <c r="O172" s="11"/>
      <c r="P172" s="7">
        <v>925.42</v>
      </c>
      <c r="Q172" s="2"/>
      <c r="R172" s="6">
        <f t="shared" si="52"/>
        <v>2.25292754961665E-3</v>
      </c>
      <c r="S172" s="2"/>
      <c r="T172" s="7">
        <v>1436.21</v>
      </c>
      <c r="U172" s="2"/>
      <c r="V172" s="6">
        <f t="shared" si="53"/>
        <v>3.2589893200654684E-3</v>
      </c>
      <c r="W172" s="2"/>
      <c r="X172" s="7">
        <f t="shared" si="54"/>
        <v>-510.79000000000008</v>
      </c>
      <c r="Y172" s="2"/>
      <c r="Z172" s="6">
        <f t="shared" si="55"/>
        <v>-0.35565133232605262</v>
      </c>
    </row>
    <row r="173" spans="1:26" s="28" customFormat="1" outlineLevel="1" collapsed="1" x14ac:dyDescent="0.25">
      <c r="A173" s="27"/>
      <c r="B173" s="14" t="str">
        <f>CONCATENATE("     ","Employees' Appreciation                           ")</f>
        <v xml:space="preserve">     Employees' Appreciation                           </v>
      </c>
      <c r="C173" s="14"/>
      <c r="D173" s="1">
        <f>SUM(OSRRefD22_8x_0)</f>
        <v>393.54</v>
      </c>
      <c r="E173" s="1"/>
      <c r="F173" s="5">
        <f t="shared" si="48"/>
        <v>9.5806996593561478E-4</v>
      </c>
      <c r="G173" s="1"/>
      <c r="H173" s="1">
        <f>SUM(OSRRefH22_8x_0)</f>
        <v>292.70999999999998</v>
      </c>
      <c r="I173" s="1"/>
      <c r="J173" s="5">
        <f t="shared" si="49"/>
        <v>6.6420562722468383E-4</v>
      </c>
      <c r="K173" s="1"/>
      <c r="L173" s="1">
        <f t="shared" si="50"/>
        <v>100.83000000000004</v>
      </c>
      <c r="M173" s="1"/>
      <c r="N173" s="5">
        <f t="shared" si="51"/>
        <v>0.34447063646612702</v>
      </c>
      <c r="O173" s="14"/>
      <c r="P173" s="1">
        <f>SUM(OSRRefP22_8x_0)</f>
        <v>393.54</v>
      </c>
      <c r="Q173" s="1"/>
      <c r="R173" s="5">
        <f t="shared" si="52"/>
        <v>9.5806996593561478E-4</v>
      </c>
      <c r="S173" s="1"/>
      <c r="T173" s="1">
        <f>SUM(OSRRefT22_8x_0)</f>
        <v>292.70999999999998</v>
      </c>
      <c r="U173" s="1"/>
      <c r="V173" s="5">
        <f t="shared" si="53"/>
        <v>6.6420562722468383E-4</v>
      </c>
      <c r="W173" s="1"/>
      <c r="X173" s="1">
        <f t="shared" si="54"/>
        <v>100.83000000000004</v>
      </c>
      <c r="Y173" s="1"/>
      <c r="Z173" s="5">
        <f t="shared" si="55"/>
        <v>0.34447063646612702</v>
      </c>
    </row>
    <row r="174" spans="1:26" s="24" customFormat="1" hidden="1" outlineLevel="2" x14ac:dyDescent="0.25">
      <c r="A174" s="29"/>
      <c r="B174" s="11" t="str">
        <f>CONCATENATE("          ", "6277", " - ", "EMPLOYEE APPRECIATION")</f>
        <v xml:space="preserve">          6277 - EMPLOYEE APPRECIATION</v>
      </c>
      <c r="C174" s="11"/>
      <c r="D174" s="7">
        <v>393.54</v>
      </c>
      <c r="E174" s="2"/>
      <c r="F174" s="6">
        <f t="shared" si="48"/>
        <v>9.5806996593561478E-4</v>
      </c>
      <c r="G174" s="2"/>
      <c r="H174" s="7">
        <v>292.70999999999998</v>
      </c>
      <c r="I174" s="2"/>
      <c r="J174" s="6">
        <f t="shared" si="49"/>
        <v>6.6420562722468383E-4</v>
      </c>
      <c r="K174" s="2"/>
      <c r="L174" s="7">
        <f t="shared" si="50"/>
        <v>100.83000000000004</v>
      </c>
      <c r="M174" s="2"/>
      <c r="N174" s="6">
        <f t="shared" si="51"/>
        <v>0.34447063646612702</v>
      </c>
      <c r="O174" s="11"/>
      <c r="P174" s="7">
        <v>393.54</v>
      </c>
      <c r="Q174" s="2"/>
      <c r="R174" s="6">
        <f t="shared" si="52"/>
        <v>9.5806996593561478E-4</v>
      </c>
      <c r="S174" s="2"/>
      <c r="T174" s="7">
        <v>292.70999999999998</v>
      </c>
      <c r="U174" s="2"/>
      <c r="V174" s="6">
        <f t="shared" si="53"/>
        <v>6.6420562722468383E-4</v>
      </c>
      <c r="W174" s="2"/>
      <c r="X174" s="7">
        <f t="shared" si="54"/>
        <v>100.83000000000004</v>
      </c>
      <c r="Y174" s="2"/>
      <c r="Z174" s="6">
        <f t="shared" si="55"/>
        <v>0.34447063646612702</v>
      </c>
    </row>
    <row r="175" spans="1:26" s="28" customFormat="1" outlineLevel="1" collapsed="1" x14ac:dyDescent="0.25">
      <c r="A175" s="27"/>
      <c r="B175" s="14" t="str">
        <f>CONCATENATE("     ","Equipment Rental                                  ")</f>
        <v xml:space="preserve">     Equipment Rental                                  </v>
      </c>
      <c r="C175" s="14"/>
      <c r="D175" s="1">
        <f>SUM(OSRRefD22_9x_0)</f>
        <v>1443.37</v>
      </c>
      <c r="E175" s="1"/>
      <c r="F175" s="5">
        <f t="shared" si="48"/>
        <v>3.513872660294984E-3</v>
      </c>
      <c r="G175" s="1"/>
      <c r="H175" s="1">
        <f>SUM(OSRRefH22_9x_0)</f>
        <v>3546.44</v>
      </c>
      <c r="I175" s="1"/>
      <c r="J175" s="5">
        <f t="shared" si="49"/>
        <v>8.0474374111397205E-3</v>
      </c>
      <c r="K175" s="1"/>
      <c r="L175" s="1">
        <f t="shared" si="50"/>
        <v>-2103.0700000000002</v>
      </c>
      <c r="M175" s="1"/>
      <c r="N175" s="5">
        <f t="shared" si="51"/>
        <v>-0.59300876371798206</v>
      </c>
      <c r="O175" s="14"/>
      <c r="P175" s="1">
        <f>SUM(OSRRefP22_9x_0)</f>
        <v>1443.37</v>
      </c>
      <c r="Q175" s="1"/>
      <c r="R175" s="5">
        <f t="shared" si="52"/>
        <v>3.513872660294984E-3</v>
      </c>
      <c r="S175" s="1"/>
      <c r="T175" s="1">
        <f>SUM(OSRRefT22_9x_0)</f>
        <v>3546.44</v>
      </c>
      <c r="U175" s="1"/>
      <c r="V175" s="5">
        <f t="shared" si="53"/>
        <v>8.0474374111397205E-3</v>
      </c>
      <c r="W175" s="1"/>
      <c r="X175" s="1">
        <f t="shared" si="54"/>
        <v>-2103.0700000000002</v>
      </c>
      <c r="Y175" s="1"/>
      <c r="Z175" s="5">
        <f t="shared" si="55"/>
        <v>-0.59300876371798206</v>
      </c>
    </row>
    <row r="176" spans="1:26" s="24" customFormat="1" hidden="1" outlineLevel="2" x14ac:dyDescent="0.25">
      <c r="A176" s="29"/>
      <c r="B176" s="11" t="str">
        <f>CONCATENATE("          ", "6351", " - ", "EQUIPMENT RENTAL")</f>
        <v xml:space="preserve">          6351 - EQUIPMENT RENTAL</v>
      </c>
      <c r="C176" s="11"/>
      <c r="D176" s="7">
        <v>1443.37</v>
      </c>
      <c r="E176" s="2"/>
      <c r="F176" s="6">
        <f t="shared" si="48"/>
        <v>3.513872660294984E-3</v>
      </c>
      <c r="G176" s="2"/>
      <c r="H176" s="7">
        <v>3546.44</v>
      </c>
      <c r="I176" s="2"/>
      <c r="J176" s="6">
        <f t="shared" si="49"/>
        <v>8.0474374111397205E-3</v>
      </c>
      <c r="K176" s="2"/>
      <c r="L176" s="7">
        <f t="shared" si="50"/>
        <v>-2103.0700000000002</v>
      </c>
      <c r="M176" s="2"/>
      <c r="N176" s="6">
        <f t="shared" si="51"/>
        <v>-0.59300876371798206</v>
      </c>
      <c r="O176" s="11"/>
      <c r="P176" s="7">
        <v>1443.37</v>
      </c>
      <c r="Q176" s="2"/>
      <c r="R176" s="6">
        <f t="shared" si="52"/>
        <v>3.513872660294984E-3</v>
      </c>
      <c r="S176" s="2"/>
      <c r="T176" s="7">
        <v>3546.44</v>
      </c>
      <c r="U176" s="2"/>
      <c r="V176" s="6">
        <f t="shared" si="53"/>
        <v>8.0474374111397205E-3</v>
      </c>
      <c r="W176" s="2"/>
      <c r="X176" s="7">
        <f t="shared" si="54"/>
        <v>-2103.0700000000002</v>
      </c>
      <c r="Y176" s="2"/>
      <c r="Z176" s="6">
        <f t="shared" si="55"/>
        <v>-0.59300876371798206</v>
      </c>
    </row>
    <row r="177" spans="1:26" s="28" customFormat="1" outlineLevel="1" collapsed="1" x14ac:dyDescent="0.25">
      <c r="A177" s="27"/>
      <c r="B177" s="14" t="str">
        <f>CONCATENATE("     ","Freight out/Postage                               ")</f>
        <v xml:space="preserve">     Freight out/Postage                               </v>
      </c>
      <c r="C177" s="14"/>
      <c r="D177" s="1">
        <f>SUM(OSRRefD22_10x_0)</f>
        <v>-2160.1400000000003</v>
      </c>
      <c r="E177" s="1"/>
      <c r="F177" s="5">
        <f t="shared" si="48"/>
        <v>-5.2588434624591118E-3</v>
      </c>
      <c r="G177" s="1"/>
      <c r="H177" s="1">
        <f>SUM(OSRRefH22_10x_0)</f>
        <v>49.170000000000073</v>
      </c>
      <c r="I177" s="1"/>
      <c r="J177" s="5">
        <f t="shared" si="49"/>
        <v>1.1157456421248934E-4</v>
      </c>
      <c r="K177" s="1"/>
      <c r="L177" s="1">
        <f t="shared" si="50"/>
        <v>-2209.3100000000004</v>
      </c>
      <c r="M177" s="1"/>
      <c r="N177" s="5">
        <f t="shared" si="51"/>
        <v>-44.932072401871004</v>
      </c>
      <c r="O177" s="14"/>
      <c r="P177" s="1">
        <f>SUM(OSRRefP22_10x_0)</f>
        <v>-2160.1400000000003</v>
      </c>
      <c r="Q177" s="1"/>
      <c r="R177" s="5">
        <f t="shared" si="52"/>
        <v>-5.2588434624591118E-3</v>
      </c>
      <c r="S177" s="1"/>
      <c r="T177" s="1">
        <f>SUM(OSRRefT22_10x_0)</f>
        <v>49.170000000000073</v>
      </c>
      <c r="U177" s="1"/>
      <c r="V177" s="5">
        <f t="shared" si="53"/>
        <v>1.1157456421248934E-4</v>
      </c>
      <c r="W177" s="1"/>
      <c r="X177" s="1">
        <f t="shared" si="54"/>
        <v>-2209.3100000000004</v>
      </c>
      <c r="Y177" s="1"/>
      <c r="Z177" s="5">
        <f t="shared" si="55"/>
        <v>-44.932072401871004</v>
      </c>
    </row>
    <row r="178" spans="1:26" s="24" customFormat="1" hidden="1" outlineLevel="2" x14ac:dyDescent="0.25">
      <c r="A178" s="29"/>
      <c r="B178" s="11" t="str">
        <f>CONCATENATE("          ", "6305", " - ", "FREIGHT OUT")</f>
        <v xml:space="preserve">          6305 - FREIGHT OUT</v>
      </c>
      <c r="C178" s="11"/>
      <c r="D178" s="7">
        <v>1489.41</v>
      </c>
      <c r="E178" s="2"/>
      <c r="F178" s="6">
        <f t="shared" si="48"/>
        <v>3.6259566701330589E-3</v>
      </c>
      <c r="G178" s="2"/>
      <c r="H178" s="7">
        <v>2576.0700000000002</v>
      </c>
      <c r="I178" s="2"/>
      <c r="J178" s="6">
        <f t="shared" si="49"/>
        <v>5.8455132729482813E-3</v>
      </c>
      <c r="K178" s="2"/>
      <c r="L178" s="7">
        <f t="shared" si="50"/>
        <v>-1086.6600000000001</v>
      </c>
      <c r="M178" s="2"/>
      <c r="N178" s="6">
        <f t="shared" si="51"/>
        <v>-0.4218285993781225</v>
      </c>
      <c r="O178" s="11"/>
      <c r="P178" s="7">
        <v>1489.41</v>
      </c>
      <c r="Q178" s="2"/>
      <c r="R178" s="6">
        <f t="shared" si="52"/>
        <v>3.6259566701330589E-3</v>
      </c>
      <c r="S178" s="2"/>
      <c r="T178" s="7">
        <v>2576.0700000000002</v>
      </c>
      <c r="U178" s="2"/>
      <c r="V178" s="6">
        <f t="shared" si="53"/>
        <v>5.8455132729482813E-3</v>
      </c>
      <c r="W178" s="2"/>
      <c r="X178" s="7">
        <f t="shared" si="54"/>
        <v>-1086.6600000000001</v>
      </c>
      <c r="Y178" s="2"/>
      <c r="Z178" s="6">
        <f t="shared" si="55"/>
        <v>-0.4218285993781225</v>
      </c>
    </row>
    <row r="179" spans="1:26" s="24" customFormat="1" hidden="1" outlineLevel="2" x14ac:dyDescent="0.25">
      <c r="A179" s="29"/>
      <c r="B179" s="11" t="str">
        <f>CONCATENATE("          ", "6307", " - ", "POSTAGE")</f>
        <v xml:space="preserve">          6307 - POSTAGE</v>
      </c>
      <c r="C179" s="11"/>
      <c r="D179" s="7">
        <v>-3649.55</v>
      </c>
      <c r="E179" s="2"/>
      <c r="F179" s="6">
        <f t="shared" si="48"/>
        <v>-8.8848001325921699E-3</v>
      </c>
      <c r="G179" s="2"/>
      <c r="H179" s="7">
        <v>-2526.9</v>
      </c>
      <c r="I179" s="2"/>
      <c r="J179" s="6">
        <f t="shared" si="49"/>
        <v>-5.7339387087357923E-3</v>
      </c>
      <c r="K179" s="2"/>
      <c r="L179" s="7">
        <f t="shared" si="50"/>
        <v>-1122.6500000000001</v>
      </c>
      <c r="M179" s="2"/>
      <c r="N179" s="6">
        <f t="shared" si="51"/>
        <v>0.44427955202026198</v>
      </c>
      <c r="O179" s="11"/>
      <c r="P179" s="7">
        <v>-3649.55</v>
      </c>
      <c r="Q179" s="2"/>
      <c r="R179" s="6">
        <f t="shared" si="52"/>
        <v>-8.8848001325921699E-3</v>
      </c>
      <c r="S179" s="2"/>
      <c r="T179" s="7">
        <v>-2526.9</v>
      </c>
      <c r="U179" s="2"/>
      <c r="V179" s="6">
        <f t="shared" si="53"/>
        <v>-5.7339387087357923E-3</v>
      </c>
      <c r="W179" s="2"/>
      <c r="X179" s="7">
        <f t="shared" si="54"/>
        <v>-1122.6500000000001</v>
      </c>
      <c r="Y179" s="2"/>
      <c r="Z179" s="6">
        <f t="shared" si="55"/>
        <v>0.44427955202026198</v>
      </c>
    </row>
    <row r="180" spans="1:26" s="28" customFormat="1" outlineLevel="1" collapsed="1" x14ac:dyDescent="0.25">
      <c r="A180" s="27"/>
      <c r="B180" s="14" t="str">
        <f>CONCATENATE("     ","General                                           ")</f>
        <v xml:space="preserve">     General                                           </v>
      </c>
      <c r="C180" s="14"/>
      <c r="D180" s="1">
        <f>SUM(OSRRefD22_11x_0)</f>
        <v>5204.9799999999996</v>
      </c>
      <c r="E180" s="1"/>
      <c r="F180" s="5">
        <f t="shared" ref="F180:F195" si="56">IF(D$12=0,0,D180/D$12)</f>
        <v>1.2671481961923961E-2</v>
      </c>
      <c r="G180" s="1"/>
      <c r="H180" s="1">
        <f>SUM(OSRRefH22_11x_0)</f>
        <v>4253.17</v>
      </c>
      <c r="I180" s="1"/>
      <c r="J180" s="5">
        <f t="shared" ref="J180:J195" si="57">IF(H$12=0,0,H180/H$12)</f>
        <v>9.6511203838037952E-3</v>
      </c>
      <c r="K180" s="1"/>
      <c r="L180" s="1">
        <f t="shared" ref="L180:L195" si="58">+D180-H180</f>
        <v>951.80999999999949</v>
      </c>
      <c r="M180" s="1"/>
      <c r="N180" s="5">
        <f t="shared" ref="N180:N195" si="59">IF(H180=0,0,L180/H180)</f>
        <v>0.22378837431844942</v>
      </c>
      <c r="O180" s="14"/>
      <c r="P180" s="1">
        <f>SUM(OSRRefP22_11x_0)</f>
        <v>5204.9799999999996</v>
      </c>
      <c r="Q180" s="1"/>
      <c r="R180" s="5">
        <f t="shared" ref="R180:R195" si="60">IF(P$12=0,0,P180/P$12)</f>
        <v>1.2671481961923961E-2</v>
      </c>
      <c r="S180" s="1"/>
      <c r="T180" s="1">
        <f>SUM(OSRRefT22_11x_0)</f>
        <v>4253.17</v>
      </c>
      <c r="U180" s="1"/>
      <c r="V180" s="5">
        <f t="shared" ref="V180:V195" si="61">IF(T$12=0,0,T180/T$12)</f>
        <v>9.6511203838037952E-3</v>
      </c>
      <c r="W180" s="1"/>
      <c r="X180" s="1">
        <f t="shared" ref="X180:X195" si="62">+P180-T180</f>
        <v>951.80999999999949</v>
      </c>
      <c r="Y180" s="1"/>
      <c r="Z180" s="5">
        <f t="shared" ref="Z180:Z195" si="63">IF(T180=0,0,X180/T180)</f>
        <v>0.22378837431844942</v>
      </c>
    </row>
    <row r="181" spans="1:26" s="24" customFormat="1" hidden="1" outlineLevel="2" x14ac:dyDescent="0.25">
      <c r="A181" s="29"/>
      <c r="B181" s="11" t="str">
        <f>CONCATENATE("          ", "6279", " - ", "GENERAL EXPENSE")</f>
        <v xml:space="preserve">          6279 - GENERAL EXPENSE</v>
      </c>
      <c r="C181" s="11"/>
      <c r="D181" s="7">
        <v>5204.9799999999996</v>
      </c>
      <c r="E181" s="2"/>
      <c r="F181" s="6">
        <f t="shared" si="56"/>
        <v>1.2671481961923961E-2</v>
      </c>
      <c r="G181" s="2"/>
      <c r="H181" s="7">
        <v>4253.17</v>
      </c>
      <c r="I181" s="2"/>
      <c r="J181" s="6">
        <f t="shared" si="57"/>
        <v>9.6511203838037952E-3</v>
      </c>
      <c r="K181" s="2"/>
      <c r="L181" s="7">
        <f t="shared" si="58"/>
        <v>951.80999999999949</v>
      </c>
      <c r="M181" s="2"/>
      <c r="N181" s="6">
        <f t="shared" si="59"/>
        <v>0.22378837431844942</v>
      </c>
      <c r="O181" s="11"/>
      <c r="P181" s="7">
        <v>5204.9799999999996</v>
      </c>
      <c r="Q181" s="2"/>
      <c r="R181" s="6">
        <f t="shared" si="60"/>
        <v>1.2671481961923961E-2</v>
      </c>
      <c r="S181" s="2"/>
      <c r="T181" s="7">
        <v>4253.17</v>
      </c>
      <c r="U181" s="2"/>
      <c r="V181" s="6">
        <f t="shared" si="61"/>
        <v>9.6511203838037952E-3</v>
      </c>
      <c r="W181" s="2"/>
      <c r="X181" s="7">
        <f t="shared" si="62"/>
        <v>951.80999999999949</v>
      </c>
      <c r="Y181" s="2"/>
      <c r="Z181" s="6">
        <f t="shared" si="63"/>
        <v>0.22378837431844942</v>
      </c>
    </row>
    <row r="182" spans="1:26" s="28" customFormat="1" outlineLevel="1" collapsed="1" x14ac:dyDescent="0.25">
      <c r="A182" s="27"/>
      <c r="B182" s="14" t="str">
        <f>CONCATENATE("     ","Insurance                                         ")</f>
        <v xml:space="preserve">     Insurance                                         </v>
      </c>
      <c r="C182" s="14"/>
      <c r="D182" s="1">
        <f>SUM(OSRRefD22_12x_0)</f>
        <v>4288.28</v>
      </c>
      <c r="E182" s="1"/>
      <c r="F182" s="5">
        <f t="shared" si="56"/>
        <v>1.0439783182198448E-2</v>
      </c>
      <c r="G182" s="1"/>
      <c r="H182" s="1">
        <f>SUM(OSRRefH22_12x_0)</f>
        <v>4039.41</v>
      </c>
      <c r="I182" s="1"/>
      <c r="J182" s="5">
        <f t="shared" si="57"/>
        <v>9.1660648856125865E-3</v>
      </c>
      <c r="K182" s="1"/>
      <c r="L182" s="1">
        <f t="shared" si="58"/>
        <v>248.86999999999989</v>
      </c>
      <c r="M182" s="1"/>
      <c r="N182" s="5">
        <f t="shared" si="59"/>
        <v>6.1610482719010921E-2</v>
      </c>
      <c r="O182" s="14"/>
      <c r="P182" s="1">
        <f>SUM(OSRRefP22_12x_0)</f>
        <v>4288.28</v>
      </c>
      <c r="Q182" s="1"/>
      <c r="R182" s="5">
        <f t="shared" si="60"/>
        <v>1.0439783182198448E-2</v>
      </c>
      <c r="S182" s="1"/>
      <c r="T182" s="1">
        <f>SUM(OSRRefT22_12x_0)</f>
        <v>4039.41</v>
      </c>
      <c r="U182" s="1"/>
      <c r="V182" s="5">
        <f t="shared" si="61"/>
        <v>9.1660648856125865E-3</v>
      </c>
      <c r="W182" s="1"/>
      <c r="X182" s="1">
        <f t="shared" si="62"/>
        <v>248.86999999999989</v>
      </c>
      <c r="Y182" s="1"/>
      <c r="Z182" s="5">
        <f t="shared" si="63"/>
        <v>6.1610482719010921E-2</v>
      </c>
    </row>
    <row r="183" spans="1:26" s="24" customFormat="1" hidden="1" outlineLevel="2" x14ac:dyDescent="0.25">
      <c r="A183" s="29"/>
      <c r="B183" s="11" t="str">
        <f>CONCATENATE("          ", "6314", " - ", "LIABILITY INSURANCE")</f>
        <v xml:space="preserve">          6314 - LIABILITY INSURANCE</v>
      </c>
      <c r="C183" s="11"/>
      <c r="D183" s="7">
        <v>4288.28</v>
      </c>
      <c r="E183" s="2"/>
      <c r="F183" s="6">
        <f t="shared" si="56"/>
        <v>1.0439783182198448E-2</v>
      </c>
      <c r="G183" s="2"/>
      <c r="H183" s="7">
        <v>4039.41</v>
      </c>
      <c r="I183" s="2"/>
      <c r="J183" s="6">
        <f t="shared" si="57"/>
        <v>9.1660648856125865E-3</v>
      </c>
      <c r="K183" s="2"/>
      <c r="L183" s="7">
        <f t="shared" si="58"/>
        <v>248.86999999999989</v>
      </c>
      <c r="M183" s="2"/>
      <c r="N183" s="6">
        <f t="shared" si="59"/>
        <v>6.1610482719010921E-2</v>
      </c>
      <c r="O183" s="11"/>
      <c r="P183" s="7">
        <v>4288.28</v>
      </c>
      <c r="Q183" s="2"/>
      <c r="R183" s="6">
        <f t="shared" si="60"/>
        <v>1.0439783182198448E-2</v>
      </c>
      <c r="S183" s="2"/>
      <c r="T183" s="7">
        <v>4039.41</v>
      </c>
      <c r="U183" s="2"/>
      <c r="V183" s="6">
        <f t="shared" si="61"/>
        <v>9.1660648856125865E-3</v>
      </c>
      <c r="W183" s="2"/>
      <c r="X183" s="7">
        <f t="shared" si="62"/>
        <v>248.86999999999989</v>
      </c>
      <c r="Y183" s="2"/>
      <c r="Z183" s="6">
        <f t="shared" si="63"/>
        <v>6.1610482719010921E-2</v>
      </c>
    </row>
    <row r="184" spans="1:26" s="28" customFormat="1" outlineLevel="1" collapsed="1" x14ac:dyDescent="0.25">
      <c r="A184" s="27"/>
      <c r="B184" s="14" t="str">
        <f>CONCATENATE("     ","Interest                                          ")</f>
        <v xml:space="preserve">     Interest                                          </v>
      </c>
      <c r="C184" s="14"/>
      <c r="D184" s="1">
        <f>SUM(OSRRefD22_13x_0)</f>
        <v>4110</v>
      </c>
      <c r="E184" s="1"/>
      <c r="F184" s="5">
        <f t="shared" si="56"/>
        <v>1.0005761955570911E-2</v>
      </c>
      <c r="G184" s="1"/>
      <c r="H184" s="1">
        <f>SUM(OSRRefH22_13x_0)</f>
        <v>4280</v>
      </c>
      <c r="I184" s="1"/>
      <c r="J184" s="5">
        <f t="shared" si="57"/>
        <v>9.7120019286038983E-3</v>
      </c>
      <c r="K184" s="1"/>
      <c r="L184" s="1">
        <f t="shared" si="58"/>
        <v>-170</v>
      </c>
      <c r="M184" s="1"/>
      <c r="N184" s="5">
        <f t="shared" si="59"/>
        <v>-3.9719626168224297E-2</v>
      </c>
      <c r="O184" s="14"/>
      <c r="P184" s="1">
        <f>SUM(OSRRefP22_13x_0)</f>
        <v>4110</v>
      </c>
      <c r="Q184" s="1"/>
      <c r="R184" s="5">
        <f t="shared" si="60"/>
        <v>1.0005761955570911E-2</v>
      </c>
      <c r="S184" s="1"/>
      <c r="T184" s="1">
        <f>SUM(OSRRefT22_13x_0)</f>
        <v>4280</v>
      </c>
      <c r="U184" s="1"/>
      <c r="V184" s="5">
        <f t="shared" si="61"/>
        <v>9.7120019286038983E-3</v>
      </c>
      <c r="W184" s="1"/>
      <c r="X184" s="1">
        <f t="shared" si="62"/>
        <v>-170</v>
      </c>
      <c r="Y184" s="1"/>
      <c r="Z184" s="5">
        <f t="shared" si="63"/>
        <v>-3.9719626168224297E-2</v>
      </c>
    </row>
    <row r="185" spans="1:26" s="24" customFormat="1" hidden="1" outlineLevel="2" x14ac:dyDescent="0.25">
      <c r="A185" s="29"/>
      <c r="B185" s="11" t="str">
        <f>CONCATENATE("          ", "6401", " - ", "INTEREST EXPENSE")</f>
        <v xml:space="preserve">          6401 - INTEREST EXPENSE</v>
      </c>
      <c r="C185" s="11"/>
      <c r="D185" s="7">
        <v>4110</v>
      </c>
      <c r="E185" s="2"/>
      <c r="F185" s="6">
        <f t="shared" si="56"/>
        <v>1.0005761955570911E-2</v>
      </c>
      <c r="G185" s="2"/>
      <c r="H185" s="7">
        <v>4280</v>
      </c>
      <c r="I185" s="2"/>
      <c r="J185" s="6">
        <f t="shared" si="57"/>
        <v>9.7120019286038983E-3</v>
      </c>
      <c r="K185" s="2"/>
      <c r="L185" s="7">
        <f t="shared" si="58"/>
        <v>-170</v>
      </c>
      <c r="M185" s="2"/>
      <c r="N185" s="6">
        <f t="shared" si="59"/>
        <v>-3.9719626168224297E-2</v>
      </c>
      <c r="O185" s="11"/>
      <c r="P185" s="7">
        <v>4110</v>
      </c>
      <c r="Q185" s="2"/>
      <c r="R185" s="6">
        <f t="shared" si="60"/>
        <v>1.0005761955570911E-2</v>
      </c>
      <c r="S185" s="2"/>
      <c r="T185" s="7">
        <v>4280</v>
      </c>
      <c r="U185" s="2"/>
      <c r="V185" s="6">
        <f t="shared" si="61"/>
        <v>9.7120019286038983E-3</v>
      </c>
      <c r="W185" s="2"/>
      <c r="X185" s="7">
        <f t="shared" si="62"/>
        <v>-170</v>
      </c>
      <c r="Y185" s="2"/>
      <c r="Z185" s="6">
        <f t="shared" si="63"/>
        <v>-3.9719626168224297E-2</v>
      </c>
    </row>
    <row r="186" spans="1:26" s="28" customFormat="1" outlineLevel="1" collapsed="1" x14ac:dyDescent="0.25">
      <c r="A186" s="27"/>
      <c r="B186" s="14" t="str">
        <f>CONCATENATE("     ","Inventory Adjustment                              ")</f>
        <v xml:space="preserve">     Inventory Adjustment                              </v>
      </c>
      <c r="C186" s="14"/>
      <c r="D186" s="1">
        <f>SUM(OSRRefD22_14x_0)</f>
        <v>4150</v>
      </c>
      <c r="E186" s="1"/>
      <c r="F186" s="5">
        <f t="shared" si="56"/>
        <v>1.0103141633970627E-2</v>
      </c>
      <c r="G186" s="1"/>
      <c r="H186" s="1">
        <f>SUM(OSRRefH22_14x_0)</f>
        <v>8750</v>
      </c>
      <c r="I186" s="1"/>
      <c r="J186" s="5">
        <f t="shared" si="57"/>
        <v>1.9855144129739277E-2</v>
      </c>
      <c r="K186" s="1"/>
      <c r="L186" s="1">
        <f t="shared" si="58"/>
        <v>-4600</v>
      </c>
      <c r="M186" s="1"/>
      <c r="N186" s="5">
        <f t="shared" si="59"/>
        <v>-0.52571428571428569</v>
      </c>
      <c r="O186" s="14"/>
      <c r="P186" s="1">
        <f>SUM(OSRRefP22_14x_0)</f>
        <v>4150</v>
      </c>
      <c r="Q186" s="1"/>
      <c r="R186" s="5">
        <f t="shared" si="60"/>
        <v>1.0103141633970627E-2</v>
      </c>
      <c r="S186" s="1"/>
      <c r="T186" s="1">
        <f>SUM(OSRRefT22_14x_0)</f>
        <v>8750</v>
      </c>
      <c r="U186" s="1"/>
      <c r="V186" s="5">
        <f t="shared" si="61"/>
        <v>1.9855144129739277E-2</v>
      </c>
      <c r="W186" s="1"/>
      <c r="X186" s="1">
        <f t="shared" si="62"/>
        <v>-4600</v>
      </c>
      <c r="Y186" s="1"/>
      <c r="Z186" s="5">
        <f t="shared" si="63"/>
        <v>-0.52571428571428569</v>
      </c>
    </row>
    <row r="187" spans="1:26" s="24" customFormat="1" hidden="1" outlineLevel="2" x14ac:dyDescent="0.25">
      <c r="A187" s="29"/>
      <c r="B187" s="11" t="str">
        <f>CONCATENATE("          ", "6408", " - ", "INVENTORY ADJUSTMENT")</f>
        <v xml:space="preserve">          6408 - INVENTORY ADJUSTMENT</v>
      </c>
      <c r="C187" s="11"/>
      <c r="D187" s="7">
        <v>4150</v>
      </c>
      <c r="E187" s="2"/>
      <c r="F187" s="6">
        <f t="shared" si="56"/>
        <v>1.0103141633970627E-2</v>
      </c>
      <c r="G187" s="2"/>
      <c r="H187" s="7">
        <v>8750</v>
      </c>
      <c r="I187" s="2"/>
      <c r="J187" s="6">
        <f t="shared" si="57"/>
        <v>1.9855144129739277E-2</v>
      </c>
      <c r="K187" s="2"/>
      <c r="L187" s="7">
        <f t="shared" si="58"/>
        <v>-4600</v>
      </c>
      <c r="M187" s="2"/>
      <c r="N187" s="6">
        <f t="shared" si="59"/>
        <v>-0.52571428571428569</v>
      </c>
      <c r="O187" s="11"/>
      <c r="P187" s="7">
        <v>4150</v>
      </c>
      <c r="Q187" s="2"/>
      <c r="R187" s="6">
        <f t="shared" si="60"/>
        <v>1.0103141633970627E-2</v>
      </c>
      <c r="S187" s="2"/>
      <c r="T187" s="7">
        <v>8750</v>
      </c>
      <c r="U187" s="2"/>
      <c r="V187" s="6">
        <f t="shared" si="61"/>
        <v>1.9855144129739277E-2</v>
      </c>
      <c r="W187" s="2"/>
      <c r="X187" s="7">
        <f t="shared" si="62"/>
        <v>-4600</v>
      </c>
      <c r="Y187" s="2"/>
      <c r="Z187" s="6">
        <f t="shared" si="63"/>
        <v>-0.52571428571428569</v>
      </c>
    </row>
    <row r="188" spans="1:26" s="28" customFormat="1" outlineLevel="1" collapsed="1" x14ac:dyDescent="0.25">
      <c r="A188" s="27"/>
      <c r="B188" s="14" t="str">
        <f>CONCATENATE("     ","Professional Services                             ")</f>
        <v xml:space="preserve">     Professional Services                             </v>
      </c>
      <c r="C188" s="14"/>
      <c r="D188" s="1">
        <f>SUM(OSRRefD22_15x_0)</f>
        <v>6158.41</v>
      </c>
      <c r="E188" s="1"/>
      <c r="F188" s="5">
        <f t="shared" si="56"/>
        <v>1.4992599631340012E-2</v>
      </c>
      <c r="G188" s="1"/>
      <c r="H188" s="1">
        <f>SUM(OSRRefH22_15x_0)</f>
        <v>8276.43</v>
      </c>
      <c r="I188" s="1"/>
      <c r="J188" s="5">
        <f t="shared" si="57"/>
        <v>1.8780538346251204E-2</v>
      </c>
      <c r="K188" s="1"/>
      <c r="L188" s="1">
        <f t="shared" si="58"/>
        <v>-2118.0200000000004</v>
      </c>
      <c r="M188" s="1"/>
      <c r="N188" s="5">
        <f t="shared" si="59"/>
        <v>-0.25590985485287743</v>
      </c>
      <c r="O188" s="14"/>
      <c r="P188" s="1">
        <f>SUM(OSRRefP22_15x_0)</f>
        <v>6158.41</v>
      </c>
      <c r="Q188" s="1"/>
      <c r="R188" s="5">
        <f t="shared" si="60"/>
        <v>1.4992599631340012E-2</v>
      </c>
      <c r="S188" s="1"/>
      <c r="T188" s="1">
        <f>SUM(OSRRefT22_15x_0)</f>
        <v>8276.43</v>
      </c>
      <c r="U188" s="1"/>
      <c r="V188" s="5">
        <f t="shared" si="61"/>
        <v>1.8780538346251204E-2</v>
      </c>
      <c r="W188" s="1"/>
      <c r="X188" s="1">
        <f t="shared" si="62"/>
        <v>-2118.0200000000004</v>
      </c>
      <c r="Y188" s="1"/>
      <c r="Z188" s="5">
        <f t="shared" si="63"/>
        <v>-0.25590985485287743</v>
      </c>
    </row>
    <row r="189" spans="1:26" s="24" customFormat="1" hidden="1" outlineLevel="2" x14ac:dyDescent="0.25">
      <c r="A189" s="29"/>
      <c r="B189" s="11" t="str">
        <f>CONCATENATE("          ", "6336", " - ", "PROFESSIONAL SERVICES")</f>
        <v xml:space="preserve">          6336 - PROFESSIONAL SERVICES</v>
      </c>
      <c r="C189" s="11"/>
      <c r="D189" s="7">
        <v>6158.41</v>
      </c>
      <c r="E189" s="2"/>
      <c r="F189" s="6">
        <f t="shared" si="56"/>
        <v>1.4992599631340012E-2</v>
      </c>
      <c r="G189" s="2"/>
      <c r="H189" s="7">
        <v>8276.43</v>
      </c>
      <c r="I189" s="2"/>
      <c r="J189" s="6">
        <f t="shared" si="57"/>
        <v>1.8780538346251204E-2</v>
      </c>
      <c r="K189" s="2"/>
      <c r="L189" s="7">
        <f t="shared" si="58"/>
        <v>-2118.0200000000004</v>
      </c>
      <c r="M189" s="2"/>
      <c r="N189" s="6">
        <f t="shared" si="59"/>
        <v>-0.25590985485287743</v>
      </c>
      <c r="O189" s="11"/>
      <c r="P189" s="7">
        <v>6158.41</v>
      </c>
      <c r="Q189" s="2"/>
      <c r="R189" s="6">
        <f t="shared" si="60"/>
        <v>1.4992599631340012E-2</v>
      </c>
      <c r="S189" s="2"/>
      <c r="T189" s="7">
        <v>8276.43</v>
      </c>
      <c r="U189" s="2"/>
      <c r="V189" s="6">
        <f t="shared" si="61"/>
        <v>1.8780538346251204E-2</v>
      </c>
      <c r="W189" s="2"/>
      <c r="X189" s="7">
        <f t="shared" si="62"/>
        <v>-2118.0200000000004</v>
      </c>
      <c r="Y189" s="2"/>
      <c r="Z189" s="6">
        <f t="shared" si="63"/>
        <v>-0.25590985485287743</v>
      </c>
    </row>
    <row r="190" spans="1:26" s="28" customFormat="1" outlineLevel="1" collapsed="1" x14ac:dyDescent="0.25">
      <c r="A190" s="27"/>
      <c r="B190" s="14" t="str">
        <f>CONCATENATE("     ","Rent                                              ")</f>
        <v xml:space="preserve">     Rent                                              </v>
      </c>
      <c r="C190" s="14"/>
      <c r="D190" s="1">
        <f>SUM(OSRRefD22_16x_0)</f>
        <v>7250</v>
      </c>
      <c r="E190" s="1"/>
      <c r="F190" s="5">
        <f t="shared" si="56"/>
        <v>1.7650066709948689E-2</v>
      </c>
      <c r="G190" s="1"/>
      <c r="H190" s="1">
        <f>SUM(OSRRefH22_16x_0)</f>
        <v>7351.08</v>
      </c>
      <c r="I190" s="1"/>
      <c r="J190" s="5">
        <f t="shared" si="57"/>
        <v>1.6680771761056434E-2</v>
      </c>
      <c r="K190" s="1"/>
      <c r="L190" s="1">
        <f t="shared" si="58"/>
        <v>-101.07999999999993</v>
      </c>
      <c r="M190" s="1"/>
      <c r="N190" s="5">
        <f t="shared" si="59"/>
        <v>-1.3750360491247535E-2</v>
      </c>
      <c r="O190" s="14"/>
      <c r="P190" s="1">
        <f>SUM(OSRRefP22_16x_0)</f>
        <v>7250</v>
      </c>
      <c r="Q190" s="1"/>
      <c r="R190" s="5">
        <f t="shared" si="60"/>
        <v>1.7650066709948689E-2</v>
      </c>
      <c r="S190" s="1"/>
      <c r="T190" s="1">
        <f>SUM(OSRRefT22_16x_0)</f>
        <v>7351.08</v>
      </c>
      <c r="U190" s="1"/>
      <c r="V190" s="5">
        <f t="shared" si="61"/>
        <v>1.6680771761056434E-2</v>
      </c>
      <c r="W190" s="1"/>
      <c r="X190" s="1">
        <f t="shared" si="62"/>
        <v>-101.07999999999993</v>
      </c>
      <c r="Y190" s="1"/>
      <c r="Z190" s="5">
        <f t="shared" si="63"/>
        <v>-1.3750360491247535E-2</v>
      </c>
    </row>
    <row r="191" spans="1:26" s="24" customFormat="1" hidden="1" outlineLevel="2" x14ac:dyDescent="0.25">
      <c r="A191" s="29"/>
      <c r="B191" s="11" t="str">
        <f>CONCATENATE("          ", "6273", " - ", "RENT")</f>
        <v xml:space="preserve">          6273 - RENT</v>
      </c>
      <c r="C191" s="11"/>
      <c r="D191" s="7">
        <v>7250</v>
      </c>
      <c r="E191" s="2"/>
      <c r="F191" s="6">
        <f t="shared" si="56"/>
        <v>1.7650066709948689E-2</v>
      </c>
      <c r="G191" s="2"/>
      <c r="H191" s="7">
        <v>7351.08</v>
      </c>
      <c r="I191" s="2"/>
      <c r="J191" s="6">
        <f t="shared" si="57"/>
        <v>1.6680771761056434E-2</v>
      </c>
      <c r="K191" s="2"/>
      <c r="L191" s="7">
        <f t="shared" si="58"/>
        <v>-101.07999999999993</v>
      </c>
      <c r="M191" s="2"/>
      <c r="N191" s="6">
        <f t="shared" si="59"/>
        <v>-1.3750360491247535E-2</v>
      </c>
      <c r="O191" s="11"/>
      <c r="P191" s="7">
        <v>7250</v>
      </c>
      <c r="Q191" s="2"/>
      <c r="R191" s="6">
        <f t="shared" si="60"/>
        <v>1.7650066709948689E-2</v>
      </c>
      <c r="S191" s="2"/>
      <c r="T191" s="7">
        <v>7351.08</v>
      </c>
      <c r="U191" s="2"/>
      <c r="V191" s="6">
        <f t="shared" si="61"/>
        <v>1.6680771761056434E-2</v>
      </c>
      <c r="W191" s="2"/>
      <c r="X191" s="7">
        <f t="shared" si="62"/>
        <v>-101.07999999999993</v>
      </c>
      <c r="Y191" s="2"/>
      <c r="Z191" s="6">
        <f t="shared" si="63"/>
        <v>-1.3750360491247535E-2</v>
      </c>
    </row>
    <row r="192" spans="1:26" s="28" customFormat="1" outlineLevel="1" collapsed="1" x14ac:dyDescent="0.25">
      <c r="A192" s="27"/>
      <c r="B192" s="14" t="str">
        <f>CONCATENATE("     ","Repair and Maintenance                            ")</f>
        <v xml:space="preserve">     Repair and Maintenance                            </v>
      </c>
      <c r="C192" s="14"/>
      <c r="D192" s="1">
        <f>SUM(OSRRefD22_17x_0)</f>
        <v>24508.100000000002</v>
      </c>
      <c r="E192" s="1"/>
      <c r="F192" s="5">
        <f t="shared" si="56"/>
        <v>5.9664772404702547E-2</v>
      </c>
      <c r="G192" s="1"/>
      <c r="H192" s="1">
        <f>SUM(OSRRefH22_17x_0)</f>
        <v>57993.75</v>
      </c>
      <c r="I192" s="1"/>
      <c r="J192" s="5">
        <f t="shared" si="57"/>
        <v>0.13159705884275053</v>
      </c>
      <c r="K192" s="1"/>
      <c r="L192" s="1">
        <f t="shared" si="58"/>
        <v>-33485.649999999994</v>
      </c>
      <c r="M192" s="1"/>
      <c r="N192" s="5">
        <f t="shared" si="59"/>
        <v>-0.5774010130401982</v>
      </c>
      <c r="O192" s="14"/>
      <c r="P192" s="1">
        <f>SUM(OSRRefP22_17x_0)</f>
        <v>24508.100000000002</v>
      </c>
      <c r="Q192" s="1"/>
      <c r="R192" s="5">
        <f t="shared" si="60"/>
        <v>5.9664772404702547E-2</v>
      </c>
      <c r="S192" s="1"/>
      <c r="T192" s="1">
        <f>SUM(OSRRefT22_17x_0)</f>
        <v>57993.75</v>
      </c>
      <c r="U192" s="1"/>
      <c r="V192" s="5">
        <f t="shared" si="61"/>
        <v>0.13159705884275053</v>
      </c>
      <c r="W192" s="1"/>
      <c r="X192" s="1">
        <f t="shared" si="62"/>
        <v>-33485.649999999994</v>
      </c>
      <c r="Y192" s="1"/>
      <c r="Z192" s="5">
        <f t="shared" si="63"/>
        <v>-0.5774010130401982</v>
      </c>
    </row>
    <row r="193" spans="1:26" s="24" customFormat="1" hidden="1" outlineLevel="2" x14ac:dyDescent="0.25">
      <c r="A193" s="29"/>
      <c r="B193" s="11" t="str">
        <f>CONCATENATE("          ", "6371", " - ", "COMPUTER SOFTWARE MAINTENANCE")</f>
        <v xml:space="preserve">          6371 - COMPUTER SOFTWARE MAINTENANCE</v>
      </c>
      <c r="C193" s="11"/>
      <c r="D193" s="7">
        <v>601</v>
      </c>
      <c r="E193" s="2"/>
      <c r="F193" s="6">
        <f t="shared" si="56"/>
        <v>1.4631296679557463E-3</v>
      </c>
      <c r="G193" s="2"/>
      <c r="H193" s="7">
        <v>42330.579999999994</v>
      </c>
      <c r="I193" s="2"/>
      <c r="J193" s="6">
        <f t="shared" si="57"/>
        <v>9.6054830513766717E-2</v>
      </c>
      <c r="K193" s="2"/>
      <c r="L193" s="7">
        <f t="shared" si="58"/>
        <v>-41729.579999999994</v>
      </c>
      <c r="M193" s="2"/>
      <c r="N193" s="6">
        <f t="shared" si="59"/>
        <v>-0.98580222619203417</v>
      </c>
      <c r="O193" s="11"/>
      <c r="P193" s="7">
        <v>601</v>
      </c>
      <c r="Q193" s="2"/>
      <c r="R193" s="6">
        <f t="shared" si="60"/>
        <v>1.4631296679557463E-3</v>
      </c>
      <c r="S193" s="2"/>
      <c r="T193" s="7">
        <v>42330.579999999994</v>
      </c>
      <c r="U193" s="2"/>
      <c r="V193" s="6">
        <f t="shared" si="61"/>
        <v>9.6054830513766717E-2</v>
      </c>
      <c r="W193" s="2"/>
      <c r="X193" s="7">
        <f t="shared" si="62"/>
        <v>-41729.579999999994</v>
      </c>
      <c r="Y193" s="2"/>
      <c r="Z193" s="6">
        <f t="shared" si="63"/>
        <v>-0.98580222619203417</v>
      </c>
    </row>
    <row r="194" spans="1:26" s="24" customFormat="1" hidden="1" outlineLevel="2" x14ac:dyDescent="0.25">
      <c r="A194" s="29"/>
      <c r="B194" s="11" t="str">
        <f>CONCATENATE("          ", "6373", " - ", "MAINTENANCE CONTRACTS")</f>
        <v xml:space="preserve">          6373 - MAINTENANCE CONTRACTS</v>
      </c>
      <c r="C194" s="11"/>
      <c r="D194" s="7">
        <v>6478.86</v>
      </c>
      <c r="E194" s="2"/>
      <c r="F194" s="6">
        <f t="shared" si="56"/>
        <v>1.5772732579919745E-2</v>
      </c>
      <c r="G194" s="2"/>
      <c r="H194" s="7">
        <v>10121.94</v>
      </c>
      <c r="I194" s="2"/>
      <c r="J194" s="6">
        <f t="shared" si="57"/>
        <v>2.2968294579722649E-2</v>
      </c>
      <c r="K194" s="2"/>
      <c r="L194" s="7">
        <f t="shared" si="58"/>
        <v>-3643.0800000000008</v>
      </c>
      <c r="M194" s="2"/>
      <c r="N194" s="6">
        <f t="shared" si="59"/>
        <v>-0.35991914593447505</v>
      </c>
      <c r="O194" s="11"/>
      <c r="P194" s="7">
        <v>6478.86</v>
      </c>
      <c r="Q194" s="2"/>
      <c r="R194" s="6">
        <f t="shared" si="60"/>
        <v>1.5772732579919745E-2</v>
      </c>
      <c r="S194" s="2"/>
      <c r="T194" s="7">
        <v>10121.94</v>
      </c>
      <c r="U194" s="2"/>
      <c r="V194" s="6">
        <f t="shared" si="61"/>
        <v>2.2968294579722649E-2</v>
      </c>
      <c r="W194" s="2"/>
      <c r="X194" s="7">
        <f t="shared" si="62"/>
        <v>-3643.0800000000008</v>
      </c>
      <c r="Y194" s="2"/>
      <c r="Z194" s="6">
        <f t="shared" si="63"/>
        <v>-0.35991914593447505</v>
      </c>
    </row>
    <row r="195" spans="1:26" s="24" customFormat="1" hidden="1" outlineLevel="2" x14ac:dyDescent="0.25">
      <c r="A195" s="29"/>
      <c r="B195" s="11" t="str">
        <f>CONCATENATE("          ", "6375", " - ", "OUTSIDE REPAIRS &amp; MAINTENANCE")</f>
        <v xml:space="preserve">          6375 - OUTSIDE REPAIRS &amp; MAINTENANCE</v>
      </c>
      <c r="C195" s="11"/>
      <c r="D195" s="7">
        <v>17428.240000000002</v>
      </c>
      <c r="E195" s="2"/>
      <c r="F195" s="6">
        <f t="shared" si="56"/>
        <v>4.2428910156827052E-2</v>
      </c>
      <c r="G195" s="2"/>
      <c r="H195" s="7">
        <v>5541.23</v>
      </c>
      <c r="I195" s="2"/>
      <c r="J195" s="6">
        <f t="shared" si="57"/>
        <v>1.2573933749261162E-2</v>
      </c>
      <c r="K195" s="2"/>
      <c r="L195" s="7">
        <f t="shared" si="58"/>
        <v>11887.010000000002</v>
      </c>
      <c r="M195" s="2"/>
      <c r="N195" s="6">
        <f t="shared" si="59"/>
        <v>2.1451933956901272</v>
      </c>
      <c r="O195" s="11"/>
      <c r="P195" s="7">
        <v>17428.240000000002</v>
      </c>
      <c r="Q195" s="2"/>
      <c r="R195" s="6">
        <f t="shared" si="60"/>
        <v>4.2428910156827052E-2</v>
      </c>
      <c r="S195" s="2"/>
      <c r="T195" s="7">
        <v>5541.23</v>
      </c>
      <c r="U195" s="2"/>
      <c r="V195" s="6">
        <f t="shared" si="61"/>
        <v>1.2573933749261162E-2</v>
      </c>
      <c r="W195" s="2"/>
      <c r="X195" s="7">
        <f t="shared" si="62"/>
        <v>11887.010000000002</v>
      </c>
      <c r="Y195" s="2"/>
      <c r="Z195" s="6">
        <f t="shared" si="63"/>
        <v>2.1451933956901272</v>
      </c>
    </row>
    <row r="196" spans="1:26" s="28" customFormat="1" outlineLevel="1" collapsed="1" x14ac:dyDescent="0.25">
      <c r="A196" s="27"/>
      <c r="B196" s="14" t="str">
        <f>CONCATENATE("     ","Royalty &amp; Commissions                             ")</f>
        <v xml:space="preserve">     Royalty &amp; Commissions                             </v>
      </c>
      <c r="C196" s="14"/>
      <c r="D196" s="1">
        <f>SUM(OSRRefD22_18x_0)</f>
        <v>5086.05</v>
      </c>
      <c r="E196" s="1"/>
      <c r="F196" s="5">
        <f t="shared" ref="F196:F199" si="64">IF(D$12=0,0,D196/D$12)</f>
        <v>1.2381947833122003E-2</v>
      </c>
      <c r="G196" s="1"/>
      <c r="H196" s="1">
        <f>SUM(OSRRefH22_18x_0)</f>
        <v>7778.5300000000007</v>
      </c>
      <c r="I196" s="1"/>
      <c r="J196" s="5">
        <f t="shared" ref="J196:J199" si="65">IF(H$12=0,0,H196/H$12)</f>
        <v>1.7650723916285815E-2</v>
      </c>
      <c r="K196" s="1"/>
      <c r="L196" s="1">
        <f t="shared" ref="L196:L199" si="66">+D196-H196</f>
        <v>-2692.4800000000005</v>
      </c>
      <c r="M196" s="1"/>
      <c r="N196" s="5">
        <f t="shared" ref="N196:N199" si="67">IF(H196=0,0,L196/H196)</f>
        <v>-0.34614252307312565</v>
      </c>
      <c r="O196" s="14"/>
      <c r="P196" s="1">
        <f>SUM(OSRRefP22_18x_0)</f>
        <v>5086.05</v>
      </c>
      <c r="Q196" s="1"/>
      <c r="R196" s="5">
        <f t="shared" ref="R196:R199" si="68">IF(P$12=0,0,P196/P$12)</f>
        <v>1.2381947833122003E-2</v>
      </c>
      <c r="S196" s="1"/>
      <c r="T196" s="1">
        <f>SUM(OSRRefT22_18x_0)</f>
        <v>7778.5300000000007</v>
      </c>
      <c r="U196" s="1"/>
      <c r="V196" s="5">
        <f t="shared" ref="V196:V199" si="69">IF(T$12=0,0,T196/T$12)</f>
        <v>1.7650723916285815E-2</v>
      </c>
      <c r="W196" s="1"/>
      <c r="X196" s="1">
        <f t="shared" ref="X196:X199" si="70">+P196-T196</f>
        <v>-2692.4800000000005</v>
      </c>
      <c r="Y196" s="1"/>
      <c r="Z196" s="5">
        <f t="shared" ref="Z196:Z199" si="71">IF(T196=0,0,X196/T196)</f>
        <v>-0.34614252307312565</v>
      </c>
    </row>
    <row r="197" spans="1:26" s="24" customFormat="1" hidden="1" outlineLevel="2" x14ac:dyDescent="0.25">
      <c r="A197" s="29"/>
      <c r="B197" s="11" t="str">
        <f>CONCATENATE("          ", "6253", " - ", "ROYALTY DUE ATHLETICS-LRG")</f>
        <v xml:space="preserve">          6253 - ROYALTY DUE ATHLETICS-LRG</v>
      </c>
      <c r="C197" s="11"/>
      <c r="D197" s="7">
        <v>4366.95</v>
      </c>
      <c r="E197" s="2"/>
      <c r="F197" s="6">
        <f t="shared" si="64"/>
        <v>1.0631304664691092E-2</v>
      </c>
      <c r="G197" s="2"/>
      <c r="H197" s="7">
        <v>6645.39</v>
      </c>
      <c r="I197" s="2"/>
      <c r="J197" s="6">
        <f t="shared" si="65"/>
        <v>1.507944871409464E-2</v>
      </c>
      <c r="K197" s="2"/>
      <c r="L197" s="7">
        <f t="shared" si="66"/>
        <v>-2278.4400000000005</v>
      </c>
      <c r="M197" s="2"/>
      <c r="N197" s="6">
        <f t="shared" si="67"/>
        <v>-0.34286023845101649</v>
      </c>
      <c r="O197" s="11"/>
      <c r="P197" s="7">
        <v>4366.95</v>
      </c>
      <c r="Q197" s="2"/>
      <c r="R197" s="6">
        <f t="shared" si="68"/>
        <v>1.0631304664691092E-2</v>
      </c>
      <c r="S197" s="2"/>
      <c r="T197" s="7">
        <v>6645.39</v>
      </c>
      <c r="U197" s="2"/>
      <c r="V197" s="6">
        <f t="shared" si="69"/>
        <v>1.507944871409464E-2</v>
      </c>
      <c r="W197" s="2"/>
      <c r="X197" s="7">
        <f t="shared" si="70"/>
        <v>-2278.4400000000005</v>
      </c>
      <c r="Y197" s="2"/>
      <c r="Z197" s="6">
        <f t="shared" si="71"/>
        <v>-0.34286023845101649</v>
      </c>
    </row>
    <row r="198" spans="1:26" s="24" customFormat="1" hidden="1" outlineLevel="2" x14ac:dyDescent="0.25">
      <c r="A198" s="29"/>
      <c r="B198" s="11" t="str">
        <f>CONCATENATE("          ", "6254", " - ", "ROYALTY &amp; COMMISSIONS")</f>
        <v xml:space="preserve">          6254 - ROYALTY &amp; COMMISSIONS</v>
      </c>
      <c r="C198" s="11"/>
      <c r="D198" s="7">
        <v>114.09</v>
      </c>
      <c r="E198" s="2"/>
      <c r="F198" s="6">
        <f t="shared" si="64"/>
        <v>2.7775118771559255E-4</v>
      </c>
      <c r="G198" s="2"/>
      <c r="H198" s="7">
        <v>441.3</v>
      </c>
      <c r="I198" s="2"/>
      <c r="J198" s="6">
        <f t="shared" si="65"/>
        <v>1.0013800119375936E-3</v>
      </c>
      <c r="K198" s="2"/>
      <c r="L198" s="7">
        <f t="shared" si="66"/>
        <v>-327.21000000000004</v>
      </c>
      <c r="M198" s="2"/>
      <c r="N198" s="6">
        <f t="shared" si="67"/>
        <v>-0.74146838885112176</v>
      </c>
      <c r="O198" s="11"/>
      <c r="P198" s="7">
        <v>114.09</v>
      </c>
      <c r="Q198" s="2"/>
      <c r="R198" s="6">
        <f t="shared" si="68"/>
        <v>2.7775118771559255E-4</v>
      </c>
      <c r="S198" s="2"/>
      <c r="T198" s="7">
        <v>441.3</v>
      </c>
      <c r="U198" s="2"/>
      <c r="V198" s="6">
        <f t="shared" si="69"/>
        <v>1.0013800119375936E-3</v>
      </c>
      <c r="W198" s="2"/>
      <c r="X198" s="7">
        <f t="shared" si="70"/>
        <v>-327.21000000000004</v>
      </c>
      <c r="Y198" s="2"/>
      <c r="Z198" s="6">
        <f t="shared" si="71"/>
        <v>-0.74146838885112176</v>
      </c>
    </row>
    <row r="199" spans="1:26" s="24" customFormat="1" hidden="1" outlineLevel="2" x14ac:dyDescent="0.25">
      <c r="A199" s="29"/>
      <c r="B199" s="11" t="str">
        <f>CONCATENATE("          ", "6259", " - ", "ROYALTY &amp; COMMISSIONS")</f>
        <v xml:space="preserve">          6259 - ROYALTY &amp; COMMISSIONS</v>
      </c>
      <c r="C199" s="11"/>
      <c r="D199" s="7">
        <v>605.01</v>
      </c>
      <c r="E199" s="2"/>
      <c r="F199" s="6">
        <f t="shared" si="64"/>
        <v>1.472891980715318E-3</v>
      </c>
      <c r="G199" s="2"/>
      <c r="H199" s="7">
        <v>691.84</v>
      </c>
      <c r="I199" s="2"/>
      <c r="J199" s="6">
        <f t="shared" si="65"/>
        <v>1.5698951902535796E-3</v>
      </c>
      <c r="K199" s="2"/>
      <c r="L199" s="7">
        <f t="shared" si="66"/>
        <v>-86.830000000000041</v>
      </c>
      <c r="M199" s="2"/>
      <c r="N199" s="6">
        <f t="shared" si="67"/>
        <v>-0.12550589731729886</v>
      </c>
      <c r="O199" s="11"/>
      <c r="P199" s="7">
        <v>605.01</v>
      </c>
      <c r="Q199" s="2"/>
      <c r="R199" s="6">
        <f t="shared" si="68"/>
        <v>1.472891980715318E-3</v>
      </c>
      <c r="S199" s="2"/>
      <c r="T199" s="7">
        <v>691.84</v>
      </c>
      <c r="U199" s="2"/>
      <c r="V199" s="6">
        <f t="shared" si="69"/>
        <v>1.5698951902535796E-3</v>
      </c>
      <c r="W199" s="2"/>
      <c r="X199" s="7">
        <f t="shared" si="70"/>
        <v>-86.830000000000041</v>
      </c>
      <c r="Y199" s="2"/>
      <c r="Z199" s="6">
        <f t="shared" si="71"/>
        <v>-0.12550589731729886</v>
      </c>
    </row>
    <row r="200" spans="1:26" s="28" customFormat="1" outlineLevel="1" collapsed="1" x14ac:dyDescent="0.25">
      <c r="A200" s="27"/>
      <c r="B200" s="14" t="str">
        <f>CONCATENATE("     ","Services                                          ")</f>
        <v xml:space="preserve">     Services                                          </v>
      </c>
      <c r="C200" s="14"/>
      <c r="D200" s="1">
        <f>SUM(OSRRefD22_19x_0)</f>
        <v>6081.52</v>
      </c>
      <c r="E200" s="1"/>
      <c r="F200" s="5">
        <f t="shared" ref="F200:F205" si="72">IF(D$12=0,0,D200/D$12)</f>
        <v>1.4805411544536158E-2</v>
      </c>
      <c r="G200" s="1"/>
      <c r="H200" s="1">
        <f>SUM(OSRRefH22_19x_0)</f>
        <v>5911.23</v>
      </c>
      <c r="I200" s="1"/>
      <c r="J200" s="5">
        <f t="shared" ref="J200:J205" si="73">IF(H$12=0,0,H200/H$12)</f>
        <v>1.3413522701032994E-2</v>
      </c>
      <c r="K200" s="1"/>
      <c r="L200" s="1">
        <f t="shared" ref="L200:L205" si="74">+D200-H200</f>
        <v>170.29000000000087</v>
      </c>
      <c r="M200" s="1"/>
      <c r="N200" s="5">
        <f t="shared" ref="N200:N205" si="75">IF(H200=0,0,L200/H200)</f>
        <v>2.8807879240022954E-2</v>
      </c>
      <c r="O200" s="14"/>
      <c r="P200" s="1">
        <f>SUM(OSRRefP22_19x_0)</f>
        <v>6081.52</v>
      </c>
      <c r="Q200" s="1"/>
      <c r="R200" s="5">
        <f t="shared" ref="R200:R205" si="76">IF(P$12=0,0,P200/P$12)</f>
        <v>1.4805411544536158E-2</v>
      </c>
      <c r="S200" s="1"/>
      <c r="T200" s="1">
        <f>SUM(OSRRefT22_19x_0)</f>
        <v>5911.23</v>
      </c>
      <c r="U200" s="1"/>
      <c r="V200" s="5">
        <f t="shared" ref="V200:V205" si="77">IF(T$12=0,0,T200/T$12)</f>
        <v>1.3413522701032994E-2</v>
      </c>
      <c r="W200" s="1"/>
      <c r="X200" s="1">
        <f t="shared" ref="X200:X205" si="78">+P200-T200</f>
        <v>170.29000000000087</v>
      </c>
      <c r="Y200" s="1"/>
      <c r="Z200" s="5">
        <f t="shared" ref="Z200:Z205" si="79">IF(T200=0,0,X200/T200)</f>
        <v>2.8807879240022954E-2</v>
      </c>
    </row>
    <row r="201" spans="1:26" s="24" customFormat="1" hidden="1" outlineLevel="2" x14ac:dyDescent="0.25">
      <c r="A201" s="29"/>
      <c r="B201" s="11" t="str">
        <f>CONCATENATE("          ", "6282", " - ", "JANITORIAL/EXTERMINATOR EXPENS")</f>
        <v xml:space="preserve">          6282 - JANITORIAL/EXTERMINATOR EXPENS</v>
      </c>
      <c r="C201" s="11"/>
      <c r="D201" s="7">
        <v>868.59</v>
      </c>
      <c r="E201" s="2"/>
      <c r="F201" s="6">
        <f t="shared" si="72"/>
        <v>2.1145753715302524E-3</v>
      </c>
      <c r="G201" s="2"/>
      <c r="H201" s="7">
        <v>838.09</v>
      </c>
      <c r="I201" s="2"/>
      <c r="J201" s="6">
        <f t="shared" si="73"/>
        <v>1.9017597421363648E-3</v>
      </c>
      <c r="K201" s="2"/>
      <c r="L201" s="7">
        <f t="shared" si="74"/>
        <v>30.5</v>
      </c>
      <c r="M201" s="2"/>
      <c r="N201" s="6">
        <f t="shared" si="75"/>
        <v>3.6392272906251119E-2</v>
      </c>
      <c r="O201" s="11"/>
      <c r="P201" s="7">
        <v>868.59</v>
      </c>
      <c r="Q201" s="2"/>
      <c r="R201" s="6">
        <f t="shared" si="76"/>
        <v>2.1145753715302524E-3</v>
      </c>
      <c r="S201" s="2"/>
      <c r="T201" s="7">
        <v>838.09</v>
      </c>
      <c r="U201" s="2"/>
      <c r="V201" s="6">
        <f t="shared" si="77"/>
        <v>1.9017597421363648E-3</v>
      </c>
      <c r="W201" s="2"/>
      <c r="X201" s="7">
        <f t="shared" si="78"/>
        <v>30.5</v>
      </c>
      <c r="Y201" s="2"/>
      <c r="Z201" s="6">
        <f t="shared" si="79"/>
        <v>3.6392272906251119E-2</v>
      </c>
    </row>
    <row r="202" spans="1:26" s="24" customFormat="1" hidden="1" outlineLevel="2" x14ac:dyDescent="0.25">
      <c r="A202" s="29"/>
      <c r="B202" s="11" t="str">
        <f>CONCATENATE("          ", "6283", " - ", "PLANT SERVICE")</f>
        <v xml:space="preserve">          6283 - PLANT SERVICE</v>
      </c>
      <c r="C202" s="11"/>
      <c r="D202" s="7">
        <v>180.66</v>
      </c>
      <c r="E202" s="2"/>
      <c r="F202" s="6">
        <f t="shared" si="72"/>
        <v>4.3981531749232136E-4</v>
      </c>
      <c r="G202" s="2"/>
      <c r="H202" s="7">
        <v>173</v>
      </c>
      <c r="I202" s="2"/>
      <c r="J202" s="6">
        <f t="shared" si="73"/>
        <v>3.9256456393655943E-4</v>
      </c>
      <c r="K202" s="2"/>
      <c r="L202" s="7">
        <f t="shared" si="74"/>
        <v>7.6599999999999966</v>
      </c>
      <c r="M202" s="2"/>
      <c r="N202" s="6">
        <f t="shared" si="75"/>
        <v>4.4277456647398822E-2</v>
      </c>
      <c r="O202" s="11"/>
      <c r="P202" s="7">
        <v>180.66</v>
      </c>
      <c r="Q202" s="2"/>
      <c r="R202" s="6">
        <f t="shared" si="76"/>
        <v>4.3981531749232136E-4</v>
      </c>
      <c r="S202" s="2"/>
      <c r="T202" s="7">
        <v>173</v>
      </c>
      <c r="U202" s="2"/>
      <c r="V202" s="6">
        <f t="shared" si="77"/>
        <v>3.9256456393655943E-4</v>
      </c>
      <c r="W202" s="2"/>
      <c r="X202" s="7">
        <f t="shared" si="78"/>
        <v>7.6599999999999966</v>
      </c>
      <c r="Y202" s="2"/>
      <c r="Z202" s="6">
        <f t="shared" si="79"/>
        <v>4.4277456647398822E-2</v>
      </c>
    </row>
    <row r="203" spans="1:26" s="24" customFormat="1" hidden="1" outlineLevel="2" x14ac:dyDescent="0.25">
      <c r="A203" s="29"/>
      <c r="B203" s="11" t="str">
        <f>CONCATENATE("          ", "6284", " - ", "TRASH REMOVAL EXPENSE")</f>
        <v xml:space="preserve">          6284 - TRASH REMOVAL EXPENSE</v>
      </c>
      <c r="C203" s="11"/>
      <c r="D203" s="7">
        <v>371.82</v>
      </c>
      <c r="E203" s="2"/>
      <c r="F203" s="6">
        <f t="shared" si="72"/>
        <v>9.0519280056456839E-4</v>
      </c>
      <c r="G203" s="2"/>
      <c r="H203" s="7">
        <v>301.45999999999998</v>
      </c>
      <c r="I203" s="2"/>
      <c r="J203" s="6">
        <f t="shared" si="73"/>
        <v>6.8406077135442305E-4</v>
      </c>
      <c r="K203" s="2"/>
      <c r="L203" s="7">
        <f t="shared" si="74"/>
        <v>70.360000000000014</v>
      </c>
      <c r="M203" s="2"/>
      <c r="N203" s="6">
        <f t="shared" si="75"/>
        <v>0.23339746566708691</v>
      </c>
      <c r="O203" s="11"/>
      <c r="P203" s="7">
        <v>371.82</v>
      </c>
      <c r="Q203" s="2"/>
      <c r="R203" s="6">
        <f t="shared" si="76"/>
        <v>9.0519280056456839E-4</v>
      </c>
      <c r="S203" s="2"/>
      <c r="T203" s="7">
        <v>301.45999999999998</v>
      </c>
      <c r="U203" s="2"/>
      <c r="V203" s="6">
        <f t="shared" si="77"/>
        <v>6.8406077135442305E-4</v>
      </c>
      <c r="W203" s="2"/>
      <c r="X203" s="7">
        <f t="shared" si="78"/>
        <v>70.360000000000014</v>
      </c>
      <c r="Y203" s="2"/>
      <c r="Z203" s="6">
        <f t="shared" si="79"/>
        <v>0.23339746566708691</v>
      </c>
    </row>
    <row r="204" spans="1:26" s="24" customFormat="1" hidden="1" outlineLevel="2" x14ac:dyDescent="0.25">
      <c r="A204" s="29"/>
      <c r="B204" s="11" t="str">
        <f>CONCATENATE("          ", "6285", " - ", "JANITORIAL SERVICES")</f>
        <v xml:space="preserve">          6285 - JANITORIAL SERVICES</v>
      </c>
      <c r="C204" s="11"/>
      <c r="D204" s="7">
        <v>4069.72</v>
      </c>
      <c r="E204" s="2"/>
      <c r="F204" s="6">
        <f t="shared" si="72"/>
        <v>9.9077006194223955E-3</v>
      </c>
      <c r="G204" s="2"/>
      <c r="H204" s="7">
        <v>3997.57</v>
      </c>
      <c r="I204" s="2"/>
      <c r="J204" s="6">
        <f t="shared" si="73"/>
        <v>9.0711232592824969E-3</v>
      </c>
      <c r="K204" s="2"/>
      <c r="L204" s="7">
        <f t="shared" si="74"/>
        <v>72.149999999999636</v>
      </c>
      <c r="M204" s="2"/>
      <c r="N204" s="6">
        <f t="shared" si="75"/>
        <v>1.8048464442148512E-2</v>
      </c>
      <c r="O204" s="11"/>
      <c r="P204" s="7">
        <v>4069.72</v>
      </c>
      <c r="Q204" s="2"/>
      <c r="R204" s="6">
        <f t="shared" si="76"/>
        <v>9.9077006194223955E-3</v>
      </c>
      <c r="S204" s="2"/>
      <c r="T204" s="7">
        <v>3997.57</v>
      </c>
      <c r="U204" s="2"/>
      <c r="V204" s="6">
        <f t="shared" si="77"/>
        <v>9.0711232592824969E-3</v>
      </c>
      <c r="W204" s="2"/>
      <c r="X204" s="7">
        <f t="shared" si="78"/>
        <v>72.149999999999636</v>
      </c>
      <c r="Y204" s="2"/>
      <c r="Z204" s="6">
        <f t="shared" si="79"/>
        <v>1.8048464442148512E-2</v>
      </c>
    </row>
    <row r="205" spans="1:26" s="24" customFormat="1" hidden="1" outlineLevel="2" x14ac:dyDescent="0.25">
      <c r="A205" s="29"/>
      <c r="B205" s="11" t="str">
        <f>CONCATENATE("          ", "6286", " - ", "LAUNDRY EXPENSE")</f>
        <v xml:space="preserve">          6286 - LAUNDRY EXPENSE</v>
      </c>
      <c r="C205" s="11"/>
      <c r="D205" s="7">
        <v>590.73</v>
      </c>
      <c r="E205" s="2"/>
      <c r="F205" s="6">
        <f t="shared" si="72"/>
        <v>1.4381274355266191E-3</v>
      </c>
      <c r="G205" s="2"/>
      <c r="H205" s="7">
        <v>601.11</v>
      </c>
      <c r="I205" s="2"/>
      <c r="J205" s="6">
        <f t="shared" si="73"/>
        <v>1.3640143643231517E-3</v>
      </c>
      <c r="K205" s="2"/>
      <c r="L205" s="7">
        <f t="shared" si="74"/>
        <v>-10.379999999999995</v>
      </c>
      <c r="M205" s="2"/>
      <c r="N205" s="6">
        <f t="shared" si="75"/>
        <v>-1.7268054099915151E-2</v>
      </c>
      <c r="O205" s="11"/>
      <c r="P205" s="7">
        <v>590.73</v>
      </c>
      <c r="Q205" s="2"/>
      <c r="R205" s="6">
        <f t="shared" si="76"/>
        <v>1.4381274355266191E-3</v>
      </c>
      <c r="S205" s="2"/>
      <c r="T205" s="7">
        <v>601.11</v>
      </c>
      <c r="U205" s="2"/>
      <c r="V205" s="6">
        <f t="shared" si="77"/>
        <v>1.3640143643231517E-3</v>
      </c>
      <c r="W205" s="2"/>
      <c r="X205" s="7">
        <f t="shared" si="78"/>
        <v>-10.379999999999995</v>
      </c>
      <c r="Y205" s="2"/>
      <c r="Z205" s="6">
        <f t="shared" si="79"/>
        <v>-1.7268054099915151E-2</v>
      </c>
    </row>
    <row r="206" spans="1:26" s="28" customFormat="1" outlineLevel="1" collapsed="1" x14ac:dyDescent="0.25">
      <c r="A206" s="27"/>
      <c r="B206" s="14" t="str">
        <f>CONCATENATE("     ","Subscriptions &amp; Dues                              ")</f>
        <v xml:space="preserve">     Subscriptions &amp; Dues                              </v>
      </c>
      <c r="C206" s="14"/>
      <c r="D206" s="1">
        <f>SUM(OSRRefD22_20x_0)</f>
        <v>638.65000000000009</v>
      </c>
      <c r="E206" s="1"/>
      <c r="F206" s="5">
        <f t="shared" ref="F206:F208" si="80">IF(D$12=0,0,D206/D$12)</f>
        <v>1.5547882902494801E-3</v>
      </c>
      <c r="G206" s="1"/>
      <c r="H206" s="1">
        <f>SUM(OSRRefH22_20x_0)</f>
        <v>780.99</v>
      </c>
      <c r="I206" s="1"/>
      <c r="J206" s="5">
        <f t="shared" ref="J206:J208" si="81">IF(H$12=0,0,H206/H$12)</f>
        <v>1.7721907444440089E-3</v>
      </c>
      <c r="K206" s="1"/>
      <c r="L206" s="1">
        <f t="shared" ref="L206:L208" si="82">+D206-H206</f>
        <v>-142.33999999999992</v>
      </c>
      <c r="M206" s="1"/>
      <c r="N206" s="5">
        <f t="shared" ref="N206:N208" si="83">IF(H206=0,0,L206/H206)</f>
        <v>-0.18225585474846018</v>
      </c>
      <c r="O206" s="14"/>
      <c r="P206" s="1">
        <f>SUM(OSRRefP22_20x_0)</f>
        <v>638.65000000000009</v>
      </c>
      <c r="Q206" s="1"/>
      <c r="R206" s="5">
        <f t="shared" ref="R206:R208" si="84">IF(P$12=0,0,P206/P$12)</f>
        <v>1.5547882902494801E-3</v>
      </c>
      <c r="S206" s="1"/>
      <c r="T206" s="1">
        <f>SUM(OSRRefT22_20x_0)</f>
        <v>780.99</v>
      </c>
      <c r="U206" s="1"/>
      <c r="V206" s="5">
        <f t="shared" ref="V206:V208" si="85">IF(T$12=0,0,T206/T$12)</f>
        <v>1.7721907444440089E-3</v>
      </c>
      <c r="W206" s="1"/>
      <c r="X206" s="1">
        <f t="shared" ref="X206:X208" si="86">+P206-T206</f>
        <v>-142.33999999999992</v>
      </c>
      <c r="Y206" s="1"/>
      <c r="Z206" s="5">
        <f t="shared" ref="Z206:Z208" si="87">IF(T206=0,0,X206/T206)</f>
        <v>-0.18225585474846018</v>
      </c>
    </row>
    <row r="207" spans="1:26" s="24" customFormat="1" hidden="1" outlineLevel="2" x14ac:dyDescent="0.25">
      <c r="A207" s="29"/>
      <c r="B207" s="11" t="str">
        <f>CONCATENATE("          ", "6258", " - ", "MEMBERSHIP DUES")</f>
        <v xml:space="preserve">          6258 - MEMBERSHIP DUES</v>
      </c>
      <c r="C207" s="11"/>
      <c r="D207" s="7">
        <v>288.85000000000002</v>
      </c>
      <c r="E207" s="2"/>
      <c r="F207" s="6">
        <f t="shared" si="80"/>
        <v>7.032030026439557E-4</v>
      </c>
      <c r="G207" s="2"/>
      <c r="H207" s="7">
        <v>281.8</v>
      </c>
      <c r="I207" s="2"/>
      <c r="J207" s="6">
        <f t="shared" si="81"/>
        <v>6.3944909894406035E-4</v>
      </c>
      <c r="K207" s="2"/>
      <c r="L207" s="7">
        <f t="shared" si="82"/>
        <v>7.0500000000000114</v>
      </c>
      <c r="M207" s="2"/>
      <c r="N207" s="6">
        <f t="shared" si="83"/>
        <v>2.5017743080198763E-2</v>
      </c>
      <c r="O207" s="11"/>
      <c r="P207" s="7">
        <v>288.85000000000002</v>
      </c>
      <c r="Q207" s="2"/>
      <c r="R207" s="6">
        <f t="shared" si="84"/>
        <v>7.032030026439557E-4</v>
      </c>
      <c r="S207" s="2"/>
      <c r="T207" s="7">
        <v>281.8</v>
      </c>
      <c r="U207" s="2"/>
      <c r="V207" s="6">
        <f t="shared" si="85"/>
        <v>6.3944909894406035E-4</v>
      </c>
      <c r="W207" s="2"/>
      <c r="X207" s="7">
        <f t="shared" si="86"/>
        <v>7.0500000000000114</v>
      </c>
      <c r="Y207" s="2"/>
      <c r="Z207" s="6">
        <f t="shared" si="87"/>
        <v>2.5017743080198763E-2</v>
      </c>
    </row>
    <row r="208" spans="1:26" s="24" customFormat="1" hidden="1" outlineLevel="2" x14ac:dyDescent="0.25">
      <c r="A208" s="29"/>
      <c r="B208" s="11" t="str">
        <f>CONCATENATE("          ", "6275", " - ", "SUBSCRIPTIONS")</f>
        <v xml:space="preserve">          6275 - SUBSCRIPTIONS</v>
      </c>
      <c r="C208" s="11"/>
      <c r="D208" s="7">
        <v>349.8</v>
      </c>
      <c r="E208" s="2"/>
      <c r="F208" s="6">
        <f t="shared" si="80"/>
        <v>8.5158528760552433E-4</v>
      </c>
      <c r="G208" s="2"/>
      <c r="H208" s="7">
        <v>499.19</v>
      </c>
      <c r="I208" s="2"/>
      <c r="J208" s="6">
        <f t="shared" si="81"/>
        <v>1.1327416454999485E-3</v>
      </c>
      <c r="K208" s="2"/>
      <c r="L208" s="7">
        <f t="shared" si="82"/>
        <v>-149.38999999999999</v>
      </c>
      <c r="M208" s="2"/>
      <c r="N208" s="6">
        <f t="shared" si="83"/>
        <v>-0.29926480899056468</v>
      </c>
      <c r="O208" s="11"/>
      <c r="P208" s="7">
        <v>349.8</v>
      </c>
      <c r="Q208" s="2"/>
      <c r="R208" s="6">
        <f t="shared" si="84"/>
        <v>8.5158528760552433E-4</v>
      </c>
      <c r="S208" s="2"/>
      <c r="T208" s="7">
        <v>499.19</v>
      </c>
      <c r="U208" s="2"/>
      <c r="V208" s="6">
        <f t="shared" si="85"/>
        <v>1.1327416454999485E-3</v>
      </c>
      <c r="W208" s="2"/>
      <c r="X208" s="7">
        <f t="shared" si="86"/>
        <v>-149.38999999999999</v>
      </c>
      <c r="Y208" s="2"/>
      <c r="Z208" s="6">
        <f t="shared" si="87"/>
        <v>-0.29926480899056468</v>
      </c>
    </row>
    <row r="209" spans="1:26" s="28" customFormat="1" outlineLevel="1" collapsed="1" x14ac:dyDescent="0.25">
      <c r="A209" s="27"/>
      <c r="B209" s="14" t="str">
        <f>CONCATENATE("     ","Supplies                                          ")</f>
        <v xml:space="preserve">     Supplies                                          </v>
      </c>
      <c r="C209" s="14"/>
      <c r="D209" s="1">
        <f>SUM(OSRRefD22_21x_0)</f>
        <v>14347.68</v>
      </c>
      <c r="E209" s="1"/>
      <c r="F209" s="5">
        <f t="shared" ref="F209:F215" si="88">IF(D$12=0,0,D209/D$12)</f>
        <v>3.4929311604551254E-2</v>
      </c>
      <c r="G209" s="1"/>
      <c r="H209" s="1">
        <f>SUM(OSRRefH22_21x_0)</f>
        <v>26677.89</v>
      </c>
      <c r="I209" s="1"/>
      <c r="J209" s="5">
        <f t="shared" ref="J209:J215" si="89">IF(H$12=0,0,H209/H$12)</f>
        <v>6.0536382974552015E-2</v>
      </c>
      <c r="K209" s="1"/>
      <c r="L209" s="1">
        <f t="shared" ref="L209:L215" si="90">+D209-H209</f>
        <v>-12330.21</v>
      </c>
      <c r="M209" s="1"/>
      <c r="N209" s="5">
        <f t="shared" ref="N209:N215" si="91">IF(H209=0,0,L209/H209)</f>
        <v>-0.46218835147757187</v>
      </c>
      <c r="O209" s="14"/>
      <c r="P209" s="1">
        <f>SUM(OSRRefP22_21x_0)</f>
        <v>14347.68</v>
      </c>
      <c r="Q209" s="1"/>
      <c r="R209" s="5">
        <f t="shared" ref="R209:R215" si="92">IF(P$12=0,0,P209/P$12)</f>
        <v>3.4929311604551254E-2</v>
      </c>
      <c r="S209" s="1"/>
      <c r="T209" s="1">
        <f>SUM(OSRRefT22_21x_0)</f>
        <v>26677.89</v>
      </c>
      <c r="U209" s="1"/>
      <c r="V209" s="5">
        <f t="shared" ref="V209:V215" si="93">IF(T$12=0,0,T209/T$12)</f>
        <v>6.0536382974552015E-2</v>
      </c>
      <c r="W209" s="1"/>
      <c r="X209" s="1">
        <f t="shared" ref="X209:X215" si="94">+P209-T209</f>
        <v>-12330.21</v>
      </c>
      <c r="Y209" s="1"/>
      <c r="Z209" s="5">
        <f t="shared" ref="Z209:Z215" si="95">IF(T209=0,0,X209/T209)</f>
        <v>-0.46218835147757187</v>
      </c>
    </row>
    <row r="210" spans="1:26" s="24" customFormat="1" hidden="1" outlineLevel="2" x14ac:dyDescent="0.25">
      <c r="A210" s="29"/>
      <c r="B210" s="11" t="str">
        <f>CONCATENATE("          ", "6234", " - ", "EXPENDABLE SUPPLIES &amp; EQUIPMEN")</f>
        <v xml:space="preserve">          6234 - EXPENDABLE SUPPLIES &amp; EQUIPMEN</v>
      </c>
      <c r="C210" s="11"/>
      <c r="D210" s="7">
        <v>702.08</v>
      </c>
      <c r="E210" s="2"/>
      <c r="F210" s="6">
        <f t="shared" si="88"/>
        <v>1.709208115271831E-3</v>
      </c>
      <c r="G210" s="2"/>
      <c r="H210" s="7">
        <v>357.21</v>
      </c>
      <c r="I210" s="2"/>
      <c r="J210" s="6">
        <f t="shared" si="89"/>
        <v>8.1056640395247616E-4</v>
      </c>
      <c r="K210" s="2"/>
      <c r="L210" s="7">
        <f t="shared" si="90"/>
        <v>344.87000000000006</v>
      </c>
      <c r="M210" s="2"/>
      <c r="N210" s="6">
        <f t="shared" si="91"/>
        <v>0.96545449455502386</v>
      </c>
      <c r="O210" s="11"/>
      <c r="P210" s="7">
        <v>702.08</v>
      </c>
      <c r="Q210" s="2"/>
      <c r="R210" s="6">
        <f t="shared" si="92"/>
        <v>1.709208115271831E-3</v>
      </c>
      <c r="S210" s="2"/>
      <c r="T210" s="7">
        <v>357.21</v>
      </c>
      <c r="U210" s="2"/>
      <c r="V210" s="6">
        <f t="shared" si="93"/>
        <v>8.1056640395247616E-4</v>
      </c>
      <c r="W210" s="2"/>
      <c r="X210" s="7">
        <f t="shared" si="94"/>
        <v>344.87000000000006</v>
      </c>
      <c r="Y210" s="2"/>
      <c r="Z210" s="6">
        <f t="shared" si="95"/>
        <v>0.96545449455502386</v>
      </c>
    </row>
    <row r="211" spans="1:26" s="24" customFormat="1" hidden="1" outlineLevel="2" x14ac:dyDescent="0.25">
      <c r="A211" s="29"/>
      <c r="B211" s="11" t="str">
        <f>CONCATENATE("          ", "6237", " - ", "JANITORIAL SUPPLIES")</f>
        <v xml:space="preserve">          6237 - JANITORIAL SUPPLIES</v>
      </c>
      <c r="C211" s="11"/>
      <c r="D211" s="7">
        <v>826.15</v>
      </c>
      <c r="E211" s="2"/>
      <c r="F211" s="6">
        <f t="shared" si="88"/>
        <v>2.0112555327481529E-3</v>
      </c>
      <c r="G211" s="2"/>
      <c r="H211" s="7">
        <v>987.57</v>
      </c>
      <c r="I211" s="2"/>
      <c r="J211" s="6">
        <f t="shared" si="89"/>
        <v>2.2409536786521852E-3</v>
      </c>
      <c r="K211" s="2"/>
      <c r="L211" s="7">
        <f t="shared" si="90"/>
        <v>-161.42000000000007</v>
      </c>
      <c r="M211" s="2"/>
      <c r="N211" s="6">
        <f t="shared" si="91"/>
        <v>-0.16345170468928791</v>
      </c>
      <c r="O211" s="11"/>
      <c r="P211" s="7">
        <v>826.15</v>
      </c>
      <c r="Q211" s="2"/>
      <c r="R211" s="6">
        <f t="shared" si="92"/>
        <v>2.0112555327481529E-3</v>
      </c>
      <c r="S211" s="2"/>
      <c r="T211" s="7">
        <v>987.57</v>
      </c>
      <c r="U211" s="2"/>
      <c r="V211" s="6">
        <f t="shared" si="93"/>
        <v>2.2409536786521852E-3</v>
      </c>
      <c r="W211" s="2"/>
      <c r="X211" s="7">
        <f t="shared" si="94"/>
        <v>-161.42000000000007</v>
      </c>
      <c r="Y211" s="2"/>
      <c r="Z211" s="6">
        <f t="shared" si="95"/>
        <v>-0.16345170468928791</v>
      </c>
    </row>
    <row r="212" spans="1:26" s="24" customFormat="1" hidden="1" outlineLevel="2" x14ac:dyDescent="0.25">
      <c r="A212" s="29"/>
      <c r="B212" s="11" t="str">
        <f>CONCATENATE("          ", "6241", " - ", "OFFICE EXPENSE")</f>
        <v xml:space="preserve">          6241 - OFFICE EXPENSE</v>
      </c>
      <c r="C212" s="11"/>
      <c r="D212" s="7">
        <v>2671.41</v>
      </c>
      <c r="E212" s="2"/>
      <c r="F212" s="6">
        <f t="shared" si="88"/>
        <v>6.5035261668446925E-3</v>
      </c>
      <c r="G212" s="2"/>
      <c r="H212" s="7">
        <v>5174.41</v>
      </c>
      <c r="I212" s="2"/>
      <c r="J212" s="6">
        <f t="shared" si="89"/>
        <v>1.174156072415591E-2</v>
      </c>
      <c r="K212" s="2"/>
      <c r="L212" s="7">
        <f t="shared" si="90"/>
        <v>-2503</v>
      </c>
      <c r="M212" s="2"/>
      <c r="N212" s="6">
        <f t="shared" si="91"/>
        <v>-0.48372664709599744</v>
      </c>
      <c r="O212" s="11"/>
      <c r="P212" s="7">
        <v>2671.41</v>
      </c>
      <c r="Q212" s="2"/>
      <c r="R212" s="6">
        <f t="shared" si="92"/>
        <v>6.5035261668446925E-3</v>
      </c>
      <c r="S212" s="2"/>
      <c r="T212" s="7">
        <v>5174.41</v>
      </c>
      <c r="U212" s="2"/>
      <c r="V212" s="6">
        <f t="shared" si="93"/>
        <v>1.174156072415591E-2</v>
      </c>
      <c r="W212" s="2"/>
      <c r="X212" s="7">
        <f t="shared" si="94"/>
        <v>-2503</v>
      </c>
      <c r="Y212" s="2"/>
      <c r="Z212" s="6">
        <f t="shared" si="95"/>
        <v>-0.48372664709599744</v>
      </c>
    </row>
    <row r="213" spans="1:26" s="24" customFormat="1" hidden="1" outlineLevel="2" x14ac:dyDescent="0.25">
      <c r="A213" s="29"/>
      <c r="B213" s="11" t="str">
        <f>CONCATENATE("          ", "6243", " - ", "PAPER SUPPLIES")</f>
        <v xml:space="preserve">          6243 - PAPER SUPPLIES</v>
      </c>
      <c r="C213" s="11"/>
      <c r="D213" s="7">
        <v>1161.3399999999999</v>
      </c>
      <c r="E213" s="2"/>
      <c r="F213" s="6">
        <f t="shared" si="88"/>
        <v>2.8272728928181801E-3</v>
      </c>
      <c r="G213" s="2"/>
      <c r="H213" s="7">
        <v>2715.11</v>
      </c>
      <c r="I213" s="2"/>
      <c r="J213" s="6">
        <f t="shared" si="89"/>
        <v>6.1610171860681613E-3</v>
      </c>
      <c r="K213" s="2"/>
      <c r="L213" s="7">
        <f t="shared" si="90"/>
        <v>-1553.7700000000002</v>
      </c>
      <c r="M213" s="2"/>
      <c r="N213" s="6">
        <f t="shared" si="91"/>
        <v>-0.57226779025527519</v>
      </c>
      <c r="O213" s="11"/>
      <c r="P213" s="7">
        <v>1161.3399999999999</v>
      </c>
      <c r="Q213" s="2"/>
      <c r="R213" s="6">
        <f t="shared" si="92"/>
        <v>2.8272728928181801E-3</v>
      </c>
      <c r="S213" s="2"/>
      <c r="T213" s="7">
        <v>2715.11</v>
      </c>
      <c r="U213" s="2"/>
      <c r="V213" s="6">
        <f t="shared" si="93"/>
        <v>6.1610171860681613E-3</v>
      </c>
      <c r="W213" s="2"/>
      <c r="X213" s="7">
        <f t="shared" si="94"/>
        <v>-1553.7700000000002</v>
      </c>
      <c r="Y213" s="2"/>
      <c r="Z213" s="6">
        <f t="shared" si="95"/>
        <v>-0.57226779025527519</v>
      </c>
    </row>
    <row r="214" spans="1:26" s="24" customFormat="1" hidden="1" outlineLevel="2" x14ac:dyDescent="0.25">
      <c r="A214" s="29"/>
      <c r="B214" s="11" t="str">
        <f>CONCATENATE("          ", "6245", " - ", "PRINTING")</f>
        <v xml:space="preserve">          6245 - PRINTING</v>
      </c>
      <c r="C214" s="11"/>
      <c r="D214" s="7"/>
      <c r="E214" s="2"/>
      <c r="F214" s="6">
        <f t="shared" si="88"/>
        <v>0</v>
      </c>
      <c r="G214" s="2"/>
      <c r="H214" s="7">
        <v>1310.06</v>
      </c>
      <c r="I214" s="2"/>
      <c r="J214" s="6">
        <f t="shared" si="89"/>
        <v>2.9727348706978557E-3</v>
      </c>
      <c r="K214" s="2"/>
      <c r="L214" s="7">
        <f t="shared" si="90"/>
        <v>-1310.06</v>
      </c>
      <c r="M214" s="2"/>
      <c r="N214" s="6">
        <f t="shared" si="91"/>
        <v>-1</v>
      </c>
      <c r="O214" s="11"/>
      <c r="P214" s="7"/>
      <c r="Q214" s="2"/>
      <c r="R214" s="6">
        <f t="shared" si="92"/>
        <v>0</v>
      </c>
      <c r="S214" s="2"/>
      <c r="T214" s="7">
        <v>1310.06</v>
      </c>
      <c r="U214" s="2"/>
      <c r="V214" s="6">
        <f t="shared" si="93"/>
        <v>2.9727348706978557E-3</v>
      </c>
      <c r="W214" s="2"/>
      <c r="X214" s="7">
        <f t="shared" si="94"/>
        <v>-1310.06</v>
      </c>
      <c r="Y214" s="2"/>
      <c r="Z214" s="6">
        <f t="shared" si="95"/>
        <v>-1</v>
      </c>
    </row>
    <row r="215" spans="1:26" s="24" customFormat="1" hidden="1" outlineLevel="2" x14ac:dyDescent="0.25">
      <c r="A215" s="29"/>
      <c r="B215" s="11" t="str">
        <f>CONCATENATE("          ", "6247", " - ", "STORE SUPPLIES")</f>
        <v xml:space="preserve">          6247 - STORE SUPPLIES</v>
      </c>
      <c r="C215" s="11"/>
      <c r="D215" s="7">
        <v>8986.7000000000007</v>
      </c>
      <c r="E215" s="2"/>
      <c r="F215" s="6">
        <f t="shared" si="88"/>
        <v>2.1878048896868396E-2</v>
      </c>
      <c r="G215" s="2"/>
      <c r="H215" s="7">
        <v>16133.529999999999</v>
      </c>
      <c r="I215" s="2"/>
      <c r="J215" s="6">
        <f t="shared" si="89"/>
        <v>3.660955011102543E-2</v>
      </c>
      <c r="K215" s="2"/>
      <c r="L215" s="7">
        <f t="shared" si="90"/>
        <v>-7146.8299999999981</v>
      </c>
      <c r="M215" s="2"/>
      <c r="N215" s="6">
        <f t="shared" si="91"/>
        <v>-0.44297993061654817</v>
      </c>
      <c r="O215" s="11"/>
      <c r="P215" s="7">
        <v>8986.7000000000007</v>
      </c>
      <c r="Q215" s="2"/>
      <c r="R215" s="6">
        <f t="shared" si="92"/>
        <v>2.1878048896868396E-2</v>
      </c>
      <c r="S215" s="2"/>
      <c r="T215" s="7">
        <v>16133.529999999999</v>
      </c>
      <c r="U215" s="2"/>
      <c r="V215" s="6">
        <f t="shared" si="93"/>
        <v>3.660955011102543E-2</v>
      </c>
      <c r="W215" s="2"/>
      <c r="X215" s="7">
        <f t="shared" si="94"/>
        <v>-7146.8299999999981</v>
      </c>
      <c r="Y215" s="2"/>
      <c r="Z215" s="6">
        <f t="shared" si="95"/>
        <v>-0.44297993061654817</v>
      </c>
    </row>
    <row r="216" spans="1:26" s="28" customFormat="1" outlineLevel="1" collapsed="1" x14ac:dyDescent="0.25">
      <c r="A216" s="27"/>
      <c r="B216" s="14" t="str">
        <f>CONCATENATE("     ","Telephone/Data Lines                              ")</f>
        <v xml:space="preserve">     Telephone/Data Lines                              </v>
      </c>
      <c r="C216" s="14"/>
      <c r="D216" s="1">
        <f>SUM(OSRRefD22_22x_0)</f>
        <v>2026.08</v>
      </c>
      <c r="E216" s="1"/>
      <c r="F216" s="5">
        <f t="shared" ref="F216:F218" si="96">IF(D$12=0,0,D216/D$12)</f>
        <v>4.9324754703024597E-3</v>
      </c>
      <c r="G216" s="1"/>
      <c r="H216" s="1">
        <f>SUM(OSRRefH22_22x_0)</f>
        <v>2236.7800000000002</v>
      </c>
      <c r="I216" s="1"/>
      <c r="J216" s="5">
        <f t="shared" ref="J216:J218" si="97">IF(H$12=0,0,H216/H$12)</f>
        <v>5.0756102041735109E-3</v>
      </c>
      <c r="K216" s="1"/>
      <c r="L216" s="1">
        <f t="shared" ref="L216:L218" si="98">+D216-H216</f>
        <v>-210.70000000000027</v>
      </c>
      <c r="M216" s="1"/>
      <c r="N216" s="5">
        <f t="shared" ref="N216:N218" si="99">IF(H216=0,0,L216/H216)</f>
        <v>-9.4197909494899035E-2</v>
      </c>
      <c r="O216" s="14"/>
      <c r="P216" s="1">
        <f>SUM(OSRRefP22_22x_0)</f>
        <v>2026.08</v>
      </c>
      <c r="Q216" s="1"/>
      <c r="R216" s="5">
        <f t="shared" ref="R216:R218" si="100">IF(P$12=0,0,P216/P$12)</f>
        <v>4.9324754703024597E-3</v>
      </c>
      <c r="S216" s="1"/>
      <c r="T216" s="1">
        <f>SUM(OSRRefT22_22x_0)</f>
        <v>2236.7800000000002</v>
      </c>
      <c r="U216" s="1"/>
      <c r="V216" s="5">
        <f t="shared" ref="V216:V218" si="101">IF(T$12=0,0,T216/T$12)</f>
        <v>5.0756102041735109E-3</v>
      </c>
      <c r="W216" s="1"/>
      <c r="X216" s="1">
        <f t="shared" ref="X216:X218" si="102">+P216-T216</f>
        <v>-210.70000000000027</v>
      </c>
      <c r="Y216" s="1"/>
      <c r="Z216" s="5">
        <f t="shared" ref="Z216:Z218" si="103">IF(T216=0,0,X216/T216)</f>
        <v>-9.4197909494899035E-2</v>
      </c>
    </row>
    <row r="217" spans="1:26" s="24" customFormat="1" hidden="1" outlineLevel="2" x14ac:dyDescent="0.25">
      <c r="A217" s="29"/>
      <c r="B217" s="11" t="str">
        <f>CONCATENATE("          ", "6303", " - ", "DATA PHONE LINES")</f>
        <v xml:space="preserve">          6303 - DATA PHONE LINES</v>
      </c>
      <c r="C217" s="11"/>
      <c r="D217" s="7">
        <v>295</v>
      </c>
      <c r="E217" s="2"/>
      <c r="F217" s="6">
        <f t="shared" si="96"/>
        <v>7.1817512819791207E-4</v>
      </c>
      <c r="G217" s="2"/>
      <c r="H217" s="7"/>
      <c r="I217" s="2"/>
      <c r="J217" s="6">
        <f t="shared" si="97"/>
        <v>0</v>
      </c>
      <c r="K217" s="2"/>
      <c r="L217" s="7">
        <f t="shared" si="98"/>
        <v>295</v>
      </c>
      <c r="M217" s="2"/>
      <c r="N217" s="6">
        <f t="shared" si="99"/>
        <v>0</v>
      </c>
      <c r="O217" s="11"/>
      <c r="P217" s="7">
        <v>295</v>
      </c>
      <c r="Q217" s="2"/>
      <c r="R217" s="6">
        <f t="shared" si="100"/>
        <v>7.1817512819791207E-4</v>
      </c>
      <c r="S217" s="2"/>
      <c r="T217" s="7"/>
      <c r="U217" s="2"/>
      <c r="V217" s="6">
        <f t="shared" si="101"/>
        <v>0</v>
      </c>
      <c r="W217" s="2"/>
      <c r="X217" s="7">
        <f t="shared" si="102"/>
        <v>295</v>
      </c>
      <c r="Y217" s="2"/>
      <c r="Z217" s="6">
        <f t="shared" si="103"/>
        <v>0</v>
      </c>
    </row>
    <row r="218" spans="1:26" s="24" customFormat="1" hidden="1" outlineLevel="2" x14ac:dyDescent="0.25">
      <c r="A218" s="29"/>
      <c r="B218" s="11" t="str">
        <f>CONCATENATE("          ", "6309", " - ", "TELEPHONE")</f>
        <v xml:space="preserve">          6309 - TELEPHONE</v>
      </c>
      <c r="C218" s="11"/>
      <c r="D218" s="7">
        <v>1731.08</v>
      </c>
      <c r="E218" s="2"/>
      <c r="F218" s="6">
        <f t="shared" si="96"/>
        <v>4.2143003421045476E-3</v>
      </c>
      <c r="G218" s="2"/>
      <c r="H218" s="7">
        <v>2236.7800000000002</v>
      </c>
      <c r="I218" s="2"/>
      <c r="J218" s="6">
        <f t="shared" si="97"/>
        <v>5.0756102041735109E-3</v>
      </c>
      <c r="K218" s="2"/>
      <c r="L218" s="7">
        <f t="shared" si="98"/>
        <v>-505.70000000000027</v>
      </c>
      <c r="M218" s="2"/>
      <c r="N218" s="6">
        <f t="shared" si="99"/>
        <v>-0.22608392421248411</v>
      </c>
      <c r="O218" s="11"/>
      <c r="P218" s="7">
        <v>1731.08</v>
      </c>
      <c r="Q218" s="2"/>
      <c r="R218" s="6">
        <f t="shared" si="100"/>
        <v>4.2143003421045476E-3</v>
      </c>
      <c r="S218" s="2"/>
      <c r="T218" s="7">
        <v>2236.7800000000002</v>
      </c>
      <c r="U218" s="2"/>
      <c r="V218" s="6">
        <f t="shared" si="101"/>
        <v>5.0756102041735109E-3</v>
      </c>
      <c r="W218" s="2"/>
      <c r="X218" s="7">
        <f t="shared" si="102"/>
        <v>-505.70000000000027</v>
      </c>
      <c r="Y218" s="2"/>
      <c r="Z218" s="6">
        <f t="shared" si="103"/>
        <v>-0.22608392421248411</v>
      </c>
    </row>
    <row r="219" spans="1:26" s="28" customFormat="1" outlineLevel="1" collapsed="1" x14ac:dyDescent="0.25">
      <c r="A219" s="27"/>
      <c r="B219" s="14" t="str">
        <f>CONCATENATE("     ","Training                                          ")</f>
        <v xml:space="preserve">     Training                                          </v>
      </c>
      <c r="C219" s="14"/>
      <c r="D219" s="1">
        <f>SUM(OSRRefD22_23x_0)</f>
        <v>791.67</v>
      </c>
      <c r="E219" s="1"/>
      <c r="F219" s="5">
        <f t="shared" ref="F219:F224" si="104">IF(D$12=0,0,D219/D$12)</f>
        <v>1.9273142499675968E-3</v>
      </c>
      <c r="G219" s="1"/>
      <c r="H219" s="1">
        <f>SUM(OSRRefH22_23x_0)</f>
        <v>77.959999999999994</v>
      </c>
      <c r="I219" s="1"/>
      <c r="J219" s="5">
        <f t="shared" ref="J219:J224" si="105">IF(H$12=0,0,H219/H$12)</f>
        <v>1.7690366129765415E-4</v>
      </c>
      <c r="K219" s="1"/>
      <c r="L219" s="1">
        <f t="shared" ref="L219:L224" si="106">+D219-H219</f>
        <v>713.70999999999992</v>
      </c>
      <c r="M219" s="1"/>
      <c r="N219" s="5">
        <f t="shared" ref="N219:N224" si="107">IF(H219=0,0,L219/H219)</f>
        <v>9.1548229861467423</v>
      </c>
      <c r="O219" s="14"/>
      <c r="P219" s="1">
        <f>SUM(OSRRefP22_23x_0)</f>
        <v>791.67</v>
      </c>
      <c r="Q219" s="1"/>
      <c r="R219" s="5">
        <f t="shared" ref="R219:R224" si="108">IF(P$12=0,0,P219/P$12)</f>
        <v>1.9273142499675968E-3</v>
      </c>
      <c r="S219" s="1"/>
      <c r="T219" s="1">
        <f>SUM(OSRRefT22_23x_0)</f>
        <v>77.959999999999994</v>
      </c>
      <c r="U219" s="1"/>
      <c r="V219" s="5">
        <f t="shared" ref="V219:V224" si="109">IF(T$12=0,0,T219/T$12)</f>
        <v>1.7690366129765415E-4</v>
      </c>
      <c r="W219" s="1"/>
      <c r="X219" s="1">
        <f t="shared" ref="X219:X224" si="110">+P219-T219</f>
        <v>713.70999999999992</v>
      </c>
      <c r="Y219" s="1"/>
      <c r="Z219" s="5">
        <f t="shared" ref="Z219:Z224" si="111">IF(T219=0,0,X219/T219)</f>
        <v>9.1548229861467423</v>
      </c>
    </row>
    <row r="220" spans="1:26" s="24" customFormat="1" hidden="1" outlineLevel="2" x14ac:dyDescent="0.25">
      <c r="A220" s="29"/>
      <c r="B220" s="11" t="str">
        <f>CONCATENATE("          ", "6376", " - ", "TRAINING")</f>
        <v xml:space="preserve">          6376 - TRAINING</v>
      </c>
      <c r="C220" s="11"/>
      <c r="D220" s="7">
        <v>791.67</v>
      </c>
      <c r="E220" s="2"/>
      <c r="F220" s="6">
        <f t="shared" si="104"/>
        <v>1.9273142499675968E-3</v>
      </c>
      <c r="G220" s="2"/>
      <c r="H220" s="7">
        <v>77.959999999999994</v>
      </c>
      <c r="I220" s="2"/>
      <c r="J220" s="6">
        <f t="shared" si="105"/>
        <v>1.7690366129765415E-4</v>
      </c>
      <c r="K220" s="2"/>
      <c r="L220" s="7">
        <f t="shared" si="106"/>
        <v>713.70999999999992</v>
      </c>
      <c r="M220" s="2"/>
      <c r="N220" s="6">
        <f t="shared" si="107"/>
        <v>9.1548229861467423</v>
      </c>
      <c r="O220" s="11"/>
      <c r="P220" s="7">
        <v>791.67</v>
      </c>
      <c r="Q220" s="2"/>
      <c r="R220" s="6">
        <f t="shared" si="108"/>
        <v>1.9273142499675968E-3</v>
      </c>
      <c r="S220" s="2"/>
      <c r="T220" s="7">
        <v>77.959999999999994</v>
      </c>
      <c r="U220" s="2"/>
      <c r="V220" s="6">
        <f t="shared" si="109"/>
        <v>1.7690366129765415E-4</v>
      </c>
      <c r="W220" s="2"/>
      <c r="X220" s="7">
        <f t="shared" si="110"/>
        <v>713.70999999999992</v>
      </c>
      <c r="Y220" s="2"/>
      <c r="Z220" s="6">
        <f t="shared" si="111"/>
        <v>9.1548229861467423</v>
      </c>
    </row>
    <row r="221" spans="1:26" s="28" customFormat="1" outlineLevel="1" collapsed="1" x14ac:dyDescent="0.25">
      <c r="A221" s="27"/>
      <c r="B221" s="14" t="str">
        <f>CONCATENATE("     ","Travel                                            ")</f>
        <v xml:space="preserve">     Travel                                            </v>
      </c>
      <c r="C221" s="14"/>
      <c r="D221" s="1">
        <f>SUM(OSRRefD22_24x_0)</f>
        <v>221.68</v>
      </c>
      <c r="E221" s="1"/>
      <c r="F221" s="5">
        <f t="shared" si="104"/>
        <v>5.3967817769123101E-4</v>
      </c>
      <c r="G221" s="1"/>
      <c r="H221" s="1">
        <f>SUM(OSRRefH22_24x_0)</f>
        <v>244.25</v>
      </c>
      <c r="I221" s="1"/>
      <c r="J221" s="5">
        <f t="shared" si="105"/>
        <v>5.5424216613586498E-4</v>
      </c>
      <c r="K221" s="1"/>
      <c r="L221" s="1">
        <f t="shared" si="106"/>
        <v>-22.569999999999993</v>
      </c>
      <c r="M221" s="1"/>
      <c r="N221" s="5">
        <f t="shared" si="107"/>
        <v>-9.2405322415557808E-2</v>
      </c>
      <c r="O221" s="14"/>
      <c r="P221" s="1">
        <f>SUM(OSRRefP22_24x_0)</f>
        <v>221.68</v>
      </c>
      <c r="Q221" s="1"/>
      <c r="R221" s="5">
        <f t="shared" si="108"/>
        <v>5.3967817769123101E-4</v>
      </c>
      <c r="S221" s="1"/>
      <c r="T221" s="1">
        <f>SUM(OSRRefT22_24x_0)</f>
        <v>244.25</v>
      </c>
      <c r="U221" s="1"/>
      <c r="V221" s="5">
        <f t="shared" si="109"/>
        <v>5.5424216613586498E-4</v>
      </c>
      <c r="W221" s="1"/>
      <c r="X221" s="1">
        <f t="shared" si="110"/>
        <v>-22.569999999999993</v>
      </c>
      <c r="Y221" s="1"/>
      <c r="Z221" s="5">
        <f t="shared" si="111"/>
        <v>-9.2405322415557808E-2</v>
      </c>
    </row>
    <row r="222" spans="1:26" s="24" customFormat="1" hidden="1" outlineLevel="2" x14ac:dyDescent="0.25">
      <c r="A222" s="29"/>
      <c r="B222" s="11" t="str">
        <f>CONCATENATE("          ", "6292", " - ", "TRAVEL/CONFERENCE")</f>
        <v xml:space="preserve">          6292 - TRAVEL/CONFERENCE</v>
      </c>
      <c r="C222" s="11"/>
      <c r="D222" s="7">
        <v>150.47999999999999</v>
      </c>
      <c r="E222" s="2"/>
      <c r="F222" s="6">
        <f t="shared" si="104"/>
        <v>3.6634235013973494E-4</v>
      </c>
      <c r="G222" s="2"/>
      <c r="H222" s="7">
        <v>123.84</v>
      </c>
      <c r="I222" s="2"/>
      <c r="J222" s="6">
        <f t="shared" si="105"/>
        <v>2.810126913173614E-4</v>
      </c>
      <c r="K222" s="2"/>
      <c r="L222" s="7">
        <f t="shared" si="106"/>
        <v>26.639999999999986</v>
      </c>
      <c r="M222" s="2"/>
      <c r="N222" s="6">
        <f t="shared" si="107"/>
        <v>0.21511627906976732</v>
      </c>
      <c r="O222" s="11"/>
      <c r="P222" s="7">
        <v>150.47999999999999</v>
      </c>
      <c r="Q222" s="2"/>
      <c r="R222" s="6">
        <f t="shared" si="108"/>
        <v>3.6634235013973494E-4</v>
      </c>
      <c r="S222" s="2"/>
      <c r="T222" s="7">
        <v>123.84</v>
      </c>
      <c r="U222" s="2"/>
      <c r="V222" s="6">
        <f t="shared" si="109"/>
        <v>2.810126913173614E-4</v>
      </c>
      <c r="W222" s="2"/>
      <c r="X222" s="7">
        <f t="shared" si="110"/>
        <v>26.639999999999986</v>
      </c>
      <c r="Y222" s="2"/>
      <c r="Z222" s="6">
        <f t="shared" si="111"/>
        <v>0.21511627906976732</v>
      </c>
    </row>
    <row r="223" spans="1:26" s="24" customFormat="1" hidden="1" outlineLevel="2" x14ac:dyDescent="0.25">
      <c r="A223" s="29"/>
      <c r="B223" s="11" t="str">
        <f>CONCATENATE("          ", "6294", " - ", "TRAVEL OPERATIONAL")</f>
        <v xml:space="preserve">          6294 - TRAVEL OPERATIONAL</v>
      </c>
      <c r="C223" s="11"/>
      <c r="D223" s="7"/>
      <c r="E223" s="2"/>
      <c r="F223" s="6">
        <f t="shared" si="104"/>
        <v>0</v>
      </c>
      <c r="G223" s="2"/>
      <c r="H223" s="7">
        <v>97.06</v>
      </c>
      <c r="I223" s="2"/>
      <c r="J223" s="6">
        <f t="shared" si="105"/>
        <v>2.2024460448371363E-4</v>
      </c>
      <c r="K223" s="2"/>
      <c r="L223" s="7">
        <f t="shared" si="106"/>
        <v>-97.06</v>
      </c>
      <c r="M223" s="2"/>
      <c r="N223" s="6">
        <f t="shared" si="107"/>
        <v>-1</v>
      </c>
      <c r="O223" s="11"/>
      <c r="P223" s="7"/>
      <c r="Q223" s="2"/>
      <c r="R223" s="6">
        <f t="shared" si="108"/>
        <v>0</v>
      </c>
      <c r="S223" s="2"/>
      <c r="T223" s="7">
        <v>97.06</v>
      </c>
      <c r="U223" s="2"/>
      <c r="V223" s="6">
        <f t="shared" si="109"/>
        <v>2.2024460448371363E-4</v>
      </c>
      <c r="W223" s="2"/>
      <c r="X223" s="7">
        <f t="shared" si="110"/>
        <v>-97.06</v>
      </c>
      <c r="Y223" s="2"/>
      <c r="Z223" s="6">
        <f t="shared" si="111"/>
        <v>-1</v>
      </c>
    </row>
    <row r="224" spans="1:26" s="24" customFormat="1" hidden="1" outlineLevel="2" x14ac:dyDescent="0.25">
      <c r="A224" s="29"/>
      <c r="B224" s="11" t="str">
        <f>CONCATENATE("          ", "6298", " - ", "VEHICLE MILEAGE")</f>
        <v xml:space="preserve">          6298 - VEHICLE MILEAGE</v>
      </c>
      <c r="C224" s="11"/>
      <c r="D224" s="7">
        <v>71.2</v>
      </c>
      <c r="E224" s="2"/>
      <c r="F224" s="6">
        <f t="shared" si="104"/>
        <v>1.7333582755149607E-4</v>
      </c>
      <c r="G224" s="2"/>
      <c r="H224" s="7">
        <v>23.35</v>
      </c>
      <c r="I224" s="2"/>
      <c r="J224" s="6">
        <f t="shared" si="105"/>
        <v>5.2984870334789962E-5</v>
      </c>
      <c r="K224" s="2"/>
      <c r="L224" s="7">
        <f t="shared" si="106"/>
        <v>47.85</v>
      </c>
      <c r="M224" s="2"/>
      <c r="N224" s="6">
        <f t="shared" si="107"/>
        <v>2.0492505353319057</v>
      </c>
      <c r="O224" s="11"/>
      <c r="P224" s="7">
        <v>71.2</v>
      </c>
      <c r="Q224" s="2"/>
      <c r="R224" s="6">
        <f t="shared" si="108"/>
        <v>1.7333582755149607E-4</v>
      </c>
      <c r="S224" s="2"/>
      <c r="T224" s="7">
        <v>23.35</v>
      </c>
      <c r="U224" s="2"/>
      <c r="V224" s="6">
        <f t="shared" si="109"/>
        <v>5.2984870334789962E-5</v>
      </c>
      <c r="W224" s="2"/>
      <c r="X224" s="7">
        <f t="shared" si="110"/>
        <v>47.85</v>
      </c>
      <c r="Y224" s="2"/>
      <c r="Z224" s="6">
        <f t="shared" si="111"/>
        <v>2.0492505353319057</v>
      </c>
    </row>
    <row r="225" spans="1:26" s="28" customFormat="1" outlineLevel="1" collapsed="1" x14ac:dyDescent="0.25">
      <c r="A225" s="27"/>
      <c r="B225" s="14" t="str">
        <f>CONCATENATE("     ","Utilities                                         ")</f>
        <v xml:space="preserve">     Utilities                                         </v>
      </c>
      <c r="C225" s="14"/>
      <c r="D225" s="1">
        <f>SUM(OSRRefD22_25x_0)</f>
        <v>6595</v>
      </c>
      <c r="E225" s="1"/>
      <c r="F225" s="5">
        <f t="shared" ref="F225:F226" si="112">IF(D$12=0,0,D225/D$12)</f>
        <v>1.6055474476153322E-2</v>
      </c>
      <c r="G225" s="1"/>
      <c r="H225" s="1">
        <f>SUM(OSRRefH22_25x_0)</f>
        <v>7089.25</v>
      </c>
      <c r="I225" s="1"/>
      <c r="J225" s="5">
        <f t="shared" ref="J225:J226" si="113">IF(H$12=0,0,H225/H$12)</f>
        <v>1.6086637773914763E-2</v>
      </c>
      <c r="K225" s="1"/>
      <c r="L225" s="1">
        <f t="shared" ref="L225:L226" si="114">+D225-H225</f>
        <v>-494.25</v>
      </c>
      <c r="M225" s="1"/>
      <c r="N225" s="5">
        <f t="shared" ref="N225:N226" si="115">IF(H225=0,0,L225/H225)</f>
        <v>-6.9718235356349398E-2</v>
      </c>
      <c r="O225" s="14"/>
      <c r="P225" s="1">
        <f>SUM(OSRRefP22_25x_0)</f>
        <v>6595</v>
      </c>
      <c r="Q225" s="1"/>
      <c r="R225" s="5">
        <f t="shared" ref="R225:R226" si="116">IF(P$12=0,0,P225/P$12)</f>
        <v>1.6055474476153322E-2</v>
      </c>
      <c r="S225" s="1"/>
      <c r="T225" s="1">
        <f>SUM(OSRRefT22_25x_0)</f>
        <v>7089.25</v>
      </c>
      <c r="U225" s="1"/>
      <c r="V225" s="5">
        <f t="shared" ref="V225:V226" si="117">IF(T$12=0,0,T225/T$12)</f>
        <v>1.6086637773914763E-2</v>
      </c>
      <c r="W225" s="1"/>
      <c r="X225" s="1">
        <f t="shared" ref="X225:X226" si="118">+P225-T225</f>
        <v>-494.25</v>
      </c>
      <c r="Y225" s="1"/>
      <c r="Z225" s="5">
        <f t="shared" ref="Z225:Z226" si="119">IF(T225=0,0,X225/T225)</f>
        <v>-6.9718235356349398E-2</v>
      </c>
    </row>
    <row r="226" spans="1:26" s="24" customFormat="1" hidden="1" outlineLevel="2" x14ac:dyDescent="0.25">
      <c r="A226" s="29"/>
      <c r="B226" s="11" t="str">
        <f>CONCATENATE("          ", "6274", " - ", "UTILITIES")</f>
        <v xml:space="preserve">          6274 - UTILITIES</v>
      </c>
      <c r="C226" s="11"/>
      <c r="D226" s="7">
        <v>6595</v>
      </c>
      <c r="E226" s="2"/>
      <c r="F226" s="6">
        <f t="shared" si="112"/>
        <v>1.6055474476153322E-2</v>
      </c>
      <c r="G226" s="2"/>
      <c r="H226" s="7">
        <v>7089.25</v>
      </c>
      <c r="I226" s="2"/>
      <c r="J226" s="6">
        <f t="shared" si="113"/>
        <v>1.6086637773914763E-2</v>
      </c>
      <c r="K226" s="2"/>
      <c r="L226" s="7">
        <f t="shared" si="114"/>
        <v>-494.25</v>
      </c>
      <c r="M226" s="2"/>
      <c r="N226" s="6">
        <f t="shared" si="115"/>
        <v>-6.9718235356349398E-2</v>
      </c>
      <c r="O226" s="11"/>
      <c r="P226" s="7">
        <v>6595</v>
      </c>
      <c r="Q226" s="2"/>
      <c r="R226" s="6">
        <f t="shared" si="116"/>
        <v>1.6055474476153322E-2</v>
      </c>
      <c r="S226" s="2"/>
      <c r="T226" s="7">
        <v>7089.25</v>
      </c>
      <c r="U226" s="2"/>
      <c r="V226" s="6">
        <f t="shared" si="117"/>
        <v>1.6086637773914763E-2</v>
      </c>
      <c r="W226" s="2"/>
      <c r="X226" s="7">
        <f t="shared" si="118"/>
        <v>-494.25</v>
      </c>
      <c r="Y226" s="2"/>
      <c r="Z226" s="6">
        <f t="shared" si="119"/>
        <v>-6.9718235356349398E-2</v>
      </c>
    </row>
    <row r="227" spans="1:26" s="54" customFormat="1" x14ac:dyDescent="0.25">
      <c r="A227" s="37"/>
      <c r="B227" s="37"/>
      <c r="C227" s="37"/>
      <c r="D227" s="1"/>
      <c r="E227" s="1"/>
      <c r="F227" s="5"/>
      <c r="G227" s="1"/>
      <c r="H227" s="1"/>
      <c r="I227" s="1"/>
      <c r="J227" s="5"/>
      <c r="K227" s="1"/>
      <c r="L227" s="1"/>
      <c r="M227" s="1"/>
      <c r="N227" s="5"/>
      <c r="O227" s="37"/>
      <c r="P227" s="1"/>
      <c r="Q227" s="1"/>
      <c r="R227" s="5"/>
      <c r="S227" s="1"/>
      <c r="T227" s="1"/>
      <c r="U227" s="1"/>
      <c r="V227" s="5"/>
      <c r="W227" s="1"/>
      <c r="X227" s="1"/>
      <c r="Y227" s="1"/>
      <c r="Z227" s="5"/>
    </row>
    <row r="228" spans="1:26" s="23" customFormat="1" collapsed="1" x14ac:dyDescent="0.25">
      <c r="A228" s="10"/>
      <c r="B228" s="26" t="s">
        <v>0</v>
      </c>
      <c r="C228" s="10"/>
      <c r="D228" s="4">
        <f>SUM(OSRRefD25x_0)</f>
        <v>70867.109999999986</v>
      </c>
      <c r="E228" s="4"/>
      <c r="F228" s="12">
        <f t="shared" ref="F228:F233" si="120">IF(D$12=0,0,D228/D$12)</f>
        <v>0.17252540952293399</v>
      </c>
      <c r="G228" s="4"/>
      <c r="H228" s="4">
        <f>SUM(OSRRefH25x_0)</f>
        <v>79962.559999999998</v>
      </c>
      <c r="I228" s="4"/>
      <c r="J228" s="12">
        <f t="shared" ref="J228:J233" si="121">IF(H$12=0,0,H228/H$12)</f>
        <v>0.18144778900376282</v>
      </c>
      <c r="K228" s="4"/>
      <c r="L228" s="4">
        <f t="shared" ref="L228:L233" si="122">+D228-H228</f>
        <v>-9095.4500000000116</v>
      </c>
      <c r="M228" s="4"/>
      <c r="N228" s="12">
        <f t="shared" ref="N228:N233" si="123">IF(H228=0,0,L228/H228)</f>
        <v>-0.11374635829568253</v>
      </c>
      <c r="O228" s="10"/>
      <c r="P228" s="4">
        <f>SUM(OSRRefP25x_0)</f>
        <v>70867.109999999986</v>
      </c>
      <c r="Q228" s="4"/>
      <c r="R228" s="12">
        <f t="shared" ref="R228:R233" si="124">IF(P$12=0,0,P228/P$12)</f>
        <v>0.17252540952293399</v>
      </c>
      <c r="S228" s="4"/>
      <c r="T228" s="4">
        <f>SUM(OSRRefT25x_0)</f>
        <v>79962.559999999998</v>
      </c>
      <c r="U228" s="4"/>
      <c r="V228" s="12">
        <f t="shared" ref="V228:V233" si="125">IF(T$12=0,0,T228/T$12)</f>
        <v>0.18144778900376282</v>
      </c>
      <c r="W228" s="4"/>
      <c r="X228" s="4">
        <f t="shared" ref="X228:X233" si="126">+P228-T228</f>
        <v>-9095.4500000000116</v>
      </c>
      <c r="Y228" s="4"/>
      <c r="Z228" s="12">
        <f t="shared" ref="Z228:Z233" si="127">IF(T228=0,0,X228/T228)</f>
        <v>-0.11374635829568253</v>
      </c>
    </row>
    <row r="229" spans="1:26" s="24" customFormat="1" hidden="1" outlineLevel="1" x14ac:dyDescent="0.25">
      <c r="A229" s="50"/>
      <c r="B229" s="11" t="str">
        <f>CONCATENATE("          ", "4098", " - ", "TAXABLE SALES-GRAD RENTALS")</f>
        <v xml:space="preserve">          4098 - TAXABLE SALES-GRAD RENTALS</v>
      </c>
      <c r="C229" s="11"/>
      <c r="D229" s="2">
        <f>--74.7</f>
        <v>74.7</v>
      </c>
      <c r="E229" s="2"/>
      <c r="F229" s="22">
        <f t="shared" si="120"/>
        <v>1.818565494114713E-4</v>
      </c>
      <c r="G229" s="2"/>
      <c r="H229" s="2">
        <f>0</f>
        <v>0</v>
      </c>
      <c r="I229" s="2"/>
      <c r="J229" s="22">
        <f t="shared" si="121"/>
        <v>0</v>
      </c>
      <c r="K229" s="2"/>
      <c r="L229" s="2">
        <f t="shared" si="122"/>
        <v>74.7</v>
      </c>
      <c r="M229" s="2"/>
      <c r="N229" s="22">
        <f t="shared" si="123"/>
        <v>0</v>
      </c>
      <c r="O229" s="11"/>
      <c r="P229" s="2">
        <f>--74.7</f>
        <v>74.7</v>
      </c>
      <c r="Q229" s="2"/>
      <c r="R229" s="22">
        <f t="shared" si="124"/>
        <v>1.818565494114713E-4</v>
      </c>
      <c r="S229" s="2"/>
      <c r="T229" s="2">
        <f>0</f>
        <v>0</v>
      </c>
      <c r="U229" s="2"/>
      <c r="V229" s="22">
        <f t="shared" si="125"/>
        <v>0</v>
      </c>
      <c r="W229" s="2"/>
      <c r="X229" s="2">
        <f t="shared" si="126"/>
        <v>74.7</v>
      </c>
      <c r="Y229" s="2"/>
      <c r="Z229" s="22">
        <f t="shared" si="127"/>
        <v>0</v>
      </c>
    </row>
    <row r="230" spans="1:26" s="24" customFormat="1" hidden="1" outlineLevel="1" x14ac:dyDescent="0.25">
      <c r="A230" s="50"/>
      <c r="B230" s="11" t="str">
        <f>CONCATENATE("          ", "4198", " - ", "NON-TAXABLE SALES-GRAD RENTALS")</f>
        <v xml:space="preserve">          4198 - NON-TAXABLE SALES-GRAD RENTALS</v>
      </c>
      <c r="C230" s="11"/>
      <c r="D230" s="2">
        <f>--255</f>
        <v>255</v>
      </c>
      <c r="E230" s="2"/>
      <c r="F230" s="22">
        <f t="shared" si="120"/>
        <v>6.2079544979819527E-4</v>
      </c>
      <c r="G230" s="2"/>
      <c r="H230" s="2">
        <f>--345</f>
        <v>345</v>
      </c>
      <c r="I230" s="2"/>
      <c r="J230" s="22">
        <f t="shared" si="121"/>
        <v>7.8285996854400575E-4</v>
      </c>
      <c r="K230" s="2"/>
      <c r="L230" s="2">
        <f t="shared" si="122"/>
        <v>-90</v>
      </c>
      <c r="M230" s="2"/>
      <c r="N230" s="22">
        <f t="shared" si="123"/>
        <v>-0.2608695652173913</v>
      </c>
      <c r="O230" s="11"/>
      <c r="P230" s="2">
        <f>--255</f>
        <v>255</v>
      </c>
      <c r="Q230" s="2"/>
      <c r="R230" s="22">
        <f t="shared" si="124"/>
        <v>6.2079544979819527E-4</v>
      </c>
      <c r="S230" s="2"/>
      <c r="T230" s="2">
        <f>--345</f>
        <v>345</v>
      </c>
      <c r="U230" s="2"/>
      <c r="V230" s="22">
        <f t="shared" si="125"/>
        <v>7.8285996854400575E-4</v>
      </c>
      <c r="W230" s="2"/>
      <c r="X230" s="2">
        <f t="shared" si="126"/>
        <v>-90</v>
      </c>
      <c r="Y230" s="2"/>
      <c r="Z230" s="22">
        <f t="shared" si="127"/>
        <v>-0.2608695652173913</v>
      </c>
    </row>
    <row r="231" spans="1:26" s="24" customFormat="1" hidden="1" outlineLevel="1" x14ac:dyDescent="0.25">
      <c r="A231" s="50"/>
      <c r="B231" s="11" t="str">
        <f>CONCATENATE("          ", "9150", " - ", "MISC. INCOME")</f>
        <v xml:space="preserve">          9150 - MISC. INCOME</v>
      </c>
      <c r="C231" s="11"/>
      <c r="D231" s="2">
        <f>--70631.9</f>
        <v>70631.899999999994</v>
      </c>
      <c r="E231" s="2"/>
      <c r="F231" s="22">
        <f t="shared" si="120"/>
        <v>0.17195279266902408</v>
      </c>
      <c r="G231" s="2"/>
      <c r="H231" s="2">
        <f>--78585.86</f>
        <v>78585.86</v>
      </c>
      <c r="I231" s="2"/>
      <c r="J231" s="22">
        <f t="shared" si="121"/>
        <v>0.17832383735537288</v>
      </c>
      <c r="K231" s="2"/>
      <c r="L231" s="2">
        <f t="shared" si="122"/>
        <v>-7953.9600000000064</v>
      </c>
      <c r="M231" s="2"/>
      <c r="N231" s="22">
        <f t="shared" si="123"/>
        <v>-0.10121362799872657</v>
      </c>
      <c r="O231" s="11"/>
      <c r="P231" s="2">
        <f>--70631.9</f>
        <v>70631.899999999994</v>
      </c>
      <c r="Q231" s="2"/>
      <c r="R231" s="22">
        <f t="shared" si="124"/>
        <v>0.17195279266902408</v>
      </c>
      <c r="S231" s="2"/>
      <c r="T231" s="2">
        <f>--78585.86</f>
        <v>78585.86</v>
      </c>
      <c r="U231" s="2"/>
      <c r="V231" s="22">
        <f t="shared" si="125"/>
        <v>0.17832383735537288</v>
      </c>
      <c r="W231" s="2"/>
      <c r="X231" s="2">
        <f t="shared" si="126"/>
        <v>-7953.9600000000064</v>
      </c>
      <c r="Y231" s="2"/>
      <c r="Z231" s="22">
        <f t="shared" si="127"/>
        <v>-0.10121362799872657</v>
      </c>
    </row>
    <row r="232" spans="1:26" s="24" customFormat="1" hidden="1" outlineLevel="1" x14ac:dyDescent="0.25">
      <c r="A232" s="50"/>
      <c r="B232" s="11" t="str">
        <f>CONCATENATE("          ", "9151", " - ", "MISC. INCOME")</f>
        <v xml:space="preserve">          9151 - MISC. INCOME</v>
      </c>
      <c r="C232" s="11"/>
      <c r="D232" s="2">
        <f>-94.49</f>
        <v>-94.49</v>
      </c>
      <c r="E232" s="2"/>
      <c r="F232" s="22">
        <f t="shared" si="120"/>
        <v>-2.3003514529973122E-4</v>
      </c>
      <c r="G232" s="2"/>
      <c r="H232" s="2">
        <f>--259.36</f>
        <v>259.36</v>
      </c>
      <c r="I232" s="2"/>
      <c r="J232" s="22">
        <f t="shared" si="121"/>
        <v>5.885291635987633E-4</v>
      </c>
      <c r="K232" s="2"/>
      <c r="L232" s="2">
        <f t="shared" si="122"/>
        <v>-353.85</v>
      </c>
      <c r="M232" s="2"/>
      <c r="N232" s="22">
        <f t="shared" si="123"/>
        <v>-1.3643198642813079</v>
      </c>
      <c r="O232" s="11"/>
      <c r="P232" s="2">
        <f>-94.49</f>
        <v>-94.49</v>
      </c>
      <c r="Q232" s="2"/>
      <c r="R232" s="22">
        <f t="shared" si="124"/>
        <v>-2.3003514529973122E-4</v>
      </c>
      <c r="S232" s="2"/>
      <c r="T232" s="2">
        <f>--259.36</f>
        <v>259.36</v>
      </c>
      <c r="U232" s="2"/>
      <c r="V232" s="22">
        <f t="shared" si="125"/>
        <v>5.885291635987633E-4</v>
      </c>
      <c r="W232" s="2"/>
      <c r="X232" s="2">
        <f t="shared" si="126"/>
        <v>-353.85</v>
      </c>
      <c r="Y232" s="2"/>
      <c r="Z232" s="22">
        <f t="shared" si="127"/>
        <v>-1.3643198642813079</v>
      </c>
    </row>
    <row r="233" spans="1:26" s="24" customFormat="1" hidden="1" outlineLevel="1" x14ac:dyDescent="0.25">
      <c r="A233" s="50"/>
      <c r="B233" s="11" t="str">
        <f>CONCATENATE("          ", "9152", " - ", "MISC. INCOME")</f>
        <v xml:space="preserve">          9152 - MISC. INCOME</v>
      </c>
      <c r="C233" s="11"/>
      <c r="D233" s="2">
        <f>0</f>
        <v>0</v>
      </c>
      <c r="E233" s="2"/>
      <c r="F233" s="22">
        <f t="shared" si="120"/>
        <v>0</v>
      </c>
      <c r="G233" s="2"/>
      <c r="H233" s="2">
        <f>--772.34</f>
        <v>772.34</v>
      </c>
      <c r="I233" s="2"/>
      <c r="J233" s="22">
        <f t="shared" si="121"/>
        <v>1.7525625162471809E-3</v>
      </c>
      <c r="K233" s="2"/>
      <c r="L233" s="2">
        <f t="shared" si="122"/>
        <v>-772.34</v>
      </c>
      <c r="M233" s="2"/>
      <c r="N233" s="22">
        <f t="shared" si="123"/>
        <v>-1</v>
      </c>
      <c r="O233" s="11"/>
      <c r="P233" s="2">
        <f>0</f>
        <v>0</v>
      </c>
      <c r="Q233" s="2"/>
      <c r="R233" s="22">
        <f t="shared" si="124"/>
        <v>0</v>
      </c>
      <c r="S233" s="2"/>
      <c r="T233" s="2">
        <f>--772.34</f>
        <v>772.34</v>
      </c>
      <c r="U233" s="2"/>
      <c r="V233" s="22">
        <f t="shared" si="125"/>
        <v>1.7525625162471809E-3</v>
      </c>
      <c r="W233" s="2"/>
      <c r="X233" s="2">
        <f t="shared" si="126"/>
        <v>-772.34</v>
      </c>
      <c r="Y233" s="2"/>
      <c r="Z233" s="22">
        <f t="shared" si="127"/>
        <v>-1</v>
      </c>
    </row>
    <row r="234" spans="1:26" x14ac:dyDescent="0.25">
      <c r="A234" s="9"/>
      <c r="B234" s="10"/>
      <c r="C234" s="10"/>
      <c r="D234" s="3"/>
      <c r="E234" s="3"/>
      <c r="F234" s="8"/>
      <c r="G234" s="3"/>
      <c r="H234" s="3"/>
      <c r="I234" s="3"/>
      <c r="J234" s="8"/>
      <c r="K234" s="3"/>
      <c r="L234" s="3"/>
      <c r="M234" s="3"/>
      <c r="N234" s="8"/>
      <c r="O234" s="10"/>
      <c r="P234" s="3"/>
      <c r="Q234" s="3"/>
      <c r="R234" s="8"/>
      <c r="S234" s="3"/>
      <c r="T234" s="3"/>
      <c r="U234" s="3"/>
      <c r="V234" s="8"/>
      <c r="W234" s="3"/>
      <c r="X234" s="3"/>
      <c r="Y234" s="3"/>
      <c r="Z234" s="8"/>
    </row>
    <row r="235" spans="1:26" s="23" customFormat="1" x14ac:dyDescent="0.25">
      <c r="A235" s="10"/>
      <c r="B235" s="25" t="s">
        <v>3</v>
      </c>
      <c r="C235" s="25"/>
      <c r="D235" s="21">
        <f>+D138-D140+D228</f>
        <v>-178047.28999999978</v>
      </c>
      <c r="E235" s="13"/>
      <c r="F235" s="20">
        <f>IF(D$12=0,0,D235/D$12)</f>
        <v>-0.43345469600352771</v>
      </c>
      <c r="G235" s="13"/>
      <c r="H235" s="21">
        <f>+H138-H140+H228</f>
        <v>-187799.55000000022</v>
      </c>
      <c r="I235" s="13"/>
      <c r="J235" s="20">
        <f>IF(H$12=0,0,H235/H$12)</f>
        <v>-0.4261471008857351</v>
      </c>
      <c r="K235" s="16"/>
      <c r="L235" s="21">
        <f>+D235-H235</f>
        <v>9752.2600000004459</v>
      </c>
      <c r="M235" s="16"/>
      <c r="N235" s="20">
        <f>IF(H235=0,0,L235/H235)</f>
        <v>-5.1929091416888028E-2</v>
      </c>
      <c r="O235" s="26"/>
      <c r="P235" s="21">
        <f>+P138-P140+P228</f>
        <v>-178047.28999999978</v>
      </c>
      <c r="Q235" s="13"/>
      <c r="R235" s="20">
        <f>IF(P$12=0,0,P235/P$12)</f>
        <v>-0.43345469600352771</v>
      </c>
      <c r="S235" s="13"/>
      <c r="T235" s="21">
        <f>+T138-T140+T228</f>
        <v>-187799.55000000022</v>
      </c>
      <c r="U235" s="13"/>
      <c r="V235" s="20">
        <f>IF(T$12=0,0,T235/T$12)</f>
        <v>-0.4261471008857351</v>
      </c>
      <c r="W235" s="16"/>
      <c r="X235" s="21">
        <f>+P235-T235</f>
        <v>9752.2600000004459</v>
      </c>
      <c r="Y235" s="16"/>
      <c r="Z235" s="20">
        <f>IF(T235=0,0,X235/T235)</f>
        <v>-5.1929091416888028E-2</v>
      </c>
    </row>
    <row r="236" spans="1:26" x14ac:dyDescent="0.25">
      <c r="A236" s="9"/>
      <c r="B236" s="10"/>
      <c r="C236" s="9"/>
      <c r="D236" s="3"/>
      <c r="E236" s="3"/>
      <c r="F236" s="8"/>
      <c r="G236" s="3"/>
      <c r="H236" s="3"/>
      <c r="I236" s="3"/>
      <c r="J236" s="8"/>
      <c r="K236" s="3"/>
      <c r="L236" s="3"/>
      <c r="M236" s="3"/>
      <c r="N236" s="8"/>
      <c r="P236" s="3"/>
      <c r="Q236" s="3"/>
      <c r="R236" s="8"/>
      <c r="S236" s="3"/>
      <c r="T236" s="3"/>
      <c r="U236" s="3"/>
      <c r="V236" s="8"/>
      <c r="W236" s="3"/>
      <c r="X236" s="3"/>
      <c r="Y236" s="3"/>
      <c r="Z236" s="8"/>
    </row>
    <row r="237" spans="1:26" s="23" customFormat="1" x14ac:dyDescent="0.25">
      <c r="A237" s="51"/>
      <c r="B237" s="10" t="s">
        <v>13</v>
      </c>
      <c r="C237" s="10"/>
      <c r="D237" s="4">
        <v>85409.799999999988</v>
      </c>
      <c r="E237" s="4"/>
      <c r="F237" s="12">
        <f>IF(D$12=0,0,D237/D$12)</f>
        <v>0.20792947140460347</v>
      </c>
      <c r="G237" s="4"/>
      <c r="H237" s="4">
        <v>90474.32</v>
      </c>
      <c r="I237" s="4"/>
      <c r="J237" s="12">
        <f>IF(H$12=0,0,H237/H$12)</f>
        <v>0.20530064727316033</v>
      </c>
      <c r="K237" s="4"/>
      <c r="L237" s="4">
        <f>+D237-H237</f>
        <v>-5064.5200000000186</v>
      </c>
      <c r="M237" s="4"/>
      <c r="N237" s="12">
        <f>IF(H237=0,0,L237/H237)</f>
        <v>-5.5977430943940983E-2</v>
      </c>
      <c r="O237" s="10"/>
      <c r="P237" s="4">
        <v>85409.799999999988</v>
      </c>
      <c r="Q237" s="4"/>
      <c r="R237" s="12">
        <f>IF(P$12=0,0,P237/P$12)</f>
        <v>0.20792947140460347</v>
      </c>
      <c r="S237" s="4"/>
      <c r="T237" s="4">
        <v>90474.32</v>
      </c>
      <c r="U237" s="4"/>
      <c r="V237" s="12">
        <f>IF(T$12=0,0,T237/T$12)</f>
        <v>0.20530064727316033</v>
      </c>
      <c r="W237" s="4"/>
      <c r="X237" s="4">
        <f>+P237-T237</f>
        <v>-5064.5200000000186</v>
      </c>
      <c r="Y237" s="4"/>
      <c r="Z237" s="12">
        <f>IF(T237=0,0,X237/T237)</f>
        <v>-5.5977430943940983E-2</v>
      </c>
    </row>
    <row r="238" spans="1:26" x14ac:dyDescent="0.25">
      <c r="A238" s="9"/>
      <c r="B238" s="10"/>
      <c r="C238" s="10"/>
      <c r="D238" s="3"/>
      <c r="E238" s="3"/>
      <c r="F238" s="8"/>
      <c r="G238" s="3"/>
      <c r="H238" s="3"/>
      <c r="I238" s="3"/>
      <c r="J238" s="8"/>
      <c r="K238" s="3"/>
      <c r="L238" s="3"/>
      <c r="M238" s="3"/>
      <c r="N238" s="8"/>
      <c r="O238" s="10"/>
      <c r="P238" s="3"/>
      <c r="Q238" s="3"/>
      <c r="R238" s="8"/>
      <c r="S238" s="3"/>
      <c r="T238" s="3"/>
      <c r="U238" s="3"/>
      <c r="V238" s="8"/>
      <c r="W238" s="3"/>
      <c r="X238" s="3"/>
      <c r="Y238" s="3"/>
      <c r="Z238" s="8"/>
    </row>
    <row r="239" spans="1:26" s="23" customFormat="1" ht="15.75" thickBot="1" x14ac:dyDescent="0.3">
      <c r="A239" s="10"/>
      <c r="B239" s="25" t="s">
        <v>4</v>
      </c>
      <c r="C239" s="25"/>
      <c r="D239" s="33">
        <f>+D235-D237</f>
        <v>-263457.08999999973</v>
      </c>
      <c r="E239" s="13"/>
      <c r="F239" s="34">
        <f>IF(D$12=0,0,D239/D$12)</f>
        <v>-0.64138416740813109</v>
      </c>
      <c r="G239" s="13"/>
      <c r="H239" s="33">
        <f>+H235-H237</f>
        <v>-278273.87000000023</v>
      </c>
      <c r="I239" s="13"/>
      <c r="J239" s="34">
        <f>IF(H$12=0,0,H239/H$12)</f>
        <v>-0.63144774815889548</v>
      </c>
      <c r="K239" s="16"/>
      <c r="L239" s="33">
        <f>D239-H239</f>
        <v>14816.780000000494</v>
      </c>
      <c r="M239" s="16"/>
      <c r="N239" s="34">
        <f>IF(H239=0,0,L239/H239)</f>
        <v>-5.3245315487223006E-2</v>
      </c>
      <c r="O239" s="26"/>
      <c r="P239" s="33">
        <f>+P235-P237</f>
        <v>-263457.08999999973</v>
      </c>
      <c r="Q239" s="13"/>
      <c r="R239" s="34">
        <f>IF(P$12=0,0,P239/P$12)</f>
        <v>-0.64138416740813109</v>
      </c>
      <c r="S239" s="13"/>
      <c r="T239" s="33">
        <f>+T235-T237</f>
        <v>-278273.87000000023</v>
      </c>
      <c r="U239" s="13"/>
      <c r="V239" s="34">
        <f>IF(T$12=0,0,T239/T$12)</f>
        <v>-0.63144774815889548</v>
      </c>
      <c r="W239" s="16"/>
      <c r="X239" s="33">
        <f>P239-T239</f>
        <v>14816.780000000494</v>
      </c>
      <c r="Y239" s="16"/>
      <c r="Z239" s="34">
        <f>IF(T239=0,0,X239/T239)</f>
        <v>-5.3245315487223006E-2</v>
      </c>
    </row>
    <row r="240" spans="1:26" ht="15.75" thickTop="1" x14ac:dyDescent="0.25">
      <c r="A240" s="9"/>
      <c r="B240" s="9"/>
      <c r="C240" s="9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x14ac:dyDescent="0.25">
      <c r="A241" s="9"/>
      <c r="B241" s="9"/>
      <c r="C241" s="9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s="23" customFormat="1" ht="15.75" thickBot="1" x14ac:dyDescent="0.3">
      <c r="A242" s="10"/>
      <c r="B242" s="25" t="s">
        <v>5</v>
      </c>
      <c r="C242" s="25"/>
      <c r="D242" s="31">
        <f>SUM(D239:D241)</f>
        <v>-263457.08999999973</v>
      </c>
      <c r="E242" s="13"/>
      <c r="F242" s="30">
        <f>IF(D$12=0,0,D242/D$12)</f>
        <v>-0.64138416740813109</v>
      </c>
      <c r="G242" s="13"/>
      <c r="H242" s="31">
        <f>SUM(H239:H241)</f>
        <v>-278273.87000000023</v>
      </c>
      <c r="I242" s="13"/>
      <c r="J242" s="30">
        <f>IF(H$12=0,0,H242/H$12)</f>
        <v>-0.63144774815889548</v>
      </c>
      <c r="K242" s="16"/>
      <c r="L242" s="31">
        <f>+D242-H242</f>
        <v>14816.780000000494</v>
      </c>
      <c r="M242" s="16"/>
      <c r="N242" s="30">
        <f>IF(H242=0,0,L242/H242)</f>
        <v>-5.3245315487223006E-2</v>
      </c>
      <c r="O242" s="26"/>
      <c r="P242" s="31">
        <f>SUM(P239:P241)</f>
        <v>-263457.08999999973</v>
      </c>
      <c r="Q242" s="13"/>
      <c r="R242" s="30">
        <f>IF(P$12=0,0,P242/P$12)</f>
        <v>-0.64138416740813109</v>
      </c>
      <c r="S242" s="13"/>
      <c r="T242" s="31">
        <f>SUM(T239:T241)</f>
        <v>-278273.87000000023</v>
      </c>
      <c r="U242" s="13"/>
      <c r="V242" s="30">
        <f>IF(T$12=0,0,T242/T$12)</f>
        <v>-0.63144774815889548</v>
      </c>
      <c r="W242" s="16"/>
      <c r="X242" s="31">
        <f>+P242-T242</f>
        <v>14816.780000000494</v>
      </c>
      <c r="Y242" s="16"/>
      <c r="Z242" s="30">
        <f>IF(T242=0,0,X242/T242)</f>
        <v>-5.3245315487223006E-2</v>
      </c>
    </row>
    <row r="243" spans="1:26" ht="15.75" thickTop="1" x14ac:dyDescent="0.25">
      <c r="A243" s="9"/>
      <c r="C243" s="9"/>
      <c r="D243" s="18"/>
      <c r="E243" s="18"/>
      <c r="G243" s="18"/>
      <c r="H243" s="18"/>
      <c r="I243" s="18"/>
      <c r="J243" s="43"/>
      <c r="K243" s="18"/>
      <c r="L243" s="18"/>
      <c r="M243" s="18"/>
      <c r="P243" s="18"/>
      <c r="Q243" s="18"/>
      <c r="R243" s="43"/>
      <c r="S243" s="18"/>
      <c r="T243" s="18"/>
      <c r="U243" s="18"/>
      <c r="V243" s="43"/>
      <c r="W243" s="18"/>
      <c r="X243" s="18"/>
    </row>
    <row r="244" spans="1:26" x14ac:dyDescent="0.25">
      <c r="A244" s="9"/>
      <c r="B244" s="56">
        <v>43726.681263113423</v>
      </c>
      <c r="D244" s="18"/>
      <c r="E244" s="18"/>
      <c r="G244" s="18"/>
      <c r="H244" s="18"/>
      <c r="I244" s="18"/>
      <c r="J244" s="43"/>
      <c r="K244" s="18"/>
      <c r="L244" s="18"/>
      <c r="M244" s="18"/>
      <c r="P244" s="18"/>
      <c r="Q244" s="18"/>
      <c r="R244" s="43"/>
      <c r="S244" s="18"/>
      <c r="T244" s="18"/>
      <c r="U244" s="18"/>
      <c r="V244" s="43"/>
      <c r="W244" s="18"/>
      <c r="X244" s="18"/>
    </row>
    <row r="245" spans="1:26" x14ac:dyDescent="0.25">
      <c r="A245" s="9"/>
      <c r="B245" s="53" t="s">
        <v>313</v>
      </c>
      <c r="D245" s="18"/>
      <c r="E245" s="18"/>
      <c r="G245" s="18"/>
      <c r="H245" s="18"/>
      <c r="I245" s="18"/>
      <c r="J245" s="43"/>
      <c r="K245" s="18"/>
      <c r="L245" s="18"/>
      <c r="M245" s="18"/>
      <c r="P245" s="18"/>
      <c r="Q245" s="18"/>
      <c r="R245" s="43"/>
      <c r="S245" s="18"/>
      <c r="T245" s="18"/>
      <c r="U245" s="18"/>
      <c r="V245" s="43"/>
      <c r="W245" s="18"/>
      <c r="X245" s="18"/>
    </row>
    <row r="246" spans="1:26" x14ac:dyDescent="0.25">
      <c r="A246" s="9"/>
      <c r="B246" s="59"/>
      <c r="D246" s="18"/>
      <c r="E246" s="18"/>
      <c r="G246" s="18"/>
      <c r="H246" s="18"/>
      <c r="I246" s="18"/>
      <c r="J246" s="43"/>
      <c r="K246" s="18"/>
      <c r="L246" s="18"/>
      <c r="M246" s="18"/>
      <c r="P246" s="18"/>
      <c r="Q246" s="18"/>
      <c r="R246" s="43"/>
      <c r="S246" s="18"/>
      <c r="T246" s="18"/>
      <c r="U246" s="18"/>
      <c r="V246" s="43"/>
      <c r="W246" s="18"/>
      <c r="X246" s="18"/>
    </row>
    <row r="247" spans="1:26" x14ac:dyDescent="0.25">
      <c r="D247" s="18"/>
      <c r="E247" s="18"/>
      <c r="G247" s="18"/>
      <c r="H247" s="18"/>
      <c r="I247" s="18"/>
      <c r="J247" s="43"/>
      <c r="K247" s="18"/>
      <c r="L247" s="18"/>
      <c r="M247" s="18"/>
      <c r="P247" s="18"/>
      <c r="Q247" s="18"/>
      <c r="R247" s="43"/>
      <c r="S247" s="18"/>
      <c r="T247" s="18"/>
      <c r="U247" s="18"/>
      <c r="V247" s="43"/>
      <c r="W247" s="18"/>
      <c r="X24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308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351938.38</v>
      </c>
      <c r="E12" s="4"/>
      <c r="F12" s="12"/>
      <c r="G12" s="4"/>
      <c r="H12" s="4">
        <f>SUM(OSRRefH13x_0)</f>
        <v>381760.46999999986</v>
      </c>
      <c r="I12" s="4"/>
      <c r="J12" s="12"/>
      <c r="K12" s="4"/>
      <c r="L12" s="4">
        <f t="shared" ref="L12:L89" si="0">+D12-H12</f>
        <v>-29822.089999999851</v>
      </c>
      <c r="M12" s="4"/>
      <c r="N12" s="12">
        <f t="shared" ref="N12:N89" si="1">IF(H12=0,0,L12/H12)</f>
        <v>-7.8117281236582362E-2</v>
      </c>
      <c r="O12" s="10"/>
      <c r="P12" s="4">
        <f>SUM(OSRRefP13x_0)</f>
        <v>351938.38</v>
      </c>
      <c r="Q12" s="4"/>
      <c r="R12" s="12"/>
      <c r="S12" s="4"/>
      <c r="T12" s="4">
        <f>SUM(OSRRefT13x_0)</f>
        <v>381760.46999999986</v>
      </c>
      <c r="U12" s="4"/>
      <c r="V12" s="12"/>
      <c r="W12" s="4"/>
      <c r="X12" s="4">
        <f t="shared" ref="X12:X89" si="2">+P12-T12</f>
        <v>-29822.089999999851</v>
      </c>
      <c r="Y12" s="4"/>
      <c r="Z12" s="12">
        <f t="shared" ref="Z12:Z89" si="3">IF(T12=0,0,X12/T12)</f>
        <v>-7.8117281236582362E-2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--36312.25</f>
        <v>36312.25</v>
      </c>
      <c r="E13" s="2"/>
      <c r="F13" s="22"/>
      <c r="G13" s="2"/>
      <c r="H13" s="2">
        <f>--73264.63</f>
        <v>73264.63</v>
      </c>
      <c r="I13" s="2"/>
      <c r="J13" s="22"/>
      <c r="K13" s="2"/>
      <c r="L13" s="2">
        <f t="shared" si="0"/>
        <v>-36952.380000000005</v>
      </c>
      <c r="M13" s="2"/>
      <c r="N13" s="22">
        <f t="shared" si="1"/>
        <v>-0.50436861552429868</v>
      </c>
      <c r="O13" s="11"/>
      <c r="P13" s="2">
        <f>--36312.25</f>
        <v>36312.25</v>
      </c>
      <c r="Q13" s="2"/>
      <c r="R13" s="22"/>
      <c r="S13" s="2"/>
      <c r="T13" s="2">
        <f>--73264.63</f>
        <v>73264.63</v>
      </c>
      <c r="U13" s="2"/>
      <c r="V13" s="22"/>
      <c r="W13" s="2"/>
      <c r="X13" s="2">
        <f t="shared" si="2"/>
        <v>-36952.380000000005</v>
      </c>
      <c r="Y13" s="2"/>
      <c r="Z13" s="22">
        <f t="shared" si="3"/>
        <v>-0.50436861552429868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--21794.81</f>
        <v>21794.81</v>
      </c>
      <c r="E14" s="2"/>
      <c r="F14" s="22"/>
      <c r="G14" s="2"/>
      <c r="H14" s="2">
        <f>--26581.58</f>
        <v>26581.58</v>
      </c>
      <c r="I14" s="2"/>
      <c r="J14" s="22"/>
      <c r="K14" s="2"/>
      <c r="L14" s="2">
        <f t="shared" si="0"/>
        <v>-4786.7700000000004</v>
      </c>
      <c r="M14" s="2"/>
      <c r="N14" s="22">
        <f t="shared" si="1"/>
        <v>-0.18007846034735331</v>
      </c>
      <c r="O14" s="11"/>
      <c r="P14" s="2">
        <f>--21794.81</f>
        <v>21794.81</v>
      </c>
      <c r="Q14" s="2"/>
      <c r="R14" s="22"/>
      <c r="S14" s="2"/>
      <c r="T14" s="2">
        <f>--26581.58</f>
        <v>26581.58</v>
      </c>
      <c r="U14" s="2"/>
      <c r="V14" s="22"/>
      <c r="W14" s="2"/>
      <c r="X14" s="2">
        <f t="shared" si="2"/>
        <v>-4786.7700000000004</v>
      </c>
      <c r="Y14" s="2"/>
      <c r="Z14" s="22">
        <f t="shared" si="3"/>
        <v>-0.18007846034735331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>
        <f>--484</f>
        <v>484</v>
      </c>
      <c r="I15" s="2"/>
      <c r="J15" s="22"/>
      <c r="K15" s="2"/>
      <c r="L15" s="2">
        <f t="shared" si="0"/>
        <v>-50.019999999999982</v>
      </c>
      <c r="M15" s="2"/>
      <c r="N15" s="22">
        <f t="shared" si="1"/>
        <v>-0.10334710743801649</v>
      </c>
      <c r="O15" s="11"/>
      <c r="P15" s="2">
        <f>--433.98</f>
        <v>433.98</v>
      </c>
      <c r="Q15" s="2"/>
      <c r="R15" s="22"/>
      <c r="S15" s="2"/>
      <c r="T15" s="2">
        <f>--484</f>
        <v>484</v>
      </c>
      <c r="U15" s="2"/>
      <c r="V15" s="22"/>
      <c r="W15" s="2"/>
      <c r="X15" s="2">
        <f t="shared" si="2"/>
        <v>-50.019999999999982</v>
      </c>
      <c r="Y15" s="2"/>
      <c r="Z15" s="22">
        <f t="shared" si="3"/>
        <v>-0.10334710743801649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>
        <f>--143</f>
        <v>143</v>
      </c>
      <c r="I16" s="2"/>
      <c r="J16" s="22"/>
      <c r="K16" s="2"/>
      <c r="L16" s="2">
        <f t="shared" si="0"/>
        <v>-9.6500000000000057</v>
      </c>
      <c r="M16" s="2"/>
      <c r="N16" s="22">
        <f t="shared" si="1"/>
        <v>-6.7482517482517518E-2</v>
      </c>
      <c r="O16" s="11"/>
      <c r="P16" s="2">
        <f>--133.35</f>
        <v>133.35</v>
      </c>
      <c r="Q16" s="2"/>
      <c r="R16" s="22"/>
      <c r="S16" s="2"/>
      <c r="T16" s="2">
        <f>--143</f>
        <v>143</v>
      </c>
      <c r="U16" s="2"/>
      <c r="V16" s="22"/>
      <c r="W16" s="2"/>
      <c r="X16" s="2">
        <f t="shared" si="2"/>
        <v>-9.6500000000000057</v>
      </c>
      <c r="Y16" s="2"/>
      <c r="Z16" s="22">
        <f t="shared" si="3"/>
        <v>-6.7482517482517518E-2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>
        <f>--53.96</f>
        <v>53.96</v>
      </c>
      <c r="I17" s="2"/>
      <c r="J17" s="22"/>
      <c r="K17" s="2"/>
      <c r="L17" s="2">
        <f t="shared" si="0"/>
        <v>-14.009999999999998</v>
      </c>
      <c r="M17" s="2"/>
      <c r="N17" s="22">
        <f t="shared" si="1"/>
        <v>-0.25963676797627866</v>
      </c>
      <c r="O17" s="11"/>
      <c r="P17" s="2">
        <f>--39.95</f>
        <v>39.950000000000003</v>
      </c>
      <c r="Q17" s="2"/>
      <c r="R17" s="22"/>
      <c r="S17" s="2"/>
      <c r="T17" s="2">
        <f>--53.96</f>
        <v>53.96</v>
      </c>
      <c r="U17" s="2"/>
      <c r="V17" s="22"/>
      <c r="W17" s="2"/>
      <c r="X17" s="2">
        <f t="shared" si="2"/>
        <v>-14.009999999999998</v>
      </c>
      <c r="Y17" s="2"/>
      <c r="Z17" s="22">
        <f t="shared" si="3"/>
        <v>-0.25963676797627866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>
        <f>--200.49</f>
        <v>200.49</v>
      </c>
      <c r="I18" s="2"/>
      <c r="J18" s="22"/>
      <c r="K18" s="2"/>
      <c r="L18" s="2">
        <f t="shared" si="0"/>
        <v>50.16</v>
      </c>
      <c r="M18" s="2"/>
      <c r="N18" s="22">
        <f t="shared" si="1"/>
        <v>0.25018704174771805</v>
      </c>
      <c r="O18" s="11"/>
      <c r="P18" s="2">
        <f>--250.65</f>
        <v>250.65</v>
      </c>
      <c r="Q18" s="2"/>
      <c r="R18" s="22"/>
      <c r="S18" s="2"/>
      <c r="T18" s="2">
        <f>--200.49</f>
        <v>200.49</v>
      </c>
      <c r="U18" s="2"/>
      <c r="V18" s="22"/>
      <c r="W18" s="2"/>
      <c r="X18" s="2">
        <f t="shared" si="2"/>
        <v>50.16</v>
      </c>
      <c r="Y18" s="2"/>
      <c r="Z18" s="22">
        <f t="shared" si="3"/>
        <v>0.25018704174771805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--4.47</f>
        <v>4.47</v>
      </c>
      <c r="E19" s="2"/>
      <c r="F19" s="22"/>
      <c r="G19" s="2"/>
      <c r="H19" s="2">
        <f>--264.61</f>
        <v>264.61</v>
      </c>
      <c r="I19" s="2"/>
      <c r="J19" s="22"/>
      <c r="K19" s="2"/>
      <c r="L19" s="2">
        <f t="shared" si="0"/>
        <v>-260.14</v>
      </c>
      <c r="M19" s="2"/>
      <c r="N19" s="22">
        <f t="shared" si="1"/>
        <v>-0.98310721439099036</v>
      </c>
      <c r="O19" s="11"/>
      <c r="P19" s="2">
        <f>--4.47</f>
        <v>4.47</v>
      </c>
      <c r="Q19" s="2"/>
      <c r="R19" s="22"/>
      <c r="S19" s="2"/>
      <c r="T19" s="2">
        <f>--264.61</f>
        <v>264.61</v>
      </c>
      <c r="U19" s="2"/>
      <c r="V19" s="22"/>
      <c r="W19" s="2"/>
      <c r="X19" s="2">
        <f t="shared" si="2"/>
        <v>-260.14</v>
      </c>
      <c r="Y19" s="2"/>
      <c r="Z19" s="22">
        <f t="shared" si="3"/>
        <v>-0.98310721439099036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--179.29</f>
        <v>179.29</v>
      </c>
      <c r="E20" s="2"/>
      <c r="F20" s="22"/>
      <c r="G20" s="2"/>
      <c r="H20" s="2">
        <f>--479.34</f>
        <v>479.34</v>
      </c>
      <c r="I20" s="2"/>
      <c r="J20" s="22"/>
      <c r="K20" s="2"/>
      <c r="L20" s="2">
        <f t="shared" si="0"/>
        <v>-300.04999999999995</v>
      </c>
      <c r="M20" s="2"/>
      <c r="N20" s="22">
        <f t="shared" si="1"/>
        <v>-0.62596486836066256</v>
      </c>
      <c r="O20" s="11"/>
      <c r="P20" s="2">
        <f>--179.29</f>
        <v>179.29</v>
      </c>
      <c r="Q20" s="2"/>
      <c r="R20" s="22"/>
      <c r="S20" s="2"/>
      <c r="T20" s="2">
        <f>--479.34</f>
        <v>479.34</v>
      </c>
      <c r="U20" s="2"/>
      <c r="V20" s="22"/>
      <c r="W20" s="2"/>
      <c r="X20" s="2">
        <f t="shared" si="2"/>
        <v>-300.04999999999995</v>
      </c>
      <c r="Y20" s="2"/>
      <c r="Z20" s="22">
        <f t="shared" si="3"/>
        <v>-0.62596486836066256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0</f>
        <v>0</v>
      </c>
      <c r="E21" s="2"/>
      <c r="F21" s="22"/>
      <c r="G21" s="2"/>
      <c r="H21" s="2">
        <f>--39.9</f>
        <v>39.9</v>
      </c>
      <c r="I21" s="2"/>
      <c r="J21" s="22"/>
      <c r="K21" s="2"/>
      <c r="L21" s="2">
        <f t="shared" si="0"/>
        <v>-39.9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f>--39.9</f>
        <v>39.9</v>
      </c>
      <c r="U21" s="2"/>
      <c r="V21" s="22"/>
      <c r="W21" s="2"/>
      <c r="X21" s="2">
        <f t="shared" si="2"/>
        <v>-39.9</v>
      </c>
      <c r="Y21" s="2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>
        <f>--619.88</f>
        <v>619.88</v>
      </c>
      <c r="I22" s="2"/>
      <c r="J22" s="22"/>
      <c r="K22" s="2"/>
      <c r="L22" s="2">
        <f t="shared" si="0"/>
        <v>-227.58999999999997</v>
      </c>
      <c r="M22" s="2"/>
      <c r="N22" s="22">
        <f t="shared" si="1"/>
        <v>-0.36715170678195774</v>
      </c>
      <c r="O22" s="11"/>
      <c r="P22" s="2">
        <f>--392.29</f>
        <v>392.29</v>
      </c>
      <c r="Q22" s="2"/>
      <c r="R22" s="22"/>
      <c r="S22" s="2"/>
      <c r="T22" s="2">
        <f>--619.88</f>
        <v>619.88</v>
      </c>
      <c r="U22" s="2"/>
      <c r="V22" s="22"/>
      <c r="W22" s="2"/>
      <c r="X22" s="2">
        <f t="shared" si="2"/>
        <v>-227.58999999999997</v>
      </c>
      <c r="Y22" s="2"/>
      <c r="Z22" s="22">
        <f t="shared" si="3"/>
        <v>-0.36715170678195774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>
        <f>--2074.52</f>
        <v>2074.52</v>
      </c>
      <c r="I23" s="2"/>
      <c r="J23" s="22"/>
      <c r="K23" s="2"/>
      <c r="L23" s="2">
        <f t="shared" si="0"/>
        <v>-139.01</v>
      </c>
      <c r="M23" s="2"/>
      <c r="N23" s="22">
        <f t="shared" si="1"/>
        <v>-6.7008271792993068E-2</v>
      </c>
      <c r="O23" s="11"/>
      <c r="P23" s="2">
        <f>--1935.51</f>
        <v>1935.51</v>
      </c>
      <c r="Q23" s="2"/>
      <c r="R23" s="22"/>
      <c r="S23" s="2"/>
      <c r="T23" s="2">
        <f>--2074.52</f>
        <v>2074.52</v>
      </c>
      <c r="U23" s="2"/>
      <c r="V23" s="22"/>
      <c r="W23" s="2"/>
      <c r="X23" s="2">
        <f t="shared" si="2"/>
        <v>-139.01</v>
      </c>
      <c r="Y23" s="2"/>
      <c r="Z23" s="22">
        <f t="shared" si="3"/>
        <v>-6.7008271792993068E-2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>
        <f>--11922.5</f>
        <v>11922.5</v>
      </c>
      <c r="I24" s="2"/>
      <c r="J24" s="22"/>
      <c r="K24" s="2"/>
      <c r="L24" s="2">
        <f t="shared" si="0"/>
        <v>1227.5</v>
      </c>
      <c r="M24" s="2"/>
      <c r="N24" s="22">
        <f t="shared" si="1"/>
        <v>0.10295659467393584</v>
      </c>
      <c r="O24" s="11"/>
      <c r="P24" s="2">
        <f>--13150</f>
        <v>13150</v>
      </c>
      <c r="Q24" s="2"/>
      <c r="R24" s="22"/>
      <c r="S24" s="2"/>
      <c r="T24" s="2">
        <f>--11922.5</f>
        <v>11922.5</v>
      </c>
      <c r="U24" s="2"/>
      <c r="V24" s="22"/>
      <c r="W24" s="2"/>
      <c r="X24" s="2">
        <f t="shared" si="2"/>
        <v>1227.5</v>
      </c>
      <c r="Y24" s="2"/>
      <c r="Z24" s="22">
        <f t="shared" si="3"/>
        <v>0.10295659467393584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>
        <f>--2013.49</f>
        <v>2013.49</v>
      </c>
      <c r="I25" s="2"/>
      <c r="J25" s="22"/>
      <c r="K25" s="2"/>
      <c r="L25" s="2">
        <f t="shared" si="0"/>
        <v>270.66999999999985</v>
      </c>
      <c r="M25" s="2"/>
      <c r="N25" s="22">
        <f t="shared" si="1"/>
        <v>0.13442828124301578</v>
      </c>
      <c r="O25" s="11"/>
      <c r="P25" s="2">
        <f>--2284.16</f>
        <v>2284.16</v>
      </c>
      <c r="Q25" s="2"/>
      <c r="R25" s="22"/>
      <c r="S25" s="2"/>
      <c r="T25" s="2">
        <f>--2013.49</f>
        <v>2013.49</v>
      </c>
      <c r="U25" s="2"/>
      <c r="V25" s="22"/>
      <c r="W25" s="2"/>
      <c r="X25" s="2">
        <f t="shared" si="2"/>
        <v>270.66999999999985</v>
      </c>
      <c r="Y25" s="2"/>
      <c r="Z25" s="22">
        <f t="shared" si="3"/>
        <v>0.13442828124301578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>
        <f>--1.23</f>
        <v>1.23</v>
      </c>
      <c r="I26" s="2"/>
      <c r="J26" s="22"/>
      <c r="K26" s="2"/>
      <c r="L26" s="2">
        <f t="shared" si="0"/>
        <v>0.29000000000000004</v>
      </c>
      <c r="M26" s="2"/>
      <c r="N26" s="22">
        <f t="shared" si="1"/>
        <v>0.23577235772357727</v>
      </c>
      <c r="O26" s="11"/>
      <c r="P26" s="2">
        <f>--1.52</f>
        <v>1.52</v>
      </c>
      <c r="Q26" s="2"/>
      <c r="R26" s="22"/>
      <c r="S26" s="2"/>
      <c r="T26" s="2">
        <f>--1.23</f>
        <v>1.23</v>
      </c>
      <c r="U26" s="2"/>
      <c r="V26" s="22"/>
      <c r="W26" s="2"/>
      <c r="X26" s="2">
        <f t="shared" si="2"/>
        <v>0.29000000000000004</v>
      </c>
      <c r="Y26" s="2"/>
      <c r="Z26" s="22">
        <f t="shared" si="3"/>
        <v>0.23577235772357727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--1.47</f>
        <v>1.47</v>
      </c>
      <c r="E27" s="2"/>
      <c r="F27" s="22"/>
      <c r="G27" s="2"/>
      <c r="H27" s="2">
        <f>--0.22</f>
        <v>0.22</v>
      </c>
      <c r="I27" s="2"/>
      <c r="J27" s="22"/>
      <c r="K27" s="2"/>
      <c r="L27" s="2">
        <f t="shared" si="0"/>
        <v>1.25</v>
      </c>
      <c r="M27" s="2"/>
      <c r="N27" s="22">
        <f t="shared" si="1"/>
        <v>5.6818181818181817</v>
      </c>
      <c r="O27" s="11"/>
      <c r="P27" s="2">
        <f>--1.47</f>
        <v>1.47</v>
      </c>
      <c r="Q27" s="2"/>
      <c r="R27" s="22"/>
      <c r="S27" s="2"/>
      <c r="T27" s="2">
        <f>--0.22</f>
        <v>0.22</v>
      </c>
      <c r="U27" s="2"/>
      <c r="V27" s="22"/>
      <c r="W27" s="2"/>
      <c r="X27" s="2">
        <f t="shared" si="2"/>
        <v>1.25</v>
      </c>
      <c r="Y27" s="2"/>
      <c r="Z27" s="22">
        <f t="shared" si="3"/>
        <v>5.6818181818181817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>
        <f>--0.68</f>
        <v>0.68</v>
      </c>
      <c r="I28" s="2"/>
      <c r="J28" s="22"/>
      <c r="K28" s="2"/>
      <c r="L28" s="2">
        <f t="shared" si="0"/>
        <v>2.4899999999999998</v>
      </c>
      <c r="M28" s="2"/>
      <c r="N28" s="22">
        <f t="shared" si="1"/>
        <v>3.6617647058823524</v>
      </c>
      <c r="O28" s="11"/>
      <c r="P28" s="2">
        <f>--3.17</f>
        <v>3.17</v>
      </c>
      <c r="Q28" s="2"/>
      <c r="R28" s="22"/>
      <c r="S28" s="2"/>
      <c r="T28" s="2">
        <f>--0.68</f>
        <v>0.68</v>
      </c>
      <c r="U28" s="2"/>
      <c r="V28" s="22"/>
      <c r="W28" s="2"/>
      <c r="X28" s="2">
        <f t="shared" si="2"/>
        <v>2.4899999999999998</v>
      </c>
      <c r="Y28" s="2"/>
      <c r="Z28" s="22">
        <f t="shared" si="3"/>
        <v>3.6617647058823524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--34.74</f>
        <v>34.74</v>
      </c>
      <c r="E29" s="2"/>
      <c r="F29" s="22"/>
      <c r="G29" s="2"/>
      <c r="H29" s="2">
        <f>--41.76</f>
        <v>41.76</v>
      </c>
      <c r="I29" s="2"/>
      <c r="J29" s="22"/>
      <c r="K29" s="2"/>
      <c r="L29" s="2">
        <f t="shared" si="0"/>
        <v>-7.019999999999996</v>
      </c>
      <c r="M29" s="2"/>
      <c r="N29" s="22">
        <f t="shared" si="1"/>
        <v>-0.16810344827586199</v>
      </c>
      <c r="O29" s="11"/>
      <c r="P29" s="2">
        <f>--34.74</f>
        <v>34.74</v>
      </c>
      <c r="Q29" s="2"/>
      <c r="R29" s="22"/>
      <c r="S29" s="2"/>
      <c r="T29" s="2">
        <f>--41.76</f>
        <v>41.76</v>
      </c>
      <c r="U29" s="2"/>
      <c r="V29" s="22"/>
      <c r="W29" s="2"/>
      <c r="X29" s="2">
        <f t="shared" si="2"/>
        <v>-7.019999999999996</v>
      </c>
      <c r="Y29" s="2"/>
      <c r="Z29" s="22">
        <f t="shared" si="3"/>
        <v>-0.16810344827586199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>
        <f>--48.05</f>
        <v>48.05</v>
      </c>
      <c r="I30" s="2"/>
      <c r="J30" s="22"/>
      <c r="K30" s="2"/>
      <c r="L30" s="2">
        <f t="shared" si="0"/>
        <v>-42.08</v>
      </c>
      <c r="M30" s="2"/>
      <c r="N30" s="22">
        <f t="shared" si="1"/>
        <v>-0.87575442247658686</v>
      </c>
      <c r="O30" s="11"/>
      <c r="P30" s="2">
        <f>--5.97</f>
        <v>5.97</v>
      </c>
      <c r="Q30" s="2"/>
      <c r="R30" s="22"/>
      <c r="S30" s="2"/>
      <c r="T30" s="2">
        <f>--48.05</f>
        <v>48.05</v>
      </c>
      <c r="U30" s="2"/>
      <c r="V30" s="22"/>
      <c r="W30" s="2"/>
      <c r="X30" s="2">
        <f t="shared" si="2"/>
        <v>-42.08</v>
      </c>
      <c r="Y30" s="2"/>
      <c r="Z30" s="22">
        <f t="shared" si="3"/>
        <v>-0.87575442247658686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>
        <f>--5.31</f>
        <v>5.31</v>
      </c>
      <c r="I31" s="2"/>
      <c r="J31" s="22"/>
      <c r="K31" s="2"/>
      <c r="L31" s="2">
        <f t="shared" si="0"/>
        <v>-1.9999999999999574E-2</v>
      </c>
      <c r="M31" s="2"/>
      <c r="N31" s="22">
        <f t="shared" si="1"/>
        <v>-3.7664783427494492E-3</v>
      </c>
      <c r="O31" s="11"/>
      <c r="P31" s="2">
        <f>--5.29</f>
        <v>5.29</v>
      </c>
      <c r="Q31" s="2"/>
      <c r="R31" s="22"/>
      <c r="S31" s="2"/>
      <c r="T31" s="2">
        <f>--5.31</f>
        <v>5.31</v>
      </c>
      <c r="U31" s="2"/>
      <c r="V31" s="22"/>
      <c r="W31" s="2"/>
      <c r="X31" s="2">
        <f t="shared" si="2"/>
        <v>-1.9999999999999574E-2</v>
      </c>
      <c r="Y31" s="2"/>
      <c r="Z31" s="22">
        <f t="shared" si="3"/>
        <v>-3.7664783427494492E-3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>
        <f>--145971.66</f>
        <v>145971.66</v>
      </c>
      <c r="I32" s="2"/>
      <c r="J32" s="22"/>
      <c r="K32" s="2"/>
      <c r="L32" s="2">
        <f t="shared" si="0"/>
        <v>24340.359999999986</v>
      </c>
      <c r="M32" s="2"/>
      <c r="N32" s="22">
        <f t="shared" si="1"/>
        <v>0.16674716174358767</v>
      </c>
      <c r="O32" s="11"/>
      <c r="P32" s="2">
        <f>--170312.02</f>
        <v>170312.02</v>
      </c>
      <c r="Q32" s="2"/>
      <c r="R32" s="22"/>
      <c r="S32" s="2"/>
      <c r="T32" s="2">
        <f>--145971.66</f>
        <v>145971.66</v>
      </c>
      <c r="U32" s="2"/>
      <c r="V32" s="22"/>
      <c r="W32" s="2"/>
      <c r="X32" s="2">
        <f t="shared" si="2"/>
        <v>24340.359999999986</v>
      </c>
      <c r="Y32" s="2"/>
      <c r="Z32" s="22">
        <f t="shared" si="3"/>
        <v>0.16674716174358767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>
        <f>--35178.08</f>
        <v>35178.080000000002</v>
      </c>
      <c r="I33" s="2"/>
      <c r="J33" s="22"/>
      <c r="K33" s="2"/>
      <c r="L33" s="2">
        <f t="shared" si="0"/>
        <v>-4136.4900000000016</v>
      </c>
      <c r="M33" s="2"/>
      <c r="N33" s="22">
        <f t="shared" si="1"/>
        <v>-0.11758714517676921</v>
      </c>
      <c r="O33" s="11"/>
      <c r="P33" s="2">
        <f>--31041.59</f>
        <v>31041.59</v>
      </c>
      <c r="Q33" s="2"/>
      <c r="R33" s="22"/>
      <c r="S33" s="2"/>
      <c r="T33" s="2">
        <f>--35178.08</f>
        <v>35178.080000000002</v>
      </c>
      <c r="U33" s="2"/>
      <c r="V33" s="22"/>
      <c r="W33" s="2"/>
      <c r="X33" s="2">
        <f t="shared" si="2"/>
        <v>-4136.4900000000016</v>
      </c>
      <c r="Y33" s="2"/>
      <c r="Z33" s="22">
        <f t="shared" si="3"/>
        <v>-0.11758714517676921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>
        <f>--13180.4</f>
        <v>13180.4</v>
      </c>
      <c r="I34" s="2"/>
      <c r="J34" s="22"/>
      <c r="K34" s="2"/>
      <c r="L34" s="2">
        <f t="shared" si="0"/>
        <v>2412.6499999999996</v>
      </c>
      <c r="M34" s="2"/>
      <c r="N34" s="22">
        <f t="shared" si="1"/>
        <v>0.1830483141634548</v>
      </c>
      <c r="O34" s="11"/>
      <c r="P34" s="2">
        <f>--15593.05</f>
        <v>15593.05</v>
      </c>
      <c r="Q34" s="2"/>
      <c r="R34" s="22"/>
      <c r="S34" s="2"/>
      <c r="T34" s="2">
        <f>--13180.4</f>
        <v>13180.4</v>
      </c>
      <c r="U34" s="2"/>
      <c r="V34" s="22"/>
      <c r="W34" s="2"/>
      <c r="X34" s="2">
        <f t="shared" si="2"/>
        <v>2412.6499999999996</v>
      </c>
      <c r="Y34" s="2"/>
      <c r="Z34" s="22">
        <f t="shared" si="3"/>
        <v>0.1830483141634548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>
        <f>--210.22</f>
        <v>210.22</v>
      </c>
      <c r="I35" s="2"/>
      <c r="J35" s="22"/>
      <c r="K35" s="2"/>
      <c r="L35" s="2">
        <f t="shared" si="0"/>
        <v>-153.82</v>
      </c>
      <c r="M35" s="2"/>
      <c r="N35" s="22">
        <f t="shared" si="1"/>
        <v>-0.73170963752259532</v>
      </c>
      <c r="O35" s="11"/>
      <c r="P35" s="2">
        <f>--56.4</f>
        <v>56.4</v>
      </c>
      <c r="Q35" s="2"/>
      <c r="R35" s="22"/>
      <c r="S35" s="2"/>
      <c r="T35" s="2">
        <f>--210.22</f>
        <v>210.22</v>
      </c>
      <c r="U35" s="2"/>
      <c r="V35" s="22"/>
      <c r="W35" s="2"/>
      <c r="X35" s="2">
        <f t="shared" si="2"/>
        <v>-153.82</v>
      </c>
      <c r="Y35" s="2"/>
      <c r="Z35" s="22">
        <f t="shared" si="3"/>
        <v>-0.73170963752259532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>
        <f>--3757.84</f>
        <v>3757.84</v>
      </c>
      <c r="I36" s="2"/>
      <c r="J36" s="22"/>
      <c r="K36" s="2"/>
      <c r="L36" s="2">
        <f t="shared" si="0"/>
        <v>-1415.19</v>
      </c>
      <c r="M36" s="2"/>
      <c r="N36" s="22">
        <f t="shared" si="1"/>
        <v>-0.37659666191216229</v>
      </c>
      <c r="O36" s="11"/>
      <c r="P36" s="2">
        <f>--2342.65</f>
        <v>2342.65</v>
      </c>
      <c r="Q36" s="2"/>
      <c r="R36" s="22"/>
      <c r="S36" s="2"/>
      <c r="T36" s="2">
        <f>--3757.84</f>
        <v>3757.84</v>
      </c>
      <c r="U36" s="2"/>
      <c r="V36" s="22"/>
      <c r="W36" s="2"/>
      <c r="X36" s="2">
        <f t="shared" si="2"/>
        <v>-1415.19</v>
      </c>
      <c r="Y36" s="2"/>
      <c r="Z36" s="22">
        <f t="shared" si="3"/>
        <v>-0.37659666191216229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>
        <f>--25309.57</f>
        <v>25309.57</v>
      </c>
      <c r="I37" s="2"/>
      <c r="J37" s="22"/>
      <c r="K37" s="2"/>
      <c r="L37" s="2">
        <f t="shared" si="0"/>
        <v>-5888.8499999999985</v>
      </c>
      <c r="M37" s="2"/>
      <c r="N37" s="22">
        <f t="shared" si="1"/>
        <v>-0.23267285852742653</v>
      </c>
      <c r="O37" s="11"/>
      <c r="P37" s="2">
        <f>--19420.72</f>
        <v>19420.72</v>
      </c>
      <c r="Q37" s="2"/>
      <c r="R37" s="22"/>
      <c r="S37" s="2"/>
      <c r="T37" s="2">
        <f>--25309.57</f>
        <v>25309.57</v>
      </c>
      <c r="U37" s="2"/>
      <c r="V37" s="22"/>
      <c r="W37" s="2"/>
      <c r="X37" s="2">
        <f t="shared" si="2"/>
        <v>-5888.8499999999985</v>
      </c>
      <c r="Y37" s="2"/>
      <c r="Z37" s="22">
        <f t="shared" si="3"/>
        <v>-0.23267285852742653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>
        <f>--49.99</f>
        <v>49.99</v>
      </c>
      <c r="I38" s="2"/>
      <c r="J38" s="22"/>
      <c r="K38" s="2"/>
      <c r="L38" s="2">
        <f t="shared" si="0"/>
        <v>-9.990000000000002</v>
      </c>
      <c r="M38" s="2"/>
      <c r="N38" s="22">
        <f t="shared" si="1"/>
        <v>-0.19983996799359874</v>
      </c>
      <c r="O38" s="11"/>
      <c r="P38" s="2">
        <f>--40</f>
        <v>40</v>
      </c>
      <c r="Q38" s="2"/>
      <c r="R38" s="22"/>
      <c r="S38" s="2"/>
      <c r="T38" s="2">
        <f>--49.99</f>
        <v>49.99</v>
      </c>
      <c r="U38" s="2"/>
      <c r="V38" s="22"/>
      <c r="W38" s="2"/>
      <c r="X38" s="2">
        <f t="shared" si="2"/>
        <v>-9.990000000000002</v>
      </c>
      <c r="Y38" s="2"/>
      <c r="Z38" s="22">
        <f t="shared" si="3"/>
        <v>-0.19983996799359874</v>
      </c>
    </row>
    <row r="39" spans="1:26" s="24" customFormat="1" hidden="1" outlineLevel="1" x14ac:dyDescent="0.25">
      <c r="A39" s="50"/>
      <c r="B39" s="11" t="str">
        <f>CONCATENATE("          ", "4081", " - ", "TAXABLE SALES-ELECTRONICS")</f>
        <v xml:space="preserve">          4081 - TAXABLE SALES-ELECTRONICS</v>
      </c>
      <c r="C39" s="11"/>
      <c r="D39" s="2">
        <f>--7.98</f>
        <v>7.98</v>
      </c>
      <c r="E39" s="2"/>
      <c r="F39" s="22"/>
      <c r="G39" s="2"/>
      <c r="H39" s="2">
        <f>--2.99</f>
        <v>2.99</v>
      </c>
      <c r="I39" s="2"/>
      <c r="J39" s="22"/>
      <c r="K39" s="2"/>
      <c r="L39" s="2">
        <f t="shared" si="0"/>
        <v>4.99</v>
      </c>
      <c r="M39" s="2"/>
      <c r="N39" s="22">
        <f t="shared" si="1"/>
        <v>1.6688963210702341</v>
      </c>
      <c r="O39" s="11"/>
      <c r="P39" s="2">
        <f>--7.98</f>
        <v>7.98</v>
      </c>
      <c r="Q39" s="2"/>
      <c r="R39" s="22"/>
      <c r="S39" s="2"/>
      <c r="T39" s="2">
        <f>--2.99</f>
        <v>2.99</v>
      </c>
      <c r="U39" s="2"/>
      <c r="V39" s="22"/>
      <c r="W39" s="2"/>
      <c r="X39" s="2">
        <f t="shared" si="2"/>
        <v>4.99</v>
      </c>
      <c r="Y39" s="2"/>
      <c r="Z39" s="22">
        <f t="shared" si="3"/>
        <v>1.6688963210702341</v>
      </c>
    </row>
    <row r="40" spans="1:26" s="24" customFormat="1" hidden="1" outlineLevel="1" x14ac:dyDescent="0.25">
      <c r="A40" s="50"/>
      <c r="B40" s="11" t="str">
        <f>CONCATENATE("          ", "4082", " - ", "TAXABLE SALES-COMPUTER HARDWAR")</f>
        <v xml:space="preserve">          4082 - TAXABLE SALES-COMPUTER HARDWAR</v>
      </c>
      <c r="C40" s="11"/>
      <c r="D40" s="2">
        <f>--19</f>
        <v>19</v>
      </c>
      <c r="E40" s="2"/>
      <c r="F40" s="22"/>
      <c r="G40" s="2"/>
      <c r="H40" s="2">
        <f>0</f>
        <v>0</v>
      </c>
      <c r="I40" s="2"/>
      <c r="J40" s="22"/>
      <c r="K40" s="2"/>
      <c r="L40" s="2">
        <f t="shared" si="0"/>
        <v>19</v>
      </c>
      <c r="M40" s="2"/>
      <c r="N40" s="22">
        <f t="shared" si="1"/>
        <v>0</v>
      </c>
      <c r="O40" s="11"/>
      <c r="P40" s="2">
        <f>--19</f>
        <v>19</v>
      </c>
      <c r="Q40" s="2"/>
      <c r="R40" s="22"/>
      <c r="S40" s="2"/>
      <c r="T40" s="2">
        <f>0</f>
        <v>0</v>
      </c>
      <c r="U40" s="2"/>
      <c r="V40" s="22"/>
      <c r="W40" s="2"/>
      <c r="X40" s="2">
        <f t="shared" si="2"/>
        <v>19</v>
      </c>
      <c r="Y40" s="2"/>
      <c r="Z40" s="22">
        <f t="shared" si="3"/>
        <v>0</v>
      </c>
    </row>
    <row r="41" spans="1:26" s="24" customFormat="1" hidden="1" outlineLevel="1" x14ac:dyDescent="0.25">
      <c r="A41" s="50"/>
      <c r="B41" s="11" t="str">
        <f>CONCATENATE("          ", "4083", " - ", "TAXABLE SALES-COMPUTER EQUIPME")</f>
        <v xml:space="preserve">          4083 - TAXABLE SALES-COMPUTER EQUIPME</v>
      </c>
      <c r="C41" s="11"/>
      <c r="D41" s="2">
        <f>0</f>
        <v>0</v>
      </c>
      <c r="E41" s="2"/>
      <c r="F41" s="22"/>
      <c r="G41" s="2"/>
      <c r="H41" s="2">
        <f>--19.98</f>
        <v>19.98</v>
      </c>
      <c r="I41" s="2"/>
      <c r="J41" s="22"/>
      <c r="K41" s="2"/>
      <c r="L41" s="2">
        <f t="shared" si="0"/>
        <v>-19.98</v>
      </c>
      <c r="M41" s="2"/>
      <c r="N41" s="22">
        <f t="shared" si="1"/>
        <v>-1</v>
      </c>
      <c r="O41" s="11"/>
      <c r="P41" s="2">
        <f>0</f>
        <v>0</v>
      </c>
      <c r="Q41" s="2"/>
      <c r="R41" s="22"/>
      <c r="S41" s="2"/>
      <c r="T41" s="2">
        <f>--19.98</f>
        <v>19.98</v>
      </c>
      <c r="U41" s="2"/>
      <c r="V41" s="22"/>
      <c r="W41" s="2"/>
      <c r="X41" s="2">
        <f t="shared" si="2"/>
        <v>-19.98</v>
      </c>
      <c r="Y41" s="2"/>
      <c r="Z41" s="22">
        <f t="shared" si="3"/>
        <v>-1</v>
      </c>
    </row>
    <row r="42" spans="1:26" s="24" customFormat="1" hidden="1" outlineLevel="1" x14ac:dyDescent="0.25">
      <c r="A42" s="50"/>
      <c r="B42" s="11" t="str">
        <f>CONCATENATE("          ", "4086", " - ", "TAXABLE SALES-COMPUTER SUPPLIE")</f>
        <v xml:space="preserve">          4086 - TAXABLE SALES-COMPUTER SUPPLIE</v>
      </c>
      <c r="C42" s="11"/>
      <c r="D42" s="2">
        <f>--14.99</f>
        <v>14.99</v>
      </c>
      <c r="E42" s="2"/>
      <c r="F42" s="22"/>
      <c r="G42" s="2"/>
      <c r="H42" s="2">
        <f>--24.98</f>
        <v>24.98</v>
      </c>
      <c r="I42" s="2"/>
      <c r="J42" s="22"/>
      <c r="K42" s="2"/>
      <c r="L42" s="2">
        <f t="shared" si="0"/>
        <v>-9.99</v>
      </c>
      <c r="M42" s="2"/>
      <c r="N42" s="22">
        <f t="shared" si="1"/>
        <v>-0.39991993594875902</v>
      </c>
      <c r="O42" s="11"/>
      <c r="P42" s="2">
        <f>--14.99</f>
        <v>14.99</v>
      </c>
      <c r="Q42" s="2"/>
      <c r="R42" s="22"/>
      <c r="S42" s="2"/>
      <c r="T42" s="2">
        <f>--24.98</f>
        <v>24.98</v>
      </c>
      <c r="U42" s="2"/>
      <c r="V42" s="22"/>
      <c r="W42" s="2"/>
      <c r="X42" s="2">
        <f t="shared" si="2"/>
        <v>-9.99</v>
      </c>
      <c r="Y42" s="2"/>
      <c r="Z42" s="22">
        <f t="shared" si="3"/>
        <v>-0.39991993594875902</v>
      </c>
    </row>
    <row r="43" spans="1:26" s="24" customFormat="1" hidden="1" outlineLevel="1" x14ac:dyDescent="0.25">
      <c r="A43" s="50"/>
      <c r="B43" s="11" t="str">
        <f>CONCATENATE("          ", "4092", " - ", "TAXABLE SALES-GRAD MERCH")</f>
        <v xml:space="preserve">          4092 - TAXABLE SALES-GRAD MERCH</v>
      </c>
      <c r="C43" s="11"/>
      <c r="D43" s="2">
        <f>--2128.63</f>
        <v>2128.63</v>
      </c>
      <c r="E43" s="2"/>
      <c r="F43" s="22"/>
      <c r="G43" s="2"/>
      <c r="H43" s="2">
        <f>--3338.5</f>
        <v>3338.5</v>
      </c>
      <c r="I43" s="2"/>
      <c r="J43" s="22"/>
      <c r="K43" s="2"/>
      <c r="L43" s="2">
        <f t="shared" si="0"/>
        <v>-1209.8699999999999</v>
      </c>
      <c r="M43" s="2"/>
      <c r="N43" s="22">
        <f t="shared" si="1"/>
        <v>-0.36239928111427283</v>
      </c>
      <c r="O43" s="11"/>
      <c r="P43" s="2">
        <f>--2128.63</f>
        <v>2128.63</v>
      </c>
      <c r="Q43" s="2"/>
      <c r="R43" s="22"/>
      <c r="S43" s="2"/>
      <c r="T43" s="2">
        <f>--3338.5</f>
        <v>3338.5</v>
      </c>
      <c r="U43" s="2"/>
      <c r="V43" s="22"/>
      <c r="W43" s="2"/>
      <c r="X43" s="2">
        <f t="shared" si="2"/>
        <v>-1209.8699999999999</v>
      </c>
      <c r="Y43" s="2"/>
      <c r="Z43" s="22">
        <f t="shared" si="3"/>
        <v>-0.36239928111427283</v>
      </c>
    </row>
    <row r="44" spans="1:26" s="24" customFormat="1" hidden="1" outlineLevel="1" x14ac:dyDescent="0.25">
      <c r="A44" s="50"/>
      <c r="B44" s="11" t="str">
        <f>CONCATENATE("          ", "4095", " - ", "TAXABLE SALES-CUSTOMER SERVICE")</f>
        <v xml:space="preserve">          4095 - TAXABLE SALES-CUSTOMER SERVICE</v>
      </c>
      <c r="C44" s="11"/>
      <c r="D44" s="2">
        <f>--46.53</f>
        <v>46.53</v>
      </c>
      <c r="E44" s="2"/>
      <c r="F44" s="22"/>
      <c r="G44" s="2"/>
      <c r="H44" s="2">
        <f>--187.11</f>
        <v>187.11</v>
      </c>
      <c r="I44" s="2"/>
      <c r="J44" s="22"/>
      <c r="K44" s="2"/>
      <c r="L44" s="2">
        <f t="shared" si="0"/>
        <v>-140.58000000000001</v>
      </c>
      <c r="M44" s="2"/>
      <c r="N44" s="22">
        <f t="shared" si="1"/>
        <v>-0.75132275132275128</v>
      </c>
      <c r="O44" s="11"/>
      <c r="P44" s="2">
        <f>--46.53</f>
        <v>46.53</v>
      </c>
      <c r="Q44" s="2"/>
      <c r="R44" s="22"/>
      <c r="S44" s="2"/>
      <c r="T44" s="2">
        <f>--187.11</f>
        <v>187.11</v>
      </c>
      <c r="U44" s="2"/>
      <c r="V44" s="22"/>
      <c r="W44" s="2"/>
      <c r="X44" s="2">
        <f t="shared" si="2"/>
        <v>-140.58000000000001</v>
      </c>
      <c r="Y44" s="2"/>
      <c r="Z44" s="22">
        <f t="shared" si="3"/>
        <v>-0.75132275132275128</v>
      </c>
    </row>
    <row r="45" spans="1:26" s="24" customFormat="1" hidden="1" outlineLevel="1" x14ac:dyDescent="0.25">
      <c r="A45" s="50"/>
      <c r="B45" s="11" t="str">
        <f>CONCATENATE("          ", "4100", " - ", "NON-TAXABLE SALES")</f>
        <v xml:space="preserve">          4100 - NON-TAXABLE SALES</v>
      </c>
      <c r="C45" s="11"/>
      <c r="D45" s="2">
        <f>--4262.2</f>
        <v>4262.2</v>
      </c>
      <c r="E45" s="2"/>
      <c r="F45" s="22"/>
      <c r="G45" s="2"/>
      <c r="H45" s="2">
        <f>--10860.85</f>
        <v>10860.85</v>
      </c>
      <c r="I45" s="2"/>
      <c r="J45" s="22"/>
      <c r="K45" s="2"/>
      <c r="L45" s="2">
        <f t="shared" si="0"/>
        <v>-6598.6500000000005</v>
      </c>
      <c r="M45" s="2"/>
      <c r="N45" s="22">
        <f t="shared" si="1"/>
        <v>-0.60756294396847399</v>
      </c>
      <c r="O45" s="11"/>
      <c r="P45" s="2">
        <f>--4262.2</f>
        <v>4262.2</v>
      </c>
      <c r="Q45" s="2"/>
      <c r="R45" s="22"/>
      <c r="S45" s="2"/>
      <c r="T45" s="2">
        <f>--10860.85</f>
        <v>10860.85</v>
      </c>
      <c r="U45" s="2"/>
      <c r="V45" s="22"/>
      <c r="W45" s="2"/>
      <c r="X45" s="2">
        <f t="shared" si="2"/>
        <v>-6598.6500000000005</v>
      </c>
      <c r="Y45" s="2"/>
      <c r="Z45" s="22">
        <f t="shared" si="3"/>
        <v>-0.60756294396847399</v>
      </c>
    </row>
    <row r="46" spans="1:26" s="24" customFormat="1" hidden="1" outlineLevel="1" x14ac:dyDescent="0.25">
      <c r="A46" s="50"/>
      <c r="B46" s="11" t="str">
        <f>CONCATENATE("          ", "4101", " - ", "NON-TAXABLE SALES-NEW TEXT")</f>
        <v xml:space="preserve">          4101 - NON-TAXABLE SALES-NEW TEXT</v>
      </c>
      <c r="C46" s="11"/>
      <c r="D46" s="2">
        <f>--7736.58</f>
        <v>7736.58</v>
      </c>
      <c r="E46" s="2"/>
      <c r="F46" s="22"/>
      <c r="G46" s="2"/>
      <c r="H46" s="2">
        <f>--16833.23</f>
        <v>16833.23</v>
      </c>
      <c r="I46" s="2"/>
      <c r="J46" s="22"/>
      <c r="K46" s="2"/>
      <c r="L46" s="2">
        <f t="shared" si="0"/>
        <v>-9096.65</v>
      </c>
      <c r="M46" s="2"/>
      <c r="N46" s="22">
        <f t="shared" si="1"/>
        <v>-0.5403983668018556</v>
      </c>
      <c r="O46" s="11"/>
      <c r="P46" s="2">
        <f>--7736.58</f>
        <v>7736.58</v>
      </c>
      <c r="Q46" s="2"/>
      <c r="R46" s="22"/>
      <c r="S46" s="2"/>
      <c r="T46" s="2">
        <f>--16833.23</f>
        <v>16833.23</v>
      </c>
      <c r="U46" s="2"/>
      <c r="V46" s="22"/>
      <c r="W46" s="2"/>
      <c r="X46" s="2">
        <f t="shared" si="2"/>
        <v>-9096.65</v>
      </c>
      <c r="Y46" s="2"/>
      <c r="Z46" s="22">
        <f t="shared" si="3"/>
        <v>-0.5403983668018556</v>
      </c>
    </row>
    <row r="47" spans="1:26" s="24" customFormat="1" hidden="1" outlineLevel="1" x14ac:dyDescent="0.25">
      <c r="A47" s="50"/>
      <c r="B47" s="11" t="str">
        <f>CONCATENATE("          ", "4102", " - ", "NON-TAXABLE SALES-USED TEXT")</f>
        <v xml:space="preserve">          4102 - NON-TAXABLE SALES-USED TEXT</v>
      </c>
      <c r="C47" s="11"/>
      <c r="D47" s="2">
        <f>--5359.24</f>
        <v>5359.24</v>
      </c>
      <c r="E47" s="2"/>
      <c r="F47" s="22"/>
      <c r="G47" s="2"/>
      <c r="H47" s="2">
        <f>--2616.94</f>
        <v>2616.94</v>
      </c>
      <c r="I47" s="2"/>
      <c r="J47" s="22"/>
      <c r="K47" s="2"/>
      <c r="L47" s="2">
        <f t="shared" si="0"/>
        <v>2742.2999999999997</v>
      </c>
      <c r="M47" s="2"/>
      <c r="N47" s="22">
        <f t="shared" si="1"/>
        <v>1.0479032763456555</v>
      </c>
      <c r="O47" s="11"/>
      <c r="P47" s="2">
        <f>--5359.24</f>
        <v>5359.24</v>
      </c>
      <c r="Q47" s="2"/>
      <c r="R47" s="22"/>
      <c r="S47" s="2"/>
      <c r="T47" s="2">
        <f>--2616.94</f>
        <v>2616.94</v>
      </c>
      <c r="U47" s="2"/>
      <c r="V47" s="22"/>
      <c r="W47" s="2"/>
      <c r="X47" s="2">
        <f t="shared" si="2"/>
        <v>2742.2999999999997</v>
      </c>
      <c r="Y47" s="2"/>
      <c r="Z47" s="22">
        <f t="shared" si="3"/>
        <v>1.0479032763456555</v>
      </c>
    </row>
    <row r="48" spans="1:26" s="24" customFormat="1" hidden="1" outlineLevel="1" x14ac:dyDescent="0.25">
      <c r="A48" s="50"/>
      <c r="B48" s="11" t="str">
        <f>CONCATENATE("          ", "4104", " - ", "NON-TAXABLE SALES-DIGITAL TEXT")</f>
        <v xml:space="preserve">          4104 - NON-TAXABLE SALES-DIGITAL TEXT</v>
      </c>
      <c r="C48" s="11"/>
      <c r="D48" s="2">
        <f>--13424.17</f>
        <v>13424.17</v>
      </c>
      <c r="E48" s="2"/>
      <c r="F48" s="22"/>
      <c r="G48" s="2"/>
      <c r="H48" s="2">
        <f>--7347.66</f>
        <v>7347.66</v>
      </c>
      <c r="I48" s="2"/>
      <c r="J48" s="22"/>
      <c r="K48" s="2"/>
      <c r="L48" s="2">
        <f t="shared" si="0"/>
        <v>6076.51</v>
      </c>
      <c r="M48" s="2"/>
      <c r="N48" s="22">
        <f t="shared" si="1"/>
        <v>0.82699934400884101</v>
      </c>
      <c r="O48" s="11"/>
      <c r="P48" s="2">
        <f>--13424.17</f>
        <v>13424.17</v>
      </c>
      <c r="Q48" s="2"/>
      <c r="R48" s="22"/>
      <c r="S48" s="2"/>
      <c r="T48" s="2">
        <f>--7347.66</f>
        <v>7347.66</v>
      </c>
      <c r="U48" s="2"/>
      <c r="V48" s="22"/>
      <c r="W48" s="2"/>
      <c r="X48" s="2">
        <f t="shared" si="2"/>
        <v>6076.51</v>
      </c>
      <c r="Y48" s="2"/>
      <c r="Z48" s="22">
        <f t="shared" si="3"/>
        <v>0.82699934400884101</v>
      </c>
    </row>
    <row r="49" spans="1:26" s="24" customFormat="1" hidden="1" outlineLevel="1" x14ac:dyDescent="0.25">
      <c r="A49" s="50"/>
      <c r="B49" s="11" t="str">
        <f>CONCATENATE("          ", "4111", " - ", "NON-TAXABLE SALES-NO VALUE TEX")</f>
        <v xml:space="preserve">          4111 - NON-TAXABLE SALES-NO VALUE TEX</v>
      </c>
      <c r="C49" s="11"/>
      <c r="D49" s="2">
        <f>--2680.95</f>
        <v>2680.95</v>
      </c>
      <c r="E49" s="2"/>
      <c r="F49" s="22"/>
      <c r="G49" s="2"/>
      <c r="H49" s="2">
        <f>--2828.58</f>
        <v>2828.58</v>
      </c>
      <c r="I49" s="2"/>
      <c r="J49" s="22"/>
      <c r="K49" s="2"/>
      <c r="L49" s="2">
        <f t="shared" si="0"/>
        <v>-147.63000000000011</v>
      </c>
      <c r="M49" s="2"/>
      <c r="N49" s="22">
        <f t="shared" si="1"/>
        <v>-5.2192266084042212E-2</v>
      </c>
      <c r="O49" s="11"/>
      <c r="P49" s="2">
        <f>--2680.95</f>
        <v>2680.95</v>
      </c>
      <c r="Q49" s="2"/>
      <c r="R49" s="22"/>
      <c r="S49" s="2"/>
      <c r="T49" s="2">
        <f>--2828.58</f>
        <v>2828.58</v>
      </c>
      <c r="U49" s="2"/>
      <c r="V49" s="22"/>
      <c r="W49" s="2"/>
      <c r="X49" s="2">
        <f t="shared" si="2"/>
        <v>-147.63000000000011</v>
      </c>
      <c r="Y49" s="2"/>
      <c r="Z49" s="22">
        <f t="shared" si="3"/>
        <v>-5.2192266084042212E-2</v>
      </c>
    </row>
    <row r="50" spans="1:26" s="24" customFormat="1" hidden="1" outlineLevel="1" x14ac:dyDescent="0.25">
      <c r="A50" s="50"/>
      <c r="B50" s="11" t="str">
        <f>CONCATENATE("          ", "4113", " - ", "NON-TAXABLE SALES-TRADE BOOKS")</f>
        <v xml:space="preserve">          4113 - NON-TAXABLE SALES-TRADE BOOKS</v>
      </c>
      <c r="C50" s="11"/>
      <c r="D50" s="2">
        <f>--1134</f>
        <v>1134</v>
      </c>
      <c r="E50" s="2"/>
      <c r="F50" s="22"/>
      <c r="G50" s="2"/>
      <c r="H50" s="2">
        <f>--7.06</f>
        <v>7.06</v>
      </c>
      <c r="I50" s="2"/>
      <c r="J50" s="22"/>
      <c r="K50" s="2"/>
      <c r="L50" s="2">
        <f t="shared" si="0"/>
        <v>1126.94</v>
      </c>
      <c r="M50" s="2"/>
      <c r="N50" s="22">
        <f t="shared" si="1"/>
        <v>159.62322946175638</v>
      </c>
      <c r="O50" s="11"/>
      <c r="P50" s="2">
        <f>--1134</f>
        <v>1134</v>
      </c>
      <c r="Q50" s="2"/>
      <c r="R50" s="22"/>
      <c r="S50" s="2"/>
      <c r="T50" s="2">
        <f>--7.06</f>
        <v>7.06</v>
      </c>
      <c r="U50" s="2"/>
      <c r="V50" s="22"/>
      <c r="W50" s="2"/>
      <c r="X50" s="2">
        <f t="shared" si="2"/>
        <v>1126.94</v>
      </c>
      <c r="Y50" s="2"/>
      <c r="Z50" s="22">
        <f t="shared" si="3"/>
        <v>159.62322946175638</v>
      </c>
    </row>
    <row r="51" spans="1:26" s="24" customFormat="1" hidden="1" outlineLevel="1" x14ac:dyDescent="0.25">
      <c r="A51" s="50"/>
      <c r="B51" s="11" t="str">
        <f>CONCATENATE("          ", "4118", " - ", "NON-TAXABLE SALES-STUDY GUIDES")</f>
        <v xml:space="preserve">          4118 - NON-TAXABLE SALES-STUDY GUIDES</v>
      </c>
      <c r="C51" s="11"/>
      <c r="D51" s="2">
        <f>--6.95</f>
        <v>6.95</v>
      </c>
      <c r="E51" s="2"/>
      <c r="F51" s="22"/>
      <c r="G51" s="2"/>
      <c r="H51" s="2">
        <f>--35.93</f>
        <v>35.93</v>
      </c>
      <c r="I51" s="2"/>
      <c r="J51" s="22"/>
      <c r="K51" s="2"/>
      <c r="L51" s="2">
        <f t="shared" si="0"/>
        <v>-28.98</v>
      </c>
      <c r="M51" s="2"/>
      <c r="N51" s="22">
        <f t="shared" si="1"/>
        <v>-0.80656832730308936</v>
      </c>
      <c r="O51" s="11"/>
      <c r="P51" s="2">
        <f>--6.95</f>
        <v>6.95</v>
      </c>
      <c r="Q51" s="2"/>
      <c r="R51" s="22"/>
      <c r="S51" s="2"/>
      <c r="T51" s="2">
        <f>--35.93</f>
        <v>35.93</v>
      </c>
      <c r="U51" s="2"/>
      <c r="V51" s="22"/>
      <c r="W51" s="2"/>
      <c r="X51" s="2">
        <f t="shared" si="2"/>
        <v>-28.98</v>
      </c>
      <c r="Y51" s="2"/>
      <c r="Z51" s="22">
        <f t="shared" si="3"/>
        <v>-0.80656832730308936</v>
      </c>
    </row>
    <row r="52" spans="1:26" s="24" customFormat="1" hidden="1" outlineLevel="1" x14ac:dyDescent="0.25">
      <c r="A52" s="50"/>
      <c r="B52" s="11" t="str">
        <f>CONCATENATE("          ", "4125", " - ", "NON-TAXABLE SALES-TEST FORMS")</f>
        <v xml:space="preserve">          4125 - NON-TAXABLE SALES-TEST FORMS</v>
      </c>
      <c r="C52" s="11"/>
      <c r="D52" s="2">
        <f>--4.98</f>
        <v>4.9800000000000004</v>
      </c>
      <c r="E52" s="2"/>
      <c r="F52" s="22"/>
      <c r="G52" s="2"/>
      <c r="H52" s="2">
        <f>--6.12</f>
        <v>6.12</v>
      </c>
      <c r="I52" s="2"/>
      <c r="J52" s="22"/>
      <c r="K52" s="2"/>
      <c r="L52" s="2">
        <f t="shared" si="0"/>
        <v>-1.1399999999999997</v>
      </c>
      <c r="M52" s="2"/>
      <c r="N52" s="22">
        <f t="shared" si="1"/>
        <v>-0.18627450980392152</v>
      </c>
      <c r="O52" s="11"/>
      <c r="P52" s="2">
        <f>--4.98</f>
        <v>4.9800000000000004</v>
      </c>
      <c r="Q52" s="2"/>
      <c r="R52" s="22"/>
      <c r="S52" s="2"/>
      <c r="T52" s="2">
        <f>--6.12</f>
        <v>6.12</v>
      </c>
      <c r="U52" s="2"/>
      <c r="V52" s="22"/>
      <c r="W52" s="2"/>
      <c r="X52" s="2">
        <f t="shared" si="2"/>
        <v>-1.1399999999999997</v>
      </c>
      <c r="Y52" s="2"/>
      <c r="Z52" s="22">
        <f t="shared" si="3"/>
        <v>-0.18627450980392152</v>
      </c>
    </row>
    <row r="53" spans="1:26" s="24" customFormat="1" hidden="1" outlineLevel="1" x14ac:dyDescent="0.25">
      <c r="A53" s="50"/>
      <c r="B53" s="11" t="str">
        <f>CONCATENATE("          ", "4126", " - ", "NON-TAXABLE SALES-WRITING INST")</f>
        <v xml:space="preserve">          4126 - NON-TAXABLE SALES-WRITING INST</v>
      </c>
      <c r="C53" s="11"/>
      <c r="D53" s="2">
        <f>--167.03</f>
        <v>167.03</v>
      </c>
      <c r="E53" s="2"/>
      <c r="F53" s="22"/>
      <c r="G53" s="2"/>
      <c r="H53" s="2">
        <f>--264.9</f>
        <v>264.89999999999998</v>
      </c>
      <c r="I53" s="2"/>
      <c r="J53" s="22"/>
      <c r="K53" s="2"/>
      <c r="L53" s="2">
        <f t="shared" si="0"/>
        <v>-97.869999999999976</v>
      </c>
      <c r="M53" s="2"/>
      <c r="N53" s="22">
        <f t="shared" si="1"/>
        <v>-0.36946017365043404</v>
      </c>
      <c r="O53" s="11"/>
      <c r="P53" s="2">
        <f>--167.03</f>
        <v>167.03</v>
      </c>
      <c r="Q53" s="2"/>
      <c r="R53" s="22"/>
      <c r="S53" s="2"/>
      <c r="T53" s="2">
        <f>--264.9</f>
        <v>264.89999999999998</v>
      </c>
      <c r="U53" s="2"/>
      <c r="V53" s="22"/>
      <c r="W53" s="2"/>
      <c r="X53" s="2">
        <f t="shared" si="2"/>
        <v>-97.869999999999976</v>
      </c>
      <c r="Y53" s="2"/>
      <c r="Z53" s="22">
        <f t="shared" si="3"/>
        <v>-0.36946017365043404</v>
      </c>
    </row>
    <row r="54" spans="1:26" s="24" customFormat="1" hidden="1" outlineLevel="1" x14ac:dyDescent="0.25">
      <c r="A54" s="50"/>
      <c r="B54" s="11" t="str">
        <f>CONCATENATE("          ", "4127", " - ", "NON-TAXABLE SALES-SCHOOL SUPPL")</f>
        <v xml:space="preserve">          4127 - NON-TAXABLE SALES-SCHOOL SUPPL</v>
      </c>
      <c r="C54" s="11"/>
      <c r="D54" s="2">
        <f>--177.89</f>
        <v>177.89</v>
      </c>
      <c r="E54" s="2"/>
      <c r="F54" s="22"/>
      <c r="G54" s="2"/>
      <c r="H54" s="2">
        <f>--135.16</f>
        <v>135.16</v>
      </c>
      <c r="I54" s="2"/>
      <c r="J54" s="22"/>
      <c r="K54" s="2"/>
      <c r="L54" s="2">
        <f t="shared" si="0"/>
        <v>42.72999999999999</v>
      </c>
      <c r="M54" s="2"/>
      <c r="N54" s="22">
        <f t="shared" si="1"/>
        <v>0.31614382953536541</v>
      </c>
      <c r="O54" s="11"/>
      <c r="P54" s="2">
        <f>--177.89</f>
        <v>177.89</v>
      </c>
      <c r="Q54" s="2"/>
      <c r="R54" s="22"/>
      <c r="S54" s="2"/>
      <c r="T54" s="2">
        <f>--135.16</f>
        <v>135.16</v>
      </c>
      <c r="U54" s="2"/>
      <c r="V54" s="22"/>
      <c r="W54" s="2"/>
      <c r="X54" s="2">
        <f t="shared" si="2"/>
        <v>42.72999999999999</v>
      </c>
      <c r="Y54" s="2"/>
      <c r="Z54" s="22">
        <f t="shared" si="3"/>
        <v>0.31614382953536541</v>
      </c>
    </row>
    <row r="55" spans="1:26" s="24" customFormat="1" hidden="1" outlineLevel="1" x14ac:dyDescent="0.25">
      <c r="A55" s="50"/>
      <c r="B55" s="11" t="str">
        <f>CONCATENATE("          ", "4128", " - ", "NON-TAXABLE SALES-ART/TECH")</f>
        <v xml:space="preserve">          4128 - NON-TAXABLE SALES-ART/TECH</v>
      </c>
      <c r="C55" s="11"/>
      <c r="D55" s="2">
        <f>--1.49</f>
        <v>1.49</v>
      </c>
      <c r="E55" s="2"/>
      <c r="F55" s="22"/>
      <c r="G55" s="2"/>
      <c r="H55" s="2">
        <f>--30.69</f>
        <v>30.69</v>
      </c>
      <c r="I55" s="2"/>
      <c r="J55" s="22"/>
      <c r="K55" s="2"/>
      <c r="L55" s="2">
        <f t="shared" si="0"/>
        <v>-29.200000000000003</v>
      </c>
      <c r="M55" s="2"/>
      <c r="N55" s="22">
        <f t="shared" si="1"/>
        <v>-0.95144998370804823</v>
      </c>
      <c r="O55" s="11"/>
      <c r="P55" s="2">
        <f>--1.49</f>
        <v>1.49</v>
      </c>
      <c r="Q55" s="2"/>
      <c r="R55" s="22"/>
      <c r="S55" s="2"/>
      <c r="T55" s="2">
        <f>--30.69</f>
        <v>30.69</v>
      </c>
      <c r="U55" s="2"/>
      <c r="V55" s="22"/>
      <c r="W55" s="2"/>
      <c r="X55" s="2">
        <f t="shared" si="2"/>
        <v>-29.200000000000003</v>
      </c>
      <c r="Y55" s="2"/>
      <c r="Z55" s="22">
        <f t="shared" si="3"/>
        <v>-0.95144998370804823</v>
      </c>
    </row>
    <row r="56" spans="1:26" s="24" customFormat="1" hidden="1" outlineLevel="1" x14ac:dyDescent="0.25">
      <c r="A56" s="50"/>
      <c r="B56" s="11" t="str">
        <f>CONCATENATE("          ", "4131", " - ", "NON-TAXABLE SALES-FOOD")</f>
        <v xml:space="preserve">          4131 - NON-TAXABLE SALES-FOOD</v>
      </c>
      <c r="C56" s="11"/>
      <c r="D56" s="2">
        <f>--269.62</f>
        <v>269.62</v>
      </c>
      <c r="E56" s="2"/>
      <c r="F56" s="22"/>
      <c r="G56" s="2"/>
      <c r="H56" s="2">
        <f>--329.56</f>
        <v>329.56</v>
      </c>
      <c r="I56" s="2"/>
      <c r="J56" s="22"/>
      <c r="K56" s="2"/>
      <c r="L56" s="2">
        <f t="shared" si="0"/>
        <v>-59.94</v>
      </c>
      <c r="M56" s="2"/>
      <c r="N56" s="22">
        <f t="shared" si="1"/>
        <v>-0.18187886879475665</v>
      </c>
      <c r="O56" s="11"/>
      <c r="P56" s="2">
        <f>--269.62</f>
        <v>269.62</v>
      </c>
      <c r="Q56" s="2"/>
      <c r="R56" s="22"/>
      <c r="S56" s="2"/>
      <c r="T56" s="2">
        <f>--329.56</f>
        <v>329.56</v>
      </c>
      <c r="U56" s="2"/>
      <c r="V56" s="22"/>
      <c r="W56" s="2"/>
      <c r="X56" s="2">
        <f t="shared" si="2"/>
        <v>-59.94</v>
      </c>
      <c r="Y56" s="2"/>
      <c r="Z56" s="22">
        <f t="shared" si="3"/>
        <v>-0.18187886879475665</v>
      </c>
    </row>
    <row r="57" spans="1:26" s="24" customFormat="1" hidden="1" outlineLevel="1" x14ac:dyDescent="0.25">
      <c r="A57" s="50"/>
      <c r="B57" s="11" t="str">
        <f>CONCATENATE("          ", "4132", " - ", "NON-TAXABLE SALES-JUICE")</f>
        <v xml:space="preserve">          4132 - NON-TAXABLE SALES-JUICE</v>
      </c>
      <c r="C57" s="11"/>
      <c r="D57" s="2">
        <f>--45.31</f>
        <v>45.31</v>
      </c>
      <c r="E57" s="2"/>
      <c r="F57" s="22"/>
      <c r="G57" s="2"/>
      <c r="H57" s="2">
        <f>--70.91</f>
        <v>70.91</v>
      </c>
      <c r="I57" s="2"/>
      <c r="J57" s="22"/>
      <c r="K57" s="2"/>
      <c r="L57" s="2">
        <f t="shared" si="0"/>
        <v>-25.599999999999994</v>
      </c>
      <c r="M57" s="2"/>
      <c r="N57" s="22">
        <f t="shared" si="1"/>
        <v>-0.36102101255112107</v>
      </c>
      <c r="O57" s="11"/>
      <c r="P57" s="2">
        <f>--45.31</f>
        <v>45.31</v>
      </c>
      <c r="Q57" s="2"/>
      <c r="R57" s="22"/>
      <c r="S57" s="2"/>
      <c r="T57" s="2">
        <f>--70.91</f>
        <v>70.91</v>
      </c>
      <c r="U57" s="2"/>
      <c r="V57" s="22"/>
      <c r="W57" s="2"/>
      <c r="X57" s="2">
        <f t="shared" si="2"/>
        <v>-25.599999999999994</v>
      </c>
      <c r="Y57" s="2"/>
      <c r="Z57" s="22">
        <f t="shared" si="3"/>
        <v>-0.36102101255112107</v>
      </c>
    </row>
    <row r="58" spans="1:26" s="24" customFormat="1" hidden="1" outlineLevel="1" x14ac:dyDescent="0.25">
      <c r="A58" s="50"/>
      <c r="B58" s="11" t="str">
        <f>CONCATENATE("          ", "4133", " - ", "NON-TAXABLE SALES-CANDY")</f>
        <v xml:space="preserve">          4133 - NON-TAXABLE SALES-CANDY</v>
      </c>
      <c r="C58" s="11"/>
      <c r="D58" s="2">
        <f>--472.22</f>
        <v>472.22</v>
      </c>
      <c r="E58" s="2"/>
      <c r="F58" s="22"/>
      <c r="G58" s="2"/>
      <c r="H58" s="2">
        <f>--368.55</f>
        <v>368.55</v>
      </c>
      <c r="I58" s="2"/>
      <c r="J58" s="22"/>
      <c r="K58" s="2"/>
      <c r="L58" s="2">
        <f t="shared" si="0"/>
        <v>103.67000000000002</v>
      </c>
      <c r="M58" s="2"/>
      <c r="N58" s="22">
        <f t="shared" si="1"/>
        <v>0.28129154795821465</v>
      </c>
      <c r="O58" s="11"/>
      <c r="P58" s="2">
        <f>--472.22</f>
        <v>472.22</v>
      </c>
      <c r="Q58" s="2"/>
      <c r="R58" s="22"/>
      <c r="S58" s="2"/>
      <c r="T58" s="2">
        <f>--368.55</f>
        <v>368.55</v>
      </c>
      <c r="U58" s="2"/>
      <c r="V58" s="22"/>
      <c r="W58" s="2"/>
      <c r="X58" s="2">
        <f t="shared" si="2"/>
        <v>103.67000000000002</v>
      </c>
      <c r="Y58" s="2"/>
      <c r="Z58" s="22">
        <f t="shared" si="3"/>
        <v>0.28129154795821465</v>
      </c>
    </row>
    <row r="59" spans="1:26" s="24" customFormat="1" hidden="1" outlineLevel="1" x14ac:dyDescent="0.25">
      <c r="A59" s="50"/>
      <c r="B59" s="11" t="str">
        <f>CONCATENATE("          ", "4134", " - ", "NON-TAXABLE SALES-SODA")</f>
        <v xml:space="preserve">          4134 - NON-TAXABLE SALES-SODA</v>
      </c>
      <c r="C59" s="11"/>
      <c r="D59" s="2">
        <f>0</f>
        <v>0</v>
      </c>
      <c r="E59" s="2"/>
      <c r="F59" s="22"/>
      <c r="G59" s="2"/>
      <c r="H59" s="2">
        <f>--5.25</f>
        <v>5.25</v>
      </c>
      <c r="I59" s="2"/>
      <c r="J59" s="22"/>
      <c r="K59" s="2"/>
      <c r="L59" s="2">
        <f t="shared" si="0"/>
        <v>-5.25</v>
      </c>
      <c r="M59" s="2"/>
      <c r="N59" s="22">
        <f t="shared" si="1"/>
        <v>-1</v>
      </c>
      <c r="O59" s="11"/>
      <c r="P59" s="2">
        <f>0</f>
        <v>0</v>
      </c>
      <c r="Q59" s="2"/>
      <c r="R59" s="22"/>
      <c r="S59" s="2"/>
      <c r="T59" s="2">
        <f>--5.25</f>
        <v>5.25</v>
      </c>
      <c r="U59" s="2"/>
      <c r="V59" s="22"/>
      <c r="W59" s="2"/>
      <c r="X59" s="2">
        <f t="shared" si="2"/>
        <v>-5.25</v>
      </c>
      <c r="Y59" s="2"/>
      <c r="Z59" s="22">
        <f t="shared" si="3"/>
        <v>-1</v>
      </c>
    </row>
    <row r="60" spans="1:26" s="24" customFormat="1" hidden="1" outlineLevel="1" x14ac:dyDescent="0.25">
      <c r="A60" s="50"/>
      <c r="B60" s="11" t="str">
        <f>CONCATENATE("          ", "4135", " - ", "NON-TAXABLE SALES")</f>
        <v xml:space="preserve">          4135 - NON-TAXABLE SALES</v>
      </c>
      <c r="C60" s="11"/>
      <c r="D60" s="2">
        <f>--21.54</f>
        <v>21.54</v>
      </c>
      <c r="E60" s="2"/>
      <c r="F60" s="22"/>
      <c r="G60" s="2"/>
      <c r="H60" s="2">
        <f>--7.18</f>
        <v>7.18</v>
      </c>
      <c r="I60" s="2"/>
      <c r="J60" s="22"/>
      <c r="K60" s="2"/>
      <c r="L60" s="2">
        <f t="shared" si="0"/>
        <v>14.36</v>
      </c>
      <c r="M60" s="2"/>
      <c r="N60" s="22">
        <f t="shared" si="1"/>
        <v>2</v>
      </c>
      <c r="O60" s="11"/>
      <c r="P60" s="2">
        <f>--21.54</f>
        <v>21.54</v>
      </c>
      <c r="Q60" s="2"/>
      <c r="R60" s="22"/>
      <c r="S60" s="2"/>
      <c r="T60" s="2">
        <f>--7.18</f>
        <v>7.18</v>
      </c>
      <c r="U60" s="2"/>
      <c r="V60" s="22"/>
      <c r="W60" s="2"/>
      <c r="X60" s="2">
        <f t="shared" si="2"/>
        <v>14.36</v>
      </c>
      <c r="Y60" s="2"/>
      <c r="Z60" s="22">
        <f t="shared" si="3"/>
        <v>2</v>
      </c>
    </row>
    <row r="61" spans="1:26" s="24" customFormat="1" hidden="1" outlineLevel="1" x14ac:dyDescent="0.25">
      <c r="A61" s="50"/>
      <c r="B61" s="11" t="str">
        <f>CONCATENATE("          ", "4137", " - ", "NON-TAXABLE SALES-WATER")</f>
        <v xml:space="preserve">          4137 - NON-TAXABLE SALES-WATER</v>
      </c>
      <c r="C61" s="11"/>
      <c r="D61" s="2">
        <f>--53.02</f>
        <v>53.02</v>
      </c>
      <c r="E61" s="2"/>
      <c r="F61" s="22"/>
      <c r="G61" s="2"/>
      <c r="H61" s="2">
        <f>--58.38</f>
        <v>58.38</v>
      </c>
      <c r="I61" s="2"/>
      <c r="J61" s="22"/>
      <c r="K61" s="2"/>
      <c r="L61" s="2">
        <f t="shared" si="0"/>
        <v>-5.3599999999999994</v>
      </c>
      <c r="M61" s="2"/>
      <c r="N61" s="22">
        <f t="shared" si="1"/>
        <v>-9.1812264474134958E-2</v>
      </c>
      <c r="O61" s="11"/>
      <c r="P61" s="2">
        <f>--53.02</f>
        <v>53.02</v>
      </c>
      <c r="Q61" s="2"/>
      <c r="R61" s="22"/>
      <c r="S61" s="2"/>
      <c r="T61" s="2">
        <f>--58.38</f>
        <v>58.38</v>
      </c>
      <c r="U61" s="2"/>
      <c r="V61" s="22"/>
      <c r="W61" s="2"/>
      <c r="X61" s="2">
        <f t="shared" si="2"/>
        <v>-5.3599999999999994</v>
      </c>
      <c r="Y61" s="2"/>
      <c r="Z61" s="22">
        <f t="shared" si="3"/>
        <v>-9.1812264474134958E-2</v>
      </c>
    </row>
    <row r="62" spans="1:26" s="24" customFormat="1" hidden="1" outlineLevel="1" x14ac:dyDescent="0.25">
      <c r="A62" s="50"/>
      <c r="B62" s="11" t="str">
        <f>CONCATENATE("          ", "4140", " - ", "NON-TAXABLE SALES-LOGO CLOTHIN")</f>
        <v xml:space="preserve">          4140 - NON-TAXABLE SALES-LOGO CLOTHIN</v>
      </c>
      <c r="C62" s="11"/>
      <c r="D62" s="2">
        <f>--3163.67</f>
        <v>3163.67</v>
      </c>
      <c r="E62" s="2"/>
      <c r="F62" s="22"/>
      <c r="G62" s="2"/>
      <c r="H62" s="2">
        <f>--1813.55</f>
        <v>1813.55</v>
      </c>
      <c r="I62" s="2"/>
      <c r="J62" s="22"/>
      <c r="K62" s="2"/>
      <c r="L62" s="2">
        <f t="shared" si="0"/>
        <v>1350.1200000000001</v>
      </c>
      <c r="M62" s="2"/>
      <c r="N62" s="22">
        <f t="shared" si="1"/>
        <v>0.74446251826528087</v>
      </c>
      <c r="O62" s="11"/>
      <c r="P62" s="2">
        <f>--3163.67</f>
        <v>3163.67</v>
      </c>
      <c r="Q62" s="2"/>
      <c r="R62" s="22"/>
      <c r="S62" s="2"/>
      <c r="T62" s="2">
        <f>--1813.55</f>
        <v>1813.55</v>
      </c>
      <c r="U62" s="2"/>
      <c r="V62" s="22"/>
      <c r="W62" s="2"/>
      <c r="X62" s="2">
        <f t="shared" si="2"/>
        <v>1350.1200000000001</v>
      </c>
      <c r="Y62" s="2"/>
      <c r="Z62" s="22">
        <f t="shared" si="3"/>
        <v>0.74446251826528087</v>
      </c>
    </row>
    <row r="63" spans="1:26" s="24" customFormat="1" hidden="1" outlineLevel="1" x14ac:dyDescent="0.25">
      <c r="A63" s="50"/>
      <c r="B63" s="11" t="str">
        <f>CONCATENATE("          ", "4141", " - ", "NON-TAXABLE SALES-LOGO GIFTS")</f>
        <v xml:space="preserve">          4141 - NON-TAXABLE SALES-LOGO GIFTS</v>
      </c>
      <c r="C63" s="11"/>
      <c r="D63" s="2">
        <f>--262.15</f>
        <v>262.14999999999998</v>
      </c>
      <c r="E63" s="2"/>
      <c r="F63" s="22"/>
      <c r="G63" s="2"/>
      <c r="H63" s="2">
        <f>--193.6</f>
        <v>193.6</v>
      </c>
      <c r="I63" s="2"/>
      <c r="J63" s="22"/>
      <c r="K63" s="2"/>
      <c r="L63" s="2">
        <f t="shared" si="0"/>
        <v>68.549999999999983</v>
      </c>
      <c r="M63" s="2"/>
      <c r="N63" s="22">
        <f t="shared" si="1"/>
        <v>0.3540805785123966</v>
      </c>
      <c r="O63" s="11"/>
      <c r="P63" s="2">
        <f>--262.15</f>
        <v>262.14999999999998</v>
      </c>
      <c r="Q63" s="2"/>
      <c r="R63" s="22"/>
      <c r="S63" s="2"/>
      <c r="T63" s="2">
        <f>--193.6</f>
        <v>193.6</v>
      </c>
      <c r="U63" s="2"/>
      <c r="V63" s="22"/>
      <c r="W63" s="2"/>
      <c r="X63" s="2">
        <f t="shared" si="2"/>
        <v>68.549999999999983</v>
      </c>
      <c r="Y63" s="2"/>
      <c r="Z63" s="22">
        <f t="shared" si="3"/>
        <v>0.3540805785123966</v>
      </c>
    </row>
    <row r="64" spans="1:26" s="24" customFormat="1" hidden="1" outlineLevel="1" x14ac:dyDescent="0.25">
      <c r="A64" s="50"/>
      <c r="B64" s="11" t="str">
        <f>CONCATENATE("          ", "4142", " - ", "NON-TAXABLE SALES-EVERYDAY GIF")</f>
        <v xml:space="preserve">          4142 - NON-TAXABLE SALES-EVERYDAY GIF</v>
      </c>
      <c r="C64" s="11"/>
      <c r="D64" s="2">
        <f>--342.44</f>
        <v>342.44</v>
      </c>
      <c r="E64" s="2"/>
      <c r="F64" s="22"/>
      <c r="G64" s="2"/>
      <c r="H64" s="2">
        <f>--148.95</f>
        <v>148.94999999999999</v>
      </c>
      <c r="I64" s="2"/>
      <c r="J64" s="22"/>
      <c r="K64" s="2"/>
      <c r="L64" s="2">
        <f t="shared" si="0"/>
        <v>193.49</v>
      </c>
      <c r="M64" s="2"/>
      <c r="N64" s="22">
        <f t="shared" si="1"/>
        <v>1.2990265189660961</v>
      </c>
      <c r="O64" s="11"/>
      <c r="P64" s="2">
        <f>--342.44</f>
        <v>342.44</v>
      </c>
      <c r="Q64" s="2"/>
      <c r="R64" s="22"/>
      <c r="S64" s="2"/>
      <c r="T64" s="2">
        <f>--148.95</f>
        <v>148.94999999999999</v>
      </c>
      <c r="U64" s="2"/>
      <c r="V64" s="22"/>
      <c r="W64" s="2"/>
      <c r="X64" s="2">
        <f t="shared" si="2"/>
        <v>193.49</v>
      </c>
      <c r="Y64" s="2"/>
      <c r="Z64" s="22">
        <f t="shared" si="3"/>
        <v>1.2990265189660961</v>
      </c>
    </row>
    <row r="65" spans="1:26" s="24" customFormat="1" hidden="1" outlineLevel="1" x14ac:dyDescent="0.25">
      <c r="A65" s="50"/>
      <c r="B65" s="11" t="str">
        <f>CONCATENATE("          ", "4144", " - ", "NON-TAXABLE SALES-ACCESSORIES")</f>
        <v xml:space="preserve">          4144 - NON-TAXABLE SALES-ACCESSORIES</v>
      </c>
      <c r="C65" s="11"/>
      <c r="D65" s="2">
        <f>--21.9</f>
        <v>21.9</v>
      </c>
      <c r="E65" s="2"/>
      <c r="F65" s="22"/>
      <c r="G65" s="2"/>
      <c r="H65" s="2">
        <f>--44.95</f>
        <v>44.95</v>
      </c>
      <c r="I65" s="2"/>
      <c r="J65" s="22"/>
      <c r="K65" s="2"/>
      <c r="L65" s="2">
        <f t="shared" si="0"/>
        <v>-23.050000000000004</v>
      </c>
      <c r="M65" s="2"/>
      <c r="N65" s="22">
        <f t="shared" si="1"/>
        <v>-0.51279199110122364</v>
      </c>
      <c r="O65" s="11"/>
      <c r="P65" s="2">
        <f>--21.9</f>
        <v>21.9</v>
      </c>
      <c r="Q65" s="2"/>
      <c r="R65" s="22"/>
      <c r="S65" s="2"/>
      <c r="T65" s="2">
        <f>--44.95</f>
        <v>44.95</v>
      </c>
      <c r="U65" s="2"/>
      <c r="V65" s="22"/>
      <c r="W65" s="2"/>
      <c r="X65" s="2">
        <f t="shared" si="2"/>
        <v>-23.050000000000004</v>
      </c>
      <c r="Y65" s="2"/>
      <c r="Z65" s="22">
        <f t="shared" si="3"/>
        <v>-0.51279199110122364</v>
      </c>
    </row>
    <row r="66" spans="1:26" s="24" customFormat="1" hidden="1" outlineLevel="1" x14ac:dyDescent="0.25">
      <c r="A66" s="50"/>
      <c r="B66" s="11" t="str">
        <f>CONCATENATE("          ", "4145", " - ", "NON-TAXABLE SALES-SPECIAL ORDE")</f>
        <v xml:space="preserve">          4145 - NON-TAXABLE SALES-SPECIAL ORDE</v>
      </c>
      <c r="C66" s="11"/>
      <c r="D66" s="2">
        <f>0</f>
        <v>0</v>
      </c>
      <c r="E66" s="2"/>
      <c r="F66" s="22"/>
      <c r="G66" s="2"/>
      <c r="H66" s="2">
        <f>--59.85</f>
        <v>59.85</v>
      </c>
      <c r="I66" s="2"/>
      <c r="J66" s="22"/>
      <c r="K66" s="2"/>
      <c r="L66" s="2">
        <f t="shared" si="0"/>
        <v>-59.85</v>
      </c>
      <c r="M66" s="2"/>
      <c r="N66" s="22">
        <f t="shared" si="1"/>
        <v>-1</v>
      </c>
      <c r="O66" s="11"/>
      <c r="P66" s="2">
        <f>0</f>
        <v>0</v>
      </c>
      <c r="Q66" s="2"/>
      <c r="R66" s="22"/>
      <c r="S66" s="2"/>
      <c r="T66" s="2">
        <f>--59.85</f>
        <v>59.85</v>
      </c>
      <c r="U66" s="2"/>
      <c r="V66" s="22"/>
      <c r="W66" s="2"/>
      <c r="X66" s="2">
        <f t="shared" si="2"/>
        <v>-59.85</v>
      </c>
      <c r="Y66" s="2"/>
      <c r="Z66" s="22">
        <f t="shared" si="3"/>
        <v>-1</v>
      </c>
    </row>
    <row r="67" spans="1:26" s="24" customFormat="1" hidden="1" outlineLevel="1" x14ac:dyDescent="0.25">
      <c r="A67" s="50"/>
      <c r="B67" s="11" t="str">
        <f>CONCATENATE("          ", "4146", " - ", "NON-TAXABLE SALES-COIN OP MACH")</f>
        <v xml:space="preserve">          4146 - NON-TAXABLE SALES-COIN OP MACH</v>
      </c>
      <c r="C67" s="11"/>
      <c r="D67" s="2">
        <f>--2067.1</f>
        <v>2067.1</v>
      </c>
      <c r="E67" s="2"/>
      <c r="F67" s="22"/>
      <c r="G67" s="2"/>
      <c r="H67" s="2">
        <f>--2380.65</f>
        <v>2380.65</v>
      </c>
      <c r="I67" s="2"/>
      <c r="J67" s="22"/>
      <c r="K67" s="2"/>
      <c r="L67" s="2">
        <f t="shared" si="0"/>
        <v>-313.55000000000018</v>
      </c>
      <c r="M67" s="2"/>
      <c r="N67" s="22">
        <f t="shared" si="1"/>
        <v>-0.13170772688131399</v>
      </c>
      <c r="O67" s="11"/>
      <c r="P67" s="2">
        <f>--2067.1</f>
        <v>2067.1</v>
      </c>
      <c r="Q67" s="2"/>
      <c r="R67" s="22"/>
      <c r="S67" s="2"/>
      <c r="T67" s="2">
        <f>--2380.65</f>
        <v>2380.65</v>
      </c>
      <c r="U67" s="2"/>
      <c r="V67" s="22"/>
      <c r="W67" s="2"/>
      <c r="X67" s="2">
        <f t="shared" si="2"/>
        <v>-313.55000000000018</v>
      </c>
      <c r="Y67" s="2"/>
      <c r="Z67" s="22">
        <f t="shared" si="3"/>
        <v>-0.13170772688131399</v>
      </c>
    </row>
    <row r="68" spans="1:26" s="24" customFormat="1" hidden="1" outlineLevel="1" x14ac:dyDescent="0.25">
      <c r="A68" s="50"/>
      <c r="B68" s="11" t="str">
        <f>CONCATENATE("          ", "4147", " - ", "NON-TAXABLE SALES-MISC")</f>
        <v xml:space="preserve">          4147 - NON-TAXABLE SALES-MISC</v>
      </c>
      <c r="C68" s="11"/>
      <c r="D68" s="2">
        <f>--16.5</f>
        <v>16.5</v>
      </c>
      <c r="E68" s="2"/>
      <c r="F68" s="22"/>
      <c r="G68" s="2"/>
      <c r="H68" s="2">
        <f>--18</f>
        <v>18</v>
      </c>
      <c r="I68" s="2"/>
      <c r="J68" s="22"/>
      <c r="K68" s="2"/>
      <c r="L68" s="2">
        <f t="shared" si="0"/>
        <v>-1.5</v>
      </c>
      <c r="M68" s="2"/>
      <c r="N68" s="22">
        <f t="shared" si="1"/>
        <v>-8.3333333333333329E-2</v>
      </c>
      <c r="O68" s="11"/>
      <c r="P68" s="2">
        <f>--16.5</f>
        <v>16.5</v>
      </c>
      <c r="Q68" s="2"/>
      <c r="R68" s="22"/>
      <c r="S68" s="2"/>
      <c r="T68" s="2">
        <f>--18</f>
        <v>18</v>
      </c>
      <c r="U68" s="2"/>
      <c r="V68" s="22"/>
      <c r="W68" s="2"/>
      <c r="X68" s="2">
        <f t="shared" si="2"/>
        <v>-1.5</v>
      </c>
      <c r="Y68" s="2"/>
      <c r="Z68" s="22">
        <f t="shared" si="3"/>
        <v>-8.3333333333333329E-2</v>
      </c>
    </row>
    <row r="69" spans="1:26" s="24" customFormat="1" hidden="1" outlineLevel="1" x14ac:dyDescent="0.25">
      <c r="A69" s="50"/>
      <c r="B69" s="11" t="str">
        <f>CONCATENATE("          ", "4186", " - ", "NON-TAXABLE SALES-COMPUTER SUP")</f>
        <v xml:space="preserve">          4186 - NON-TAXABLE SALES-COMPUTER SUP</v>
      </c>
      <c r="C69" s="11"/>
      <c r="D69" s="2">
        <f>0</f>
        <v>0</v>
      </c>
      <c r="E69" s="2"/>
      <c r="F69" s="22"/>
      <c r="G69" s="2"/>
      <c r="H69" s="2">
        <f>-14.99</f>
        <v>-14.99</v>
      </c>
      <c r="I69" s="2"/>
      <c r="J69" s="22"/>
      <c r="K69" s="2"/>
      <c r="L69" s="2">
        <f t="shared" si="0"/>
        <v>14.99</v>
      </c>
      <c r="M69" s="2"/>
      <c r="N69" s="22">
        <f t="shared" si="1"/>
        <v>-1</v>
      </c>
      <c r="O69" s="11"/>
      <c r="P69" s="2">
        <f>0</f>
        <v>0</v>
      </c>
      <c r="Q69" s="2"/>
      <c r="R69" s="22"/>
      <c r="S69" s="2"/>
      <c r="T69" s="2">
        <f>-14.99</f>
        <v>-14.99</v>
      </c>
      <c r="U69" s="2"/>
      <c r="V69" s="22"/>
      <c r="W69" s="2"/>
      <c r="X69" s="2">
        <f t="shared" si="2"/>
        <v>14.99</v>
      </c>
      <c r="Y69" s="2"/>
      <c r="Z69" s="22">
        <f t="shared" si="3"/>
        <v>-1</v>
      </c>
    </row>
    <row r="70" spans="1:26" s="24" customFormat="1" hidden="1" outlineLevel="1" x14ac:dyDescent="0.25">
      <c r="A70" s="50"/>
      <c r="B70" s="11" t="str">
        <f>CONCATENATE("          ", "4201", " - ", "SALES RETURN TAXABLE-NEW TEXT")</f>
        <v xml:space="preserve">          4201 - SALES RETURN TAXABLE-NEW TEXT</v>
      </c>
      <c r="C70" s="11"/>
      <c r="D70" s="2">
        <f>-607.15</f>
        <v>-607.15</v>
      </c>
      <c r="E70" s="2"/>
      <c r="F70" s="22"/>
      <c r="G70" s="2"/>
      <c r="H70" s="2">
        <f>-1507.5</f>
        <v>-1507.5</v>
      </c>
      <c r="I70" s="2"/>
      <c r="J70" s="22"/>
      <c r="K70" s="2"/>
      <c r="L70" s="2">
        <f t="shared" si="0"/>
        <v>900.35</v>
      </c>
      <c r="M70" s="2"/>
      <c r="N70" s="22">
        <f t="shared" si="1"/>
        <v>-0.59724709784411278</v>
      </c>
      <c r="O70" s="11"/>
      <c r="P70" s="2">
        <f>-607.15</f>
        <v>-607.15</v>
      </c>
      <c r="Q70" s="2"/>
      <c r="R70" s="22"/>
      <c r="S70" s="2"/>
      <c r="T70" s="2">
        <f>-1507.5</f>
        <v>-1507.5</v>
      </c>
      <c r="U70" s="2"/>
      <c r="V70" s="22"/>
      <c r="W70" s="2"/>
      <c r="X70" s="2">
        <f t="shared" si="2"/>
        <v>900.35</v>
      </c>
      <c r="Y70" s="2"/>
      <c r="Z70" s="22">
        <f t="shared" si="3"/>
        <v>-0.59724709784411278</v>
      </c>
    </row>
    <row r="71" spans="1:26" s="24" customFormat="1" hidden="1" outlineLevel="1" x14ac:dyDescent="0.25">
      <c r="A71" s="50"/>
      <c r="B71" s="11" t="str">
        <f>CONCATENATE("          ", "4202", " - ", "SALES RETURN TAXABLE-USED TEXT")</f>
        <v xml:space="preserve">          4202 - SALES RETURN TAXABLE-USED TEXT</v>
      </c>
      <c r="C71" s="11"/>
      <c r="D71" s="2">
        <f>-721.45</f>
        <v>-721.45</v>
      </c>
      <c r="E71" s="2"/>
      <c r="F71" s="22"/>
      <c r="G71" s="2"/>
      <c r="H71" s="2">
        <f>-579.25</f>
        <v>-579.25</v>
      </c>
      <c r="I71" s="2"/>
      <c r="J71" s="22"/>
      <c r="K71" s="2"/>
      <c r="L71" s="2">
        <f t="shared" si="0"/>
        <v>-142.20000000000005</v>
      </c>
      <c r="M71" s="2"/>
      <c r="N71" s="22">
        <f t="shared" si="1"/>
        <v>0.2454898575744498</v>
      </c>
      <c r="O71" s="11"/>
      <c r="P71" s="2">
        <f>-721.45</f>
        <v>-721.45</v>
      </c>
      <c r="Q71" s="2"/>
      <c r="R71" s="22"/>
      <c r="S71" s="2"/>
      <c r="T71" s="2">
        <f>-579.25</f>
        <v>-579.25</v>
      </c>
      <c r="U71" s="2"/>
      <c r="V71" s="22"/>
      <c r="W71" s="2"/>
      <c r="X71" s="2">
        <f t="shared" si="2"/>
        <v>-142.20000000000005</v>
      </c>
      <c r="Y71" s="2"/>
      <c r="Z71" s="22">
        <f t="shared" si="3"/>
        <v>0.2454898575744498</v>
      </c>
    </row>
    <row r="72" spans="1:26" s="24" customFormat="1" hidden="1" outlineLevel="1" x14ac:dyDescent="0.25">
      <c r="A72" s="50"/>
      <c r="B72" s="11" t="str">
        <f>CONCATENATE("          ", "4204", " - ", "SALES RETURN TAXABLE-DIGITAL T")</f>
        <v xml:space="preserve">          4204 - SALES RETURN TAXABLE-DIGITAL T</v>
      </c>
      <c r="C72" s="11"/>
      <c r="D72" s="2">
        <f t="shared" ref="D72:D73" si="4">0</f>
        <v>0</v>
      </c>
      <c r="E72" s="2"/>
      <c r="F72" s="22"/>
      <c r="G72" s="2"/>
      <c r="H72" s="2">
        <f>-85</f>
        <v>-85</v>
      </c>
      <c r="I72" s="2"/>
      <c r="J72" s="22"/>
      <c r="K72" s="2"/>
      <c r="L72" s="2">
        <f t="shared" si="0"/>
        <v>85</v>
      </c>
      <c r="M72" s="2"/>
      <c r="N72" s="22">
        <f t="shared" si="1"/>
        <v>-1</v>
      </c>
      <c r="O72" s="11"/>
      <c r="P72" s="2">
        <f t="shared" ref="P72:P73" si="5">0</f>
        <v>0</v>
      </c>
      <c r="Q72" s="2"/>
      <c r="R72" s="22"/>
      <c r="S72" s="2"/>
      <c r="T72" s="2">
        <f>-85</f>
        <v>-85</v>
      </c>
      <c r="U72" s="2"/>
      <c r="V72" s="22"/>
      <c r="W72" s="2"/>
      <c r="X72" s="2">
        <f t="shared" si="2"/>
        <v>85</v>
      </c>
      <c r="Y72" s="2"/>
      <c r="Z72" s="22">
        <f t="shared" si="3"/>
        <v>-1</v>
      </c>
    </row>
    <row r="73" spans="1:26" s="24" customFormat="1" hidden="1" outlineLevel="1" x14ac:dyDescent="0.25">
      <c r="A73" s="50"/>
      <c r="B73" s="11" t="str">
        <f>CONCATENATE("          ", "4218", " - ", "SALES RETURN TAXABLE-STUDY GUI")</f>
        <v xml:space="preserve">          4218 - SALES RETURN TAXABLE-STUDY GUI</v>
      </c>
      <c r="C73" s="11"/>
      <c r="D73" s="2">
        <f t="shared" si="4"/>
        <v>0</v>
      </c>
      <c r="E73" s="2"/>
      <c r="F73" s="22"/>
      <c r="G73" s="2"/>
      <c r="H73" s="2">
        <f>-15.95</f>
        <v>-15.95</v>
      </c>
      <c r="I73" s="2"/>
      <c r="J73" s="22"/>
      <c r="K73" s="2"/>
      <c r="L73" s="2">
        <f t="shared" si="0"/>
        <v>15.95</v>
      </c>
      <c r="M73" s="2"/>
      <c r="N73" s="22">
        <f t="shared" si="1"/>
        <v>-1</v>
      </c>
      <c r="O73" s="11"/>
      <c r="P73" s="2">
        <f t="shared" si="5"/>
        <v>0</v>
      </c>
      <c r="Q73" s="2"/>
      <c r="R73" s="22"/>
      <c r="S73" s="2"/>
      <c r="T73" s="2">
        <f>-15.95</f>
        <v>-15.95</v>
      </c>
      <c r="U73" s="2"/>
      <c r="V73" s="22"/>
      <c r="W73" s="2"/>
      <c r="X73" s="2">
        <f t="shared" si="2"/>
        <v>15.95</v>
      </c>
      <c r="Y73" s="2"/>
      <c r="Z73" s="22">
        <f t="shared" si="3"/>
        <v>-1</v>
      </c>
    </row>
    <row r="74" spans="1:26" s="24" customFormat="1" hidden="1" outlineLevel="1" x14ac:dyDescent="0.25">
      <c r="A74" s="50"/>
      <c r="B74" s="11" t="str">
        <f>CONCATENATE("          ", "4225", " - ", "SALES RETURN TAXABLE-TEST FORM")</f>
        <v xml:space="preserve">          4225 - SALES RETURN TAXABLE-TEST FORM</v>
      </c>
      <c r="C74" s="11"/>
      <c r="D74" s="2">
        <f>-4.08</f>
        <v>-4.08</v>
      </c>
      <c r="E74" s="2"/>
      <c r="F74" s="22"/>
      <c r="G74" s="2"/>
      <c r="H74" s="2">
        <f>-6.78</f>
        <v>-6.78</v>
      </c>
      <c r="I74" s="2"/>
      <c r="J74" s="22"/>
      <c r="K74" s="2"/>
      <c r="L74" s="2">
        <f t="shared" si="0"/>
        <v>2.7</v>
      </c>
      <c r="M74" s="2"/>
      <c r="N74" s="22">
        <f t="shared" si="1"/>
        <v>-0.39823008849557523</v>
      </c>
      <c r="O74" s="11"/>
      <c r="P74" s="2">
        <f>-4.08</f>
        <v>-4.08</v>
      </c>
      <c r="Q74" s="2"/>
      <c r="R74" s="22"/>
      <c r="S74" s="2"/>
      <c r="T74" s="2">
        <f>-6.78</f>
        <v>-6.78</v>
      </c>
      <c r="U74" s="2"/>
      <c r="V74" s="22"/>
      <c r="W74" s="2"/>
      <c r="X74" s="2">
        <f t="shared" si="2"/>
        <v>2.7</v>
      </c>
      <c r="Y74" s="2"/>
      <c r="Z74" s="22">
        <f t="shared" si="3"/>
        <v>-0.39823008849557523</v>
      </c>
    </row>
    <row r="75" spans="1:26" s="24" customFormat="1" hidden="1" outlineLevel="1" x14ac:dyDescent="0.25">
      <c r="A75" s="50"/>
      <c r="B75" s="11" t="str">
        <f>CONCATENATE("          ", "4226", " - ", "SALES RETURN TAXABLE-WRITING I")</f>
        <v xml:space="preserve">          4226 - SALES RETURN TAXABLE-WRITING I</v>
      </c>
      <c r="C75" s="11"/>
      <c r="D75" s="2">
        <f>-63.93</f>
        <v>-63.93</v>
      </c>
      <c r="E75" s="2"/>
      <c r="F75" s="22"/>
      <c r="G75" s="2"/>
      <c r="H75" s="2">
        <f>-11.17</f>
        <v>-11.17</v>
      </c>
      <c r="I75" s="2"/>
      <c r="J75" s="22"/>
      <c r="K75" s="2"/>
      <c r="L75" s="2">
        <f t="shared" si="0"/>
        <v>-52.76</v>
      </c>
      <c r="M75" s="2"/>
      <c r="N75" s="22">
        <f t="shared" si="1"/>
        <v>4.7233661593554164</v>
      </c>
      <c r="O75" s="11"/>
      <c r="P75" s="2">
        <f>-63.93</f>
        <v>-63.93</v>
      </c>
      <c r="Q75" s="2"/>
      <c r="R75" s="22"/>
      <c r="S75" s="2"/>
      <c r="T75" s="2">
        <f>-11.17</f>
        <v>-11.17</v>
      </c>
      <c r="U75" s="2"/>
      <c r="V75" s="22"/>
      <c r="W75" s="2"/>
      <c r="X75" s="2">
        <f t="shared" si="2"/>
        <v>-52.76</v>
      </c>
      <c r="Y75" s="2"/>
      <c r="Z75" s="22">
        <f t="shared" si="3"/>
        <v>4.7233661593554164</v>
      </c>
    </row>
    <row r="76" spans="1:26" s="24" customFormat="1" hidden="1" outlineLevel="1" x14ac:dyDescent="0.25">
      <c r="A76" s="50"/>
      <c r="B76" s="11" t="str">
        <f>CONCATENATE("          ", "4227", " - ", "SALES RETURN TAXABLE-SCHOOL SU")</f>
        <v xml:space="preserve">          4227 - SALES RETURN TAXABLE-SCHOOL SU</v>
      </c>
      <c r="C76" s="11"/>
      <c r="D76" s="2">
        <f>-165.44</f>
        <v>-165.44</v>
      </c>
      <c r="E76" s="2"/>
      <c r="F76" s="22"/>
      <c r="G76" s="2"/>
      <c r="H76" s="2">
        <f>-121.97</f>
        <v>-121.97</v>
      </c>
      <c r="I76" s="2"/>
      <c r="J76" s="22"/>
      <c r="K76" s="2"/>
      <c r="L76" s="2">
        <f t="shared" si="0"/>
        <v>-43.47</v>
      </c>
      <c r="M76" s="2"/>
      <c r="N76" s="22">
        <f t="shared" si="1"/>
        <v>0.35639911453636142</v>
      </c>
      <c r="O76" s="11"/>
      <c r="P76" s="2">
        <f>-165.44</f>
        <v>-165.44</v>
      </c>
      <c r="Q76" s="2"/>
      <c r="R76" s="22"/>
      <c r="S76" s="2"/>
      <c r="T76" s="2">
        <f>-121.97</f>
        <v>-121.97</v>
      </c>
      <c r="U76" s="2"/>
      <c r="V76" s="22"/>
      <c r="W76" s="2"/>
      <c r="X76" s="2">
        <f t="shared" si="2"/>
        <v>-43.47</v>
      </c>
      <c r="Y76" s="2"/>
      <c r="Z76" s="22">
        <f t="shared" si="3"/>
        <v>0.35639911453636142</v>
      </c>
    </row>
    <row r="77" spans="1:26" s="24" customFormat="1" hidden="1" outlineLevel="1" x14ac:dyDescent="0.25">
      <c r="A77" s="50"/>
      <c r="B77" s="11" t="str">
        <f>CONCATENATE("          ", "4228", " - ", "SALES RETURN TAXABLE-ART/TECH")</f>
        <v xml:space="preserve">          4228 - SALES RETURN TAXABLE-ART/TECH</v>
      </c>
      <c r="C77" s="11"/>
      <c r="D77" s="2">
        <f>-10.37</f>
        <v>-10.37</v>
      </c>
      <c r="E77" s="2"/>
      <c r="F77" s="22"/>
      <c r="G77" s="2"/>
      <c r="H77" s="2">
        <f>-149.44</f>
        <v>-149.44</v>
      </c>
      <c r="I77" s="2"/>
      <c r="J77" s="22"/>
      <c r="K77" s="2"/>
      <c r="L77" s="2">
        <f t="shared" si="0"/>
        <v>139.07</v>
      </c>
      <c r="M77" s="2"/>
      <c r="N77" s="22">
        <f t="shared" si="1"/>
        <v>-0.93060760171306212</v>
      </c>
      <c r="O77" s="11"/>
      <c r="P77" s="2">
        <f>-10.37</f>
        <v>-10.37</v>
      </c>
      <c r="Q77" s="2"/>
      <c r="R77" s="22"/>
      <c r="S77" s="2"/>
      <c r="T77" s="2">
        <f>-149.44</f>
        <v>-149.44</v>
      </c>
      <c r="U77" s="2"/>
      <c r="V77" s="22"/>
      <c r="W77" s="2"/>
      <c r="X77" s="2">
        <f t="shared" si="2"/>
        <v>139.07</v>
      </c>
      <c r="Y77" s="2"/>
      <c r="Z77" s="22">
        <f t="shared" si="3"/>
        <v>-0.93060760171306212</v>
      </c>
    </row>
    <row r="78" spans="1:26" s="24" customFormat="1" hidden="1" outlineLevel="1" x14ac:dyDescent="0.25">
      <c r="A78" s="50"/>
      <c r="B78" s="11" t="str">
        <f>CONCATENATE("          ", "4240", " - ", "SALES RETURN TAXABLE-LOGO CLOT")</f>
        <v xml:space="preserve">          4240 - SALES RETURN TAXABLE-LOGO CLOT</v>
      </c>
      <c r="C78" s="11"/>
      <c r="D78" s="2">
        <f>-4446.84</f>
        <v>-4446.84</v>
      </c>
      <c r="E78" s="2"/>
      <c r="F78" s="22"/>
      <c r="G78" s="2"/>
      <c r="H78" s="2">
        <f>-5229.95</f>
        <v>-5229.95</v>
      </c>
      <c r="I78" s="2"/>
      <c r="J78" s="22"/>
      <c r="K78" s="2"/>
      <c r="L78" s="2">
        <f t="shared" si="0"/>
        <v>783.10999999999967</v>
      </c>
      <c r="M78" s="2"/>
      <c r="N78" s="22">
        <f t="shared" si="1"/>
        <v>-0.14973565712865319</v>
      </c>
      <c r="O78" s="11"/>
      <c r="P78" s="2">
        <f>-4446.84</f>
        <v>-4446.84</v>
      </c>
      <c r="Q78" s="2"/>
      <c r="R78" s="22"/>
      <c r="S78" s="2"/>
      <c r="T78" s="2">
        <f>-5229.95</f>
        <v>-5229.95</v>
      </c>
      <c r="U78" s="2"/>
      <c r="V78" s="22"/>
      <c r="W78" s="2"/>
      <c r="X78" s="2">
        <f t="shared" si="2"/>
        <v>783.10999999999967</v>
      </c>
      <c r="Y78" s="2"/>
      <c r="Z78" s="22">
        <f t="shared" si="3"/>
        <v>-0.14973565712865319</v>
      </c>
    </row>
    <row r="79" spans="1:26" s="24" customFormat="1" hidden="1" outlineLevel="1" x14ac:dyDescent="0.25">
      <c r="A79" s="50"/>
      <c r="B79" s="11" t="str">
        <f>CONCATENATE("          ", "4241", " - ", "SALES RETURN TAXABLE-LOGO GIFT")</f>
        <v xml:space="preserve">          4241 - SALES RETURN TAXABLE-LOGO GIFT</v>
      </c>
      <c r="C79" s="11"/>
      <c r="D79" s="2">
        <f>-718.9</f>
        <v>-718.9</v>
      </c>
      <c r="E79" s="2"/>
      <c r="F79" s="22"/>
      <c r="G79" s="2"/>
      <c r="H79" s="2">
        <f>-475.06</f>
        <v>-475.06</v>
      </c>
      <c r="I79" s="2"/>
      <c r="J79" s="22"/>
      <c r="K79" s="2"/>
      <c r="L79" s="2">
        <f t="shared" si="0"/>
        <v>-243.83999999999997</v>
      </c>
      <c r="M79" s="2"/>
      <c r="N79" s="22">
        <f t="shared" si="1"/>
        <v>0.51328253273270741</v>
      </c>
      <c r="O79" s="11"/>
      <c r="P79" s="2">
        <f>-718.9</f>
        <v>-718.9</v>
      </c>
      <c r="Q79" s="2"/>
      <c r="R79" s="22"/>
      <c r="S79" s="2"/>
      <c r="T79" s="2">
        <f>-475.06</f>
        <v>-475.06</v>
      </c>
      <c r="U79" s="2"/>
      <c r="V79" s="22"/>
      <c r="W79" s="2"/>
      <c r="X79" s="2">
        <f t="shared" si="2"/>
        <v>-243.83999999999997</v>
      </c>
      <c r="Y79" s="2"/>
      <c r="Z79" s="22">
        <f t="shared" si="3"/>
        <v>0.51328253273270741</v>
      </c>
    </row>
    <row r="80" spans="1:26" s="24" customFormat="1" hidden="1" outlineLevel="1" x14ac:dyDescent="0.25">
      <c r="A80" s="50"/>
      <c r="B80" s="11" t="str">
        <f>CONCATENATE("          ", "4242", " - ", "SALES RETURN TAXABLE-EVERYDAY")</f>
        <v xml:space="preserve">          4242 - SALES RETURN TAXABLE-EVERYDAY</v>
      </c>
      <c r="C80" s="11"/>
      <c r="D80" s="2">
        <f>-373.98</f>
        <v>-373.98</v>
      </c>
      <c r="E80" s="2"/>
      <c r="F80" s="22"/>
      <c r="G80" s="2"/>
      <c r="H80" s="2">
        <f>-160.74</f>
        <v>-160.74</v>
      </c>
      <c r="I80" s="2"/>
      <c r="J80" s="22"/>
      <c r="K80" s="2"/>
      <c r="L80" s="2">
        <f t="shared" si="0"/>
        <v>-213.24</v>
      </c>
      <c r="M80" s="2"/>
      <c r="N80" s="22">
        <f t="shared" si="1"/>
        <v>1.3266144083613289</v>
      </c>
      <c r="O80" s="11"/>
      <c r="P80" s="2">
        <f>-373.98</f>
        <v>-373.98</v>
      </c>
      <c r="Q80" s="2"/>
      <c r="R80" s="22"/>
      <c r="S80" s="2"/>
      <c r="T80" s="2">
        <f>-160.74</f>
        <v>-160.74</v>
      </c>
      <c r="U80" s="2"/>
      <c r="V80" s="22"/>
      <c r="W80" s="2"/>
      <c r="X80" s="2">
        <f t="shared" si="2"/>
        <v>-213.24</v>
      </c>
      <c r="Y80" s="2"/>
      <c r="Z80" s="22">
        <f t="shared" si="3"/>
        <v>1.3266144083613289</v>
      </c>
    </row>
    <row r="81" spans="1:26" s="24" customFormat="1" hidden="1" outlineLevel="1" x14ac:dyDescent="0.25">
      <c r="A81" s="50"/>
      <c r="B81" s="11" t="str">
        <f>CONCATENATE("          ", "4244", " - ", "SALES RETURN TAXABLE-ACCESSORI")</f>
        <v xml:space="preserve">          4244 - SALES RETURN TAXABLE-ACCESSORI</v>
      </c>
      <c r="C81" s="11"/>
      <c r="D81" s="2">
        <f>-106.79</f>
        <v>-106.79</v>
      </c>
      <c r="E81" s="2"/>
      <c r="F81" s="22"/>
      <c r="G81" s="2"/>
      <c r="H81" s="2">
        <f>-144.9</f>
        <v>-144.9</v>
      </c>
      <c r="I81" s="2"/>
      <c r="J81" s="22"/>
      <c r="K81" s="2"/>
      <c r="L81" s="2">
        <f t="shared" si="0"/>
        <v>38.11</v>
      </c>
      <c r="M81" s="2"/>
      <c r="N81" s="22">
        <f t="shared" si="1"/>
        <v>-0.26300897170462384</v>
      </c>
      <c r="O81" s="11"/>
      <c r="P81" s="2">
        <f>-106.79</f>
        <v>-106.79</v>
      </c>
      <c r="Q81" s="2"/>
      <c r="R81" s="22"/>
      <c r="S81" s="2"/>
      <c r="T81" s="2">
        <f>-144.9</f>
        <v>-144.9</v>
      </c>
      <c r="U81" s="2"/>
      <c r="V81" s="22"/>
      <c r="W81" s="2"/>
      <c r="X81" s="2">
        <f t="shared" si="2"/>
        <v>38.11</v>
      </c>
      <c r="Y81" s="2"/>
      <c r="Z81" s="22">
        <f t="shared" si="3"/>
        <v>-0.26300897170462384</v>
      </c>
    </row>
    <row r="82" spans="1:26" s="24" customFormat="1" hidden="1" outlineLevel="1" x14ac:dyDescent="0.25">
      <c r="A82" s="50"/>
      <c r="B82" s="11" t="str">
        <f>CONCATENATE("          ", "4245", " - ", "SALES RETURN TAXABLE-SPECIAL O")</f>
        <v xml:space="preserve">          4245 - SALES RETURN TAXABLE-SPECIAL O</v>
      </c>
      <c r="C82" s="11"/>
      <c r="D82" s="2">
        <f>0</f>
        <v>0</v>
      </c>
      <c r="E82" s="2"/>
      <c r="F82" s="22"/>
      <c r="G82" s="2"/>
      <c r="H82" s="2">
        <f>-19.95</f>
        <v>-19.95</v>
      </c>
      <c r="I82" s="2"/>
      <c r="J82" s="22"/>
      <c r="K82" s="2"/>
      <c r="L82" s="2">
        <f t="shared" si="0"/>
        <v>19.95</v>
      </c>
      <c r="M82" s="2"/>
      <c r="N82" s="22">
        <f t="shared" si="1"/>
        <v>-1</v>
      </c>
      <c r="O82" s="11"/>
      <c r="P82" s="2">
        <f>0</f>
        <v>0</v>
      </c>
      <c r="Q82" s="2"/>
      <c r="R82" s="22"/>
      <c r="S82" s="2"/>
      <c r="T82" s="2">
        <f>-19.95</f>
        <v>-19.95</v>
      </c>
      <c r="U82" s="2"/>
      <c r="V82" s="22"/>
      <c r="W82" s="2"/>
      <c r="X82" s="2">
        <f t="shared" si="2"/>
        <v>19.95</v>
      </c>
      <c r="Y82" s="2"/>
      <c r="Z82" s="22">
        <f t="shared" si="3"/>
        <v>-1</v>
      </c>
    </row>
    <row r="83" spans="1:26" s="24" customFormat="1" hidden="1" outlineLevel="1" x14ac:dyDescent="0.25">
      <c r="A83" s="50"/>
      <c r="B83" s="11" t="str">
        <f>CONCATENATE("          ", "4292", " - ", "SALES RETURN TAXABLE-GRAD MERC")</f>
        <v xml:space="preserve">          4292 - SALES RETURN TAXABLE-GRAD MERC</v>
      </c>
      <c r="C83" s="11"/>
      <c r="D83" s="2">
        <f>-9.95</f>
        <v>-9.9499999999999993</v>
      </c>
      <c r="E83" s="2"/>
      <c r="F83" s="22"/>
      <c r="G83" s="2"/>
      <c r="H83" s="2">
        <f>-478.25</f>
        <v>-478.25</v>
      </c>
      <c r="I83" s="2"/>
      <c r="J83" s="22"/>
      <c r="K83" s="2"/>
      <c r="L83" s="2">
        <f t="shared" si="0"/>
        <v>468.3</v>
      </c>
      <c r="M83" s="2"/>
      <c r="N83" s="22">
        <f t="shared" si="1"/>
        <v>-0.97919498170412966</v>
      </c>
      <c r="O83" s="11"/>
      <c r="P83" s="2">
        <f>-9.95</f>
        <v>-9.9499999999999993</v>
      </c>
      <c r="Q83" s="2"/>
      <c r="R83" s="22"/>
      <c r="S83" s="2"/>
      <c r="T83" s="2">
        <f>-478.25</f>
        <v>-478.25</v>
      </c>
      <c r="U83" s="2"/>
      <c r="V83" s="22"/>
      <c r="W83" s="2"/>
      <c r="X83" s="2">
        <f t="shared" si="2"/>
        <v>468.3</v>
      </c>
      <c r="Y83" s="2"/>
      <c r="Z83" s="22">
        <f t="shared" si="3"/>
        <v>-0.97919498170412966</v>
      </c>
    </row>
    <row r="84" spans="1:26" s="24" customFormat="1" hidden="1" outlineLevel="1" x14ac:dyDescent="0.25">
      <c r="A84" s="50"/>
      <c r="B84" s="11" t="str">
        <f>CONCATENATE("          ", "4301", " - ", "SALES RETURN NON TAXABLE-NEW T")</f>
        <v xml:space="preserve">          4301 - SALES RETURN NON TAXABLE-NEW T</v>
      </c>
      <c r="C84" s="11"/>
      <c r="D84" s="2">
        <f>-254.59</f>
        <v>-254.59</v>
      </c>
      <c r="E84" s="2"/>
      <c r="F84" s="22"/>
      <c r="G84" s="2"/>
      <c r="H84" s="2">
        <f>-996.13</f>
        <v>-996.13</v>
      </c>
      <c r="I84" s="2"/>
      <c r="J84" s="22"/>
      <c r="K84" s="2"/>
      <c r="L84" s="2">
        <f t="shared" si="0"/>
        <v>741.54</v>
      </c>
      <c r="M84" s="2"/>
      <c r="N84" s="22">
        <f t="shared" si="1"/>
        <v>-0.74442090891751078</v>
      </c>
      <c r="O84" s="11"/>
      <c r="P84" s="2">
        <f>-254.59</f>
        <v>-254.59</v>
      </c>
      <c r="Q84" s="2"/>
      <c r="R84" s="22"/>
      <c r="S84" s="2"/>
      <c r="T84" s="2">
        <f>-996.13</f>
        <v>-996.13</v>
      </c>
      <c r="U84" s="2"/>
      <c r="V84" s="22"/>
      <c r="W84" s="2"/>
      <c r="X84" s="2">
        <f t="shared" si="2"/>
        <v>741.54</v>
      </c>
      <c r="Y84" s="2"/>
      <c r="Z84" s="22">
        <f t="shared" si="3"/>
        <v>-0.74442090891751078</v>
      </c>
    </row>
    <row r="85" spans="1:26" s="24" customFormat="1" hidden="1" outlineLevel="1" x14ac:dyDescent="0.25">
      <c r="A85" s="50"/>
      <c r="B85" s="11" t="str">
        <f>CONCATENATE("          ", "4302", " - ", "SALES RETURN NON TAXABLE-TEXT")</f>
        <v xml:space="preserve">          4302 - SALES RETURN NON TAXABLE-TEXT</v>
      </c>
      <c r="C85" s="11"/>
      <c r="D85" s="2">
        <f t="shared" ref="D85:D86" si="6">0</f>
        <v>0</v>
      </c>
      <c r="E85" s="2"/>
      <c r="F85" s="22"/>
      <c r="G85" s="2"/>
      <c r="H85" s="2">
        <f>-112.8</f>
        <v>-112.8</v>
      </c>
      <c r="I85" s="2"/>
      <c r="J85" s="22"/>
      <c r="K85" s="2"/>
      <c r="L85" s="2">
        <f t="shared" si="0"/>
        <v>112.8</v>
      </c>
      <c r="M85" s="2"/>
      <c r="N85" s="22">
        <f t="shared" si="1"/>
        <v>-1</v>
      </c>
      <c r="O85" s="11"/>
      <c r="P85" s="2">
        <f t="shared" ref="P85:P86" si="7">0</f>
        <v>0</v>
      </c>
      <c r="Q85" s="2"/>
      <c r="R85" s="22"/>
      <c r="S85" s="2"/>
      <c r="T85" s="2">
        <f>-112.8</f>
        <v>-112.8</v>
      </c>
      <c r="U85" s="2"/>
      <c r="V85" s="22"/>
      <c r="W85" s="2"/>
      <c r="X85" s="2">
        <f t="shared" si="2"/>
        <v>112.8</v>
      </c>
      <c r="Y85" s="2"/>
      <c r="Z85" s="22">
        <f t="shared" si="3"/>
        <v>-1</v>
      </c>
    </row>
    <row r="86" spans="1:26" s="24" customFormat="1" hidden="1" outlineLevel="1" x14ac:dyDescent="0.25">
      <c r="A86" s="50"/>
      <c r="B86" s="11" t="str">
        <f>CONCATENATE("          ", "4304", " - ", "SALES RETURN NON TAXABLE-DIGIT")</f>
        <v xml:space="preserve">          4304 - SALES RETURN NON TAXABLE-DIGIT</v>
      </c>
      <c r="C86" s="11"/>
      <c r="D86" s="2">
        <f t="shared" si="6"/>
        <v>0</v>
      </c>
      <c r="E86" s="2"/>
      <c r="F86" s="22"/>
      <c r="G86" s="2"/>
      <c r="H86" s="2">
        <f>-20</f>
        <v>-20</v>
      </c>
      <c r="I86" s="2"/>
      <c r="J86" s="22"/>
      <c r="K86" s="2"/>
      <c r="L86" s="2">
        <f t="shared" si="0"/>
        <v>20</v>
      </c>
      <c r="M86" s="2"/>
      <c r="N86" s="22">
        <f t="shared" si="1"/>
        <v>-1</v>
      </c>
      <c r="O86" s="11"/>
      <c r="P86" s="2">
        <f t="shared" si="7"/>
        <v>0</v>
      </c>
      <c r="Q86" s="2"/>
      <c r="R86" s="22"/>
      <c r="S86" s="2"/>
      <c r="T86" s="2">
        <f>-20</f>
        <v>-20</v>
      </c>
      <c r="U86" s="2"/>
      <c r="V86" s="22"/>
      <c r="W86" s="2"/>
      <c r="X86" s="2">
        <f t="shared" si="2"/>
        <v>20</v>
      </c>
      <c r="Y86" s="2"/>
      <c r="Z86" s="22">
        <f t="shared" si="3"/>
        <v>-1</v>
      </c>
    </row>
    <row r="87" spans="1:26" s="24" customFormat="1" hidden="1" outlineLevel="1" x14ac:dyDescent="0.25">
      <c r="A87" s="50"/>
      <c r="B87" s="11" t="str">
        <f>CONCATENATE("          ", "4311", " - ", "SALES RETURN NON TAXABLE-NO VA")</f>
        <v xml:space="preserve">          4311 - SALES RETURN NON TAXABLE-NO VA</v>
      </c>
      <c r="C87" s="11"/>
      <c r="D87" s="2">
        <f>-31.98</f>
        <v>-31.98</v>
      </c>
      <c r="E87" s="2"/>
      <c r="F87" s="22"/>
      <c r="G87" s="2"/>
      <c r="H87" s="2">
        <f>-44.38</f>
        <v>-44.38</v>
      </c>
      <c r="I87" s="2"/>
      <c r="J87" s="22"/>
      <c r="K87" s="2"/>
      <c r="L87" s="2">
        <f t="shared" si="0"/>
        <v>12.400000000000002</v>
      </c>
      <c r="M87" s="2"/>
      <c r="N87" s="22">
        <f t="shared" si="1"/>
        <v>-0.27940513744930151</v>
      </c>
      <c r="O87" s="11"/>
      <c r="P87" s="2">
        <f>-31.98</f>
        <v>-31.98</v>
      </c>
      <c r="Q87" s="2"/>
      <c r="R87" s="22"/>
      <c r="S87" s="2"/>
      <c r="T87" s="2">
        <f>-44.38</f>
        <v>-44.38</v>
      </c>
      <c r="U87" s="2"/>
      <c r="V87" s="22"/>
      <c r="W87" s="2"/>
      <c r="X87" s="2">
        <f t="shared" si="2"/>
        <v>12.400000000000002</v>
      </c>
      <c r="Y87" s="2"/>
      <c r="Z87" s="22">
        <f t="shared" si="3"/>
        <v>-0.27940513744930151</v>
      </c>
    </row>
    <row r="88" spans="1:26" s="24" customFormat="1" hidden="1" outlineLevel="1" x14ac:dyDescent="0.25">
      <c r="A88" s="50"/>
      <c r="B88" s="11" t="str">
        <f>CONCATENATE("          ", "4326", " - ", "SALES RETURN NON TAXABLE-WRITI")</f>
        <v xml:space="preserve">          4326 - SALES RETURN NON TAXABLE-WRITI</v>
      </c>
      <c r="C88" s="11"/>
      <c r="D88" s="2">
        <f>0</f>
        <v>0</v>
      </c>
      <c r="E88" s="2"/>
      <c r="F88" s="22"/>
      <c r="G88" s="2"/>
      <c r="H88" s="2">
        <f>-2.29</f>
        <v>-2.29</v>
      </c>
      <c r="I88" s="2"/>
      <c r="J88" s="22"/>
      <c r="K88" s="2"/>
      <c r="L88" s="2">
        <f t="shared" si="0"/>
        <v>2.29</v>
      </c>
      <c r="M88" s="2"/>
      <c r="N88" s="22">
        <f t="shared" si="1"/>
        <v>-1</v>
      </c>
      <c r="O88" s="11"/>
      <c r="P88" s="2">
        <f>0</f>
        <v>0</v>
      </c>
      <c r="Q88" s="2"/>
      <c r="R88" s="22"/>
      <c r="S88" s="2"/>
      <c r="T88" s="2">
        <f>-2.29</f>
        <v>-2.29</v>
      </c>
      <c r="U88" s="2"/>
      <c r="V88" s="22"/>
      <c r="W88" s="2"/>
      <c r="X88" s="2">
        <f t="shared" si="2"/>
        <v>2.29</v>
      </c>
      <c r="Y88" s="2"/>
      <c r="Z88" s="22">
        <f t="shared" si="3"/>
        <v>-1</v>
      </c>
    </row>
    <row r="89" spans="1:26" s="24" customFormat="1" hidden="1" outlineLevel="1" x14ac:dyDescent="0.25">
      <c r="A89" s="50"/>
      <c r="B89" s="11" t="str">
        <f>CONCATENATE("          ", "4340", " - ", "SALES RETURN NON TAXABLE-LOGO")</f>
        <v xml:space="preserve">          4340 - SALES RETURN NON TAXABLE-LOGO</v>
      </c>
      <c r="C89" s="11"/>
      <c r="D89" s="2">
        <f>-223.55</f>
        <v>-223.55</v>
      </c>
      <c r="E89" s="2"/>
      <c r="F89" s="22"/>
      <c r="G89" s="2"/>
      <c r="H89" s="2">
        <f>0</f>
        <v>0</v>
      </c>
      <c r="I89" s="2"/>
      <c r="J89" s="22"/>
      <c r="K89" s="2"/>
      <c r="L89" s="2">
        <f t="shared" si="0"/>
        <v>-223.55</v>
      </c>
      <c r="M89" s="2"/>
      <c r="N89" s="22">
        <f t="shared" si="1"/>
        <v>0</v>
      </c>
      <c r="O89" s="11"/>
      <c r="P89" s="2">
        <f>-223.55</f>
        <v>-223.55</v>
      </c>
      <c r="Q89" s="2"/>
      <c r="R89" s="22"/>
      <c r="S89" s="2"/>
      <c r="T89" s="2">
        <f>0</f>
        <v>0</v>
      </c>
      <c r="U89" s="2"/>
      <c r="V89" s="22"/>
      <c r="W89" s="2"/>
      <c r="X89" s="2">
        <f t="shared" si="2"/>
        <v>-223.55</v>
      </c>
      <c r="Y89" s="2"/>
      <c r="Z89" s="22">
        <f t="shared" si="3"/>
        <v>0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collapsed="1" x14ac:dyDescent="0.25">
      <c r="A91" s="10"/>
      <c r="B91" s="26" t="s">
        <v>8</v>
      </c>
      <c r="C91" s="10"/>
      <c r="D91" s="4">
        <f>SUM(OSRRefD16x_0)</f>
        <v>193922.42999999996</v>
      </c>
      <c r="E91" s="4"/>
      <c r="F91" s="12">
        <f t="shared" ref="F91:F131" si="8">IF(D$12=0,0,D91/D$12)</f>
        <v>0.55101245280494826</v>
      </c>
      <c r="G91" s="4"/>
      <c r="H91" s="4">
        <f>SUM(OSRRefH16x_0)</f>
        <v>211695.68999999992</v>
      </c>
      <c r="I91" s="4"/>
      <c r="J91" s="12">
        <f t="shared" ref="J91:J131" si="9">IF(H$12=0,0,H91/H$12)</f>
        <v>0.55452490929718312</v>
      </c>
      <c r="K91" s="4"/>
      <c r="L91" s="4">
        <f t="shared" ref="L91:L131" si="10">+D91-H91</f>
        <v>-17773.259999999951</v>
      </c>
      <c r="M91" s="4"/>
      <c r="N91" s="12">
        <f t="shared" ref="N91:N131" si="11">IF(H91=0,0,L91/H91)</f>
        <v>-8.3956645503741517E-2</v>
      </c>
      <c r="O91" s="10"/>
      <c r="P91" s="4">
        <f>SUM(OSRRefP16x_0)</f>
        <v>193922.42999999996</v>
      </c>
      <c r="Q91" s="4"/>
      <c r="R91" s="12">
        <f t="shared" ref="R91:R131" si="12">IF(P$12=0,0,P91/P$12)</f>
        <v>0.55101245280494826</v>
      </c>
      <c r="S91" s="4"/>
      <c r="T91" s="4">
        <f>SUM(OSRRefT16x_0)</f>
        <v>211695.68999999992</v>
      </c>
      <c r="U91" s="4"/>
      <c r="V91" s="12">
        <f t="shared" ref="V91:V131" si="13">IF(T$12=0,0,T91/T$12)</f>
        <v>0.55452490929718312</v>
      </c>
      <c r="W91" s="4"/>
      <c r="X91" s="4">
        <f t="shared" ref="X91:X131" si="14">+P91-T91</f>
        <v>-17773.259999999951</v>
      </c>
      <c r="Y91" s="4"/>
      <c r="Z91" s="12">
        <f t="shared" ref="Z91:Z131" si="15">IF(T91=0,0,X91/T91)</f>
        <v>-8.3956645503741517E-2</v>
      </c>
    </row>
    <row r="92" spans="1:26" s="24" customFormat="1" hidden="1" outlineLevel="1" x14ac:dyDescent="0.25">
      <c r="A92" s="50"/>
      <c r="B92" s="11" t="str">
        <f>CONCATENATE("          ", "5001", " - ", "PURCHASES @ COST-NEW TEXT")</f>
        <v xml:space="preserve">          5001 - PURCHASES @ COST-NEW TEXT</v>
      </c>
      <c r="C92" s="11"/>
      <c r="D92" s="2">
        <v>343994.56</v>
      </c>
      <c r="E92" s="2"/>
      <c r="F92" s="22">
        <f t="shared" si="8"/>
        <v>0.97742837822916617</v>
      </c>
      <c r="G92" s="2"/>
      <c r="H92" s="2">
        <v>502071.74999999994</v>
      </c>
      <c r="I92" s="2"/>
      <c r="J92" s="22">
        <f t="shared" si="9"/>
        <v>1.3151486061403899</v>
      </c>
      <c r="K92" s="2"/>
      <c r="L92" s="2">
        <f t="shared" si="10"/>
        <v>-158077.18999999994</v>
      </c>
      <c r="M92" s="2"/>
      <c r="N92" s="22">
        <f t="shared" si="11"/>
        <v>-0.31484979985430361</v>
      </c>
      <c r="O92" s="11"/>
      <c r="P92" s="2">
        <v>343994.56</v>
      </c>
      <c r="Q92" s="2"/>
      <c r="R92" s="22">
        <f t="shared" si="12"/>
        <v>0.97742837822916617</v>
      </c>
      <c r="S92" s="2"/>
      <c r="T92" s="2">
        <v>502071.74999999994</v>
      </c>
      <c r="U92" s="2"/>
      <c r="V92" s="22">
        <f t="shared" si="13"/>
        <v>1.3151486061403899</v>
      </c>
      <c r="W92" s="2"/>
      <c r="X92" s="2">
        <f t="shared" si="14"/>
        <v>-158077.18999999994</v>
      </c>
      <c r="Y92" s="2"/>
      <c r="Z92" s="22">
        <f t="shared" si="15"/>
        <v>-0.31484979985430361</v>
      </c>
    </row>
    <row r="93" spans="1:26" s="24" customFormat="1" hidden="1" outlineLevel="1" x14ac:dyDescent="0.25">
      <c r="A93" s="50"/>
      <c r="B93" s="11" t="str">
        <f>CONCATENATE("          ", "5002", " - ", "PURCHASES @ COST-USED TEXT")</f>
        <v xml:space="preserve">          5002 - PURCHASES @ COST-USED TEXT</v>
      </c>
      <c r="C93" s="11"/>
      <c r="D93" s="2">
        <v>110293.25</v>
      </c>
      <c r="E93" s="2"/>
      <c r="F93" s="22">
        <f t="shared" si="8"/>
        <v>0.3133879572895687</v>
      </c>
      <c r="G93" s="2"/>
      <c r="H93" s="2">
        <v>-64118.3</v>
      </c>
      <c r="I93" s="2"/>
      <c r="J93" s="22">
        <f t="shared" si="9"/>
        <v>-0.16795426723987433</v>
      </c>
      <c r="K93" s="2"/>
      <c r="L93" s="2">
        <f t="shared" si="10"/>
        <v>174411.55</v>
      </c>
      <c r="M93" s="2"/>
      <c r="N93" s="22">
        <f t="shared" si="11"/>
        <v>-2.7201524369797698</v>
      </c>
      <c r="O93" s="11"/>
      <c r="P93" s="2">
        <v>110293.25</v>
      </c>
      <c r="Q93" s="2"/>
      <c r="R93" s="22">
        <f t="shared" si="12"/>
        <v>0.3133879572895687</v>
      </c>
      <c r="S93" s="2"/>
      <c r="T93" s="2">
        <v>-64118.3</v>
      </c>
      <c r="U93" s="2"/>
      <c r="V93" s="22">
        <f t="shared" si="13"/>
        <v>-0.16795426723987433</v>
      </c>
      <c r="W93" s="2"/>
      <c r="X93" s="2">
        <f t="shared" si="14"/>
        <v>174411.55</v>
      </c>
      <c r="Y93" s="2"/>
      <c r="Z93" s="22">
        <f t="shared" si="15"/>
        <v>-2.7201524369797698</v>
      </c>
    </row>
    <row r="94" spans="1:26" s="24" customFormat="1" hidden="1" outlineLevel="1" x14ac:dyDescent="0.25">
      <c r="A94" s="50"/>
      <c r="B94" s="11" t="str">
        <f>CONCATENATE("          ", "5003", " - ", "PURCHASES @ COST-RENTAL TEXT")</f>
        <v xml:space="preserve">          5003 - PURCHASES @ COST-RENTAL TEXT</v>
      </c>
      <c r="C94" s="11"/>
      <c r="D94" s="2">
        <v>38295.800000000003</v>
      </c>
      <c r="E94" s="2"/>
      <c r="F94" s="22">
        <f t="shared" si="8"/>
        <v>0.10881393498486866</v>
      </c>
      <c r="G94" s="2"/>
      <c r="H94" s="2">
        <v>-1763.7</v>
      </c>
      <c r="I94" s="2"/>
      <c r="J94" s="22">
        <f t="shared" si="9"/>
        <v>-4.6199125855015859E-3</v>
      </c>
      <c r="K94" s="2"/>
      <c r="L94" s="2">
        <f t="shared" si="10"/>
        <v>40059.5</v>
      </c>
      <c r="M94" s="2"/>
      <c r="N94" s="22">
        <f t="shared" si="11"/>
        <v>-22.713329931394227</v>
      </c>
      <c r="O94" s="11"/>
      <c r="P94" s="2">
        <v>38295.800000000003</v>
      </c>
      <c r="Q94" s="2"/>
      <c r="R94" s="22">
        <f t="shared" si="12"/>
        <v>0.10881393498486866</v>
      </c>
      <c r="S94" s="2"/>
      <c r="T94" s="2">
        <v>-1763.7</v>
      </c>
      <c r="U94" s="2"/>
      <c r="V94" s="22">
        <f t="shared" si="13"/>
        <v>-4.6199125855015859E-3</v>
      </c>
      <c r="W94" s="2"/>
      <c r="X94" s="2">
        <f t="shared" si="14"/>
        <v>40059.5</v>
      </c>
      <c r="Y94" s="2"/>
      <c r="Z94" s="22">
        <f t="shared" si="15"/>
        <v>-22.713329931394227</v>
      </c>
    </row>
    <row r="95" spans="1:26" s="24" customFormat="1" hidden="1" outlineLevel="1" x14ac:dyDescent="0.25">
      <c r="A95" s="50"/>
      <c r="B95" s="11" t="str">
        <f>CONCATENATE("          ", "5004", " - ", "PURCHASES @ COST-DIGITAL TEXT")</f>
        <v xml:space="preserve">          5004 - PURCHASES @ COST-DIGITAL TEXT</v>
      </c>
      <c r="C95" s="11"/>
      <c r="D95" s="2">
        <v>133958.57</v>
      </c>
      <c r="E95" s="2"/>
      <c r="F95" s="22">
        <f t="shared" si="8"/>
        <v>0.38063075132641117</v>
      </c>
      <c r="G95" s="2"/>
      <c r="H95" s="2">
        <v>145939.9</v>
      </c>
      <c r="I95" s="2"/>
      <c r="J95" s="22">
        <f t="shared" si="9"/>
        <v>0.38228132944199289</v>
      </c>
      <c r="K95" s="2"/>
      <c r="L95" s="2">
        <f t="shared" si="10"/>
        <v>-11981.329999999987</v>
      </c>
      <c r="M95" s="2"/>
      <c r="N95" s="22">
        <f t="shared" si="11"/>
        <v>-8.2097699121350551E-2</v>
      </c>
      <c r="O95" s="11"/>
      <c r="P95" s="2">
        <v>133958.57</v>
      </c>
      <c r="Q95" s="2"/>
      <c r="R95" s="22">
        <f t="shared" si="12"/>
        <v>0.38063075132641117</v>
      </c>
      <c r="S95" s="2"/>
      <c r="T95" s="2">
        <v>145939.9</v>
      </c>
      <c r="U95" s="2"/>
      <c r="V95" s="22">
        <f t="shared" si="13"/>
        <v>0.38228132944199289</v>
      </c>
      <c r="W95" s="2"/>
      <c r="X95" s="2">
        <f t="shared" si="14"/>
        <v>-11981.329999999987</v>
      </c>
      <c r="Y95" s="2"/>
      <c r="Z95" s="22">
        <f t="shared" si="15"/>
        <v>-8.2097699121350551E-2</v>
      </c>
    </row>
    <row r="96" spans="1:26" s="24" customFormat="1" hidden="1" outlineLevel="1" x14ac:dyDescent="0.25">
      <c r="A96" s="50"/>
      <c r="B96" s="11" t="str">
        <f>CONCATENATE("          ", "5011", " - ", "PURCHASES @ COST-NO VALUE TEXT")</f>
        <v xml:space="preserve">          5011 - PURCHASES @ COST-NO VALUE TEXT</v>
      </c>
      <c r="C96" s="11"/>
      <c r="D96" s="2">
        <v>288</v>
      </c>
      <c r="E96" s="2"/>
      <c r="F96" s="22">
        <f t="shared" si="8"/>
        <v>8.1832507156508476E-4</v>
      </c>
      <c r="G96" s="2"/>
      <c r="H96" s="2">
        <v>441</v>
      </c>
      <c r="I96" s="2"/>
      <c r="J96" s="22">
        <f t="shared" si="9"/>
        <v>1.155174604641492E-3</v>
      </c>
      <c r="K96" s="2"/>
      <c r="L96" s="2">
        <f t="shared" si="10"/>
        <v>-153</v>
      </c>
      <c r="M96" s="2"/>
      <c r="N96" s="22">
        <f t="shared" si="11"/>
        <v>-0.34693877551020408</v>
      </c>
      <c r="O96" s="11"/>
      <c r="P96" s="2">
        <v>288</v>
      </c>
      <c r="Q96" s="2"/>
      <c r="R96" s="22">
        <f t="shared" si="12"/>
        <v>8.1832507156508476E-4</v>
      </c>
      <c r="S96" s="2"/>
      <c r="T96" s="2">
        <v>441</v>
      </c>
      <c r="U96" s="2"/>
      <c r="V96" s="22">
        <f t="shared" si="13"/>
        <v>1.155174604641492E-3</v>
      </c>
      <c r="W96" s="2"/>
      <c r="X96" s="2">
        <f t="shared" si="14"/>
        <v>-153</v>
      </c>
      <c r="Y96" s="2"/>
      <c r="Z96" s="22">
        <f t="shared" si="15"/>
        <v>-0.34693877551020408</v>
      </c>
    </row>
    <row r="97" spans="1:26" s="24" customFormat="1" hidden="1" outlineLevel="1" x14ac:dyDescent="0.25">
      <c r="A97" s="50"/>
      <c r="B97" s="11" t="str">
        <f>CONCATENATE("          ", "5013", " - ", "PURCHASES @ COST-TRADE BOOKS")</f>
        <v xml:space="preserve">          5013 - PURCHASES @ COST-TRADE BOOKS</v>
      </c>
      <c r="C97" s="11"/>
      <c r="D97" s="2">
        <v>204.9</v>
      </c>
      <c r="E97" s="2"/>
      <c r="F97" s="22">
        <f t="shared" si="8"/>
        <v>5.8220419154057595E-4</v>
      </c>
      <c r="G97" s="2"/>
      <c r="H97" s="2">
        <v>119.79</v>
      </c>
      <c r="I97" s="2"/>
      <c r="J97" s="22">
        <f t="shared" si="9"/>
        <v>3.1378314260771957E-4</v>
      </c>
      <c r="K97" s="2"/>
      <c r="L97" s="2">
        <f t="shared" si="10"/>
        <v>85.11</v>
      </c>
      <c r="M97" s="2"/>
      <c r="N97" s="22">
        <f t="shared" si="11"/>
        <v>0.71049336338592528</v>
      </c>
      <c r="O97" s="11"/>
      <c r="P97" s="2">
        <v>204.9</v>
      </c>
      <c r="Q97" s="2"/>
      <c r="R97" s="22">
        <f t="shared" si="12"/>
        <v>5.8220419154057595E-4</v>
      </c>
      <c r="S97" s="2"/>
      <c r="T97" s="2">
        <v>119.79</v>
      </c>
      <c r="U97" s="2"/>
      <c r="V97" s="22">
        <f t="shared" si="13"/>
        <v>3.1378314260771957E-4</v>
      </c>
      <c r="W97" s="2"/>
      <c r="X97" s="2">
        <f t="shared" si="14"/>
        <v>85.11</v>
      </c>
      <c r="Y97" s="2"/>
      <c r="Z97" s="22">
        <f t="shared" si="15"/>
        <v>0.71049336338592528</v>
      </c>
    </row>
    <row r="98" spans="1:26" s="24" customFormat="1" hidden="1" outlineLevel="1" x14ac:dyDescent="0.25">
      <c r="A98" s="50"/>
      <c r="B98" s="11" t="str">
        <f>CONCATENATE("          ", "5014", " - ", "PURCHASES @ COST-REMAINDERS")</f>
        <v xml:space="preserve">          5014 - PURCHASES @ COST-REMAINDERS</v>
      </c>
      <c r="C98" s="11"/>
      <c r="D98" s="2">
        <v>100.48</v>
      </c>
      <c r="E98" s="2"/>
      <c r="F98" s="22">
        <f t="shared" si="8"/>
        <v>2.8550452496826293E-4</v>
      </c>
      <c r="G98" s="2"/>
      <c r="H98" s="2">
        <v>227.6</v>
      </c>
      <c r="I98" s="2"/>
      <c r="J98" s="22">
        <f t="shared" si="9"/>
        <v>5.961853515111192E-4</v>
      </c>
      <c r="K98" s="2"/>
      <c r="L98" s="2">
        <f t="shared" si="10"/>
        <v>-127.11999999999999</v>
      </c>
      <c r="M98" s="2"/>
      <c r="N98" s="22">
        <f t="shared" si="11"/>
        <v>-0.55852372583479781</v>
      </c>
      <c r="O98" s="11"/>
      <c r="P98" s="2">
        <v>100.48</v>
      </c>
      <c r="Q98" s="2"/>
      <c r="R98" s="22">
        <f t="shared" si="12"/>
        <v>2.8550452496826293E-4</v>
      </c>
      <c r="S98" s="2"/>
      <c r="T98" s="2">
        <v>227.6</v>
      </c>
      <c r="U98" s="2"/>
      <c r="V98" s="22">
        <f t="shared" si="13"/>
        <v>5.961853515111192E-4</v>
      </c>
      <c r="W98" s="2"/>
      <c r="X98" s="2">
        <f t="shared" si="14"/>
        <v>-127.11999999999999</v>
      </c>
      <c r="Y98" s="2"/>
      <c r="Z98" s="22">
        <f t="shared" si="15"/>
        <v>-0.55852372583479781</v>
      </c>
    </row>
    <row r="99" spans="1:26" s="24" customFormat="1" hidden="1" outlineLevel="1" x14ac:dyDescent="0.25">
      <c r="A99" s="50"/>
      <c r="B99" s="11" t="str">
        <f>CONCATENATE("          ", "5018", " - ", "PURCHASES @ COST-STUDY GUIDES")</f>
        <v xml:space="preserve">          5018 - PURCHASES @ COST-STUDY GUIDES</v>
      </c>
      <c r="C99" s="11"/>
      <c r="D99" s="2">
        <v>503.93</v>
      </c>
      <c r="E99" s="2"/>
      <c r="F99" s="22">
        <f t="shared" si="8"/>
        <v>1.4318699767840041E-3</v>
      </c>
      <c r="G99" s="2"/>
      <c r="H99" s="2">
        <v>369.63</v>
      </c>
      <c r="I99" s="2"/>
      <c r="J99" s="22">
        <f t="shared" si="9"/>
        <v>9.6822491862502192E-4</v>
      </c>
      <c r="K99" s="2"/>
      <c r="L99" s="2">
        <f t="shared" si="10"/>
        <v>134.30000000000001</v>
      </c>
      <c r="M99" s="2"/>
      <c r="N99" s="22">
        <f t="shared" si="11"/>
        <v>0.36333630928225524</v>
      </c>
      <c r="O99" s="11"/>
      <c r="P99" s="2">
        <v>503.93</v>
      </c>
      <c r="Q99" s="2"/>
      <c r="R99" s="22">
        <f t="shared" si="12"/>
        <v>1.4318699767840041E-3</v>
      </c>
      <c r="S99" s="2"/>
      <c r="T99" s="2">
        <v>369.63</v>
      </c>
      <c r="U99" s="2"/>
      <c r="V99" s="22">
        <f t="shared" si="13"/>
        <v>9.6822491862502192E-4</v>
      </c>
      <c r="W99" s="2"/>
      <c r="X99" s="2">
        <f t="shared" si="14"/>
        <v>134.30000000000001</v>
      </c>
      <c r="Y99" s="2"/>
      <c r="Z99" s="22">
        <f t="shared" si="15"/>
        <v>0.36333630928225524</v>
      </c>
    </row>
    <row r="100" spans="1:26" s="24" customFormat="1" hidden="1" outlineLevel="1" x14ac:dyDescent="0.25">
      <c r="A100" s="50"/>
      <c r="B100" s="11" t="str">
        <f>CONCATENATE("          ", "5025", " - ", "PURCHASES @ COST-TEST FORMS")</f>
        <v xml:space="preserve">          5025 - PURCHASES @ COST-TEST FORMS</v>
      </c>
      <c r="C100" s="11"/>
      <c r="D100" s="2">
        <v>879.12</v>
      </c>
      <c r="E100" s="2"/>
      <c r="F100" s="22">
        <f t="shared" si="8"/>
        <v>2.497937280952421E-3</v>
      </c>
      <c r="G100" s="2"/>
      <c r="H100" s="2">
        <v>1050</v>
      </c>
      <c r="I100" s="2"/>
      <c r="J100" s="22">
        <f t="shared" si="9"/>
        <v>2.7504157253368856E-3</v>
      </c>
      <c r="K100" s="2"/>
      <c r="L100" s="2">
        <f t="shared" si="10"/>
        <v>-170.88</v>
      </c>
      <c r="M100" s="2"/>
      <c r="N100" s="22">
        <f t="shared" si="11"/>
        <v>-0.16274285714285713</v>
      </c>
      <c r="O100" s="11"/>
      <c r="P100" s="2">
        <v>879.12</v>
      </c>
      <c r="Q100" s="2"/>
      <c r="R100" s="22">
        <f t="shared" si="12"/>
        <v>2.497937280952421E-3</v>
      </c>
      <c r="S100" s="2"/>
      <c r="T100" s="2">
        <v>1050</v>
      </c>
      <c r="U100" s="2"/>
      <c r="V100" s="22">
        <f t="shared" si="13"/>
        <v>2.7504157253368856E-3</v>
      </c>
      <c r="W100" s="2"/>
      <c r="X100" s="2">
        <f t="shared" si="14"/>
        <v>-170.88</v>
      </c>
      <c r="Y100" s="2"/>
      <c r="Z100" s="22">
        <f t="shared" si="15"/>
        <v>-0.16274285714285713</v>
      </c>
    </row>
    <row r="101" spans="1:26" s="24" customFormat="1" hidden="1" outlineLevel="1" x14ac:dyDescent="0.25">
      <c r="A101" s="50"/>
      <c r="B101" s="11" t="str">
        <f>CONCATENATE("          ", "5026", " - ", "PURCHASES @ COST-WRITING INSTR")</f>
        <v xml:space="preserve">          5026 - PURCHASES @ COST-WRITING INSTR</v>
      </c>
      <c r="C101" s="11"/>
      <c r="D101" s="2">
        <v>10331.040000000001</v>
      </c>
      <c r="E101" s="2"/>
      <c r="F101" s="22">
        <f t="shared" si="8"/>
        <v>2.9354684192158868E-2</v>
      </c>
      <c r="G101" s="2"/>
      <c r="H101" s="2">
        <v>21190.09</v>
      </c>
      <c r="I101" s="2"/>
      <c r="J101" s="22">
        <f t="shared" si="9"/>
        <v>5.5506244530765608E-2</v>
      </c>
      <c r="K101" s="2"/>
      <c r="L101" s="2">
        <f t="shared" si="10"/>
        <v>-10859.05</v>
      </c>
      <c r="M101" s="2"/>
      <c r="N101" s="22">
        <f t="shared" si="11"/>
        <v>-0.51245888998111855</v>
      </c>
      <c r="O101" s="11"/>
      <c r="P101" s="2">
        <v>10331.040000000001</v>
      </c>
      <c r="Q101" s="2"/>
      <c r="R101" s="22">
        <f t="shared" si="12"/>
        <v>2.9354684192158868E-2</v>
      </c>
      <c r="S101" s="2"/>
      <c r="T101" s="2">
        <v>21190.09</v>
      </c>
      <c r="U101" s="2"/>
      <c r="V101" s="22">
        <f t="shared" si="13"/>
        <v>5.5506244530765608E-2</v>
      </c>
      <c r="W101" s="2"/>
      <c r="X101" s="2">
        <f t="shared" si="14"/>
        <v>-10859.05</v>
      </c>
      <c r="Y101" s="2"/>
      <c r="Z101" s="22">
        <f t="shared" si="15"/>
        <v>-0.51245888998111855</v>
      </c>
    </row>
    <row r="102" spans="1:26" s="24" customFormat="1" hidden="1" outlineLevel="1" x14ac:dyDescent="0.25">
      <c r="A102" s="50"/>
      <c r="B102" s="11" t="str">
        <f>CONCATENATE("          ", "5027", " - ", "PURCHASES @ COST-SCHOOL SUPPLI")</f>
        <v xml:space="preserve">          5027 - PURCHASES @ COST-SCHOOL SUPPLI</v>
      </c>
      <c r="C102" s="11"/>
      <c r="D102" s="2">
        <v>50115.47</v>
      </c>
      <c r="E102" s="2"/>
      <c r="F102" s="22">
        <f t="shared" si="8"/>
        <v>0.14239842213287451</v>
      </c>
      <c r="G102" s="2"/>
      <c r="H102" s="2">
        <v>55093.8</v>
      </c>
      <c r="I102" s="2"/>
      <c r="J102" s="22">
        <f t="shared" si="9"/>
        <v>0.14431509894149078</v>
      </c>
      <c r="K102" s="2"/>
      <c r="L102" s="2">
        <f t="shared" si="10"/>
        <v>-4978.3300000000017</v>
      </c>
      <c r="M102" s="2"/>
      <c r="N102" s="22">
        <f t="shared" si="11"/>
        <v>-9.0360984357586549E-2</v>
      </c>
      <c r="O102" s="11"/>
      <c r="P102" s="2">
        <v>50115.47</v>
      </c>
      <c r="Q102" s="2"/>
      <c r="R102" s="22">
        <f t="shared" si="12"/>
        <v>0.14239842213287451</v>
      </c>
      <c r="S102" s="2"/>
      <c r="T102" s="2">
        <v>55093.8</v>
      </c>
      <c r="U102" s="2"/>
      <c r="V102" s="22">
        <f t="shared" si="13"/>
        <v>0.14431509894149078</v>
      </c>
      <c r="W102" s="2"/>
      <c r="X102" s="2">
        <f t="shared" si="14"/>
        <v>-4978.3300000000017</v>
      </c>
      <c r="Y102" s="2"/>
      <c r="Z102" s="22">
        <f t="shared" si="15"/>
        <v>-9.0360984357586549E-2</v>
      </c>
    </row>
    <row r="103" spans="1:26" s="24" customFormat="1" hidden="1" outlineLevel="1" x14ac:dyDescent="0.25">
      <c r="A103" s="50"/>
      <c r="B103" s="11" t="str">
        <f>CONCATENATE("          ", "5028", " - ", "PURCHASES @ COST-ART/TECH")</f>
        <v xml:space="preserve">          5028 - PURCHASES @ COST-ART/TECH</v>
      </c>
      <c r="C103" s="11"/>
      <c r="D103" s="2">
        <v>28027.649999999998</v>
      </c>
      <c r="E103" s="2"/>
      <c r="F103" s="22">
        <f t="shared" si="8"/>
        <v>7.9637946847399818E-2</v>
      </c>
      <c r="G103" s="2"/>
      <c r="H103" s="2">
        <v>26024.080000000002</v>
      </c>
      <c r="I103" s="2"/>
      <c r="J103" s="22">
        <f t="shared" si="9"/>
        <v>6.8168608447071566E-2</v>
      </c>
      <c r="K103" s="2"/>
      <c r="L103" s="2">
        <f t="shared" si="10"/>
        <v>2003.5699999999961</v>
      </c>
      <c r="M103" s="2"/>
      <c r="N103" s="22">
        <f t="shared" si="11"/>
        <v>7.6989080882013727E-2</v>
      </c>
      <c r="O103" s="11"/>
      <c r="P103" s="2">
        <v>28027.649999999998</v>
      </c>
      <c r="Q103" s="2"/>
      <c r="R103" s="22">
        <f t="shared" si="12"/>
        <v>7.9637946847399818E-2</v>
      </c>
      <c r="S103" s="2"/>
      <c r="T103" s="2">
        <v>26024.080000000002</v>
      </c>
      <c r="U103" s="2"/>
      <c r="V103" s="22">
        <f t="shared" si="13"/>
        <v>6.8168608447071566E-2</v>
      </c>
      <c r="W103" s="2"/>
      <c r="X103" s="2">
        <f t="shared" si="14"/>
        <v>2003.5699999999961</v>
      </c>
      <c r="Y103" s="2"/>
      <c r="Z103" s="22">
        <f t="shared" si="15"/>
        <v>7.6989080882013727E-2</v>
      </c>
    </row>
    <row r="104" spans="1:26" s="24" customFormat="1" hidden="1" outlineLevel="1" x14ac:dyDescent="0.25">
      <c r="A104" s="50"/>
      <c r="B104" s="11" t="str">
        <f>CONCATENATE("          ", "5031", " - ", "PURCHASES @ COST-FOOD")</f>
        <v xml:space="preserve">          5031 - PURCHASES @ COST-FOOD</v>
      </c>
      <c r="C104" s="11"/>
      <c r="D104" s="2"/>
      <c r="E104" s="2"/>
      <c r="F104" s="22">
        <f t="shared" si="8"/>
        <v>0</v>
      </c>
      <c r="G104" s="2"/>
      <c r="H104" s="2">
        <v>89.16</v>
      </c>
      <c r="I104" s="2"/>
      <c r="J104" s="22">
        <f t="shared" si="9"/>
        <v>2.3354958673432068E-4</v>
      </c>
      <c r="K104" s="2"/>
      <c r="L104" s="2">
        <f t="shared" si="10"/>
        <v>-89.16</v>
      </c>
      <c r="M104" s="2"/>
      <c r="N104" s="22">
        <f t="shared" si="11"/>
        <v>-1</v>
      </c>
      <c r="O104" s="11"/>
      <c r="P104" s="2"/>
      <c r="Q104" s="2"/>
      <c r="R104" s="22">
        <f t="shared" si="12"/>
        <v>0</v>
      </c>
      <c r="S104" s="2"/>
      <c r="T104" s="2">
        <v>89.16</v>
      </c>
      <c r="U104" s="2"/>
      <c r="V104" s="22">
        <f t="shared" si="13"/>
        <v>2.3354958673432068E-4</v>
      </c>
      <c r="W104" s="2"/>
      <c r="X104" s="2">
        <f t="shared" si="14"/>
        <v>-89.16</v>
      </c>
      <c r="Y104" s="2"/>
      <c r="Z104" s="22">
        <f t="shared" si="15"/>
        <v>-1</v>
      </c>
    </row>
    <row r="105" spans="1:26" s="24" customFormat="1" hidden="1" outlineLevel="1" x14ac:dyDescent="0.25">
      <c r="A105" s="50"/>
      <c r="B105" s="11" t="str">
        <f>CONCATENATE("          ", "5032", " - ", "PURCHASES @ COST-JUICE")</f>
        <v xml:space="preserve">          5032 - PURCHASES @ COST-JUICE</v>
      </c>
      <c r="C105" s="11"/>
      <c r="D105" s="2">
        <v>114.42</v>
      </c>
      <c r="E105" s="2"/>
      <c r="F105" s="22">
        <f t="shared" si="8"/>
        <v>3.2511373155721181E-4</v>
      </c>
      <c r="G105" s="2"/>
      <c r="H105" s="2"/>
      <c r="I105" s="2"/>
      <c r="J105" s="22">
        <f t="shared" si="9"/>
        <v>0</v>
      </c>
      <c r="K105" s="2"/>
      <c r="L105" s="2">
        <f t="shared" si="10"/>
        <v>114.42</v>
      </c>
      <c r="M105" s="2"/>
      <c r="N105" s="22">
        <f t="shared" si="11"/>
        <v>0</v>
      </c>
      <c r="O105" s="11"/>
      <c r="P105" s="2">
        <v>114.42</v>
      </c>
      <c r="Q105" s="2"/>
      <c r="R105" s="22">
        <f t="shared" si="12"/>
        <v>3.2511373155721181E-4</v>
      </c>
      <c r="S105" s="2"/>
      <c r="T105" s="2"/>
      <c r="U105" s="2"/>
      <c r="V105" s="22">
        <f t="shared" si="13"/>
        <v>0</v>
      </c>
      <c r="W105" s="2"/>
      <c r="X105" s="2">
        <f t="shared" si="14"/>
        <v>114.42</v>
      </c>
      <c r="Y105" s="2"/>
      <c r="Z105" s="22">
        <f t="shared" si="15"/>
        <v>0</v>
      </c>
    </row>
    <row r="106" spans="1:26" s="24" customFormat="1" hidden="1" outlineLevel="1" x14ac:dyDescent="0.25">
      <c r="A106" s="50"/>
      <c r="B106" s="11" t="str">
        <f>CONCATENATE("          ", "5033", " - ", "PURCHASES @ COST-CANDY")</f>
        <v xml:space="preserve">          5033 - PURCHASES @ COST-CANDY</v>
      </c>
      <c r="C106" s="11"/>
      <c r="D106" s="2"/>
      <c r="E106" s="2"/>
      <c r="F106" s="22">
        <f t="shared" si="8"/>
        <v>0</v>
      </c>
      <c r="G106" s="2"/>
      <c r="H106" s="2">
        <v>162.99</v>
      </c>
      <c r="I106" s="2"/>
      <c r="J106" s="22">
        <f t="shared" si="9"/>
        <v>4.2694310387872289E-4</v>
      </c>
      <c r="K106" s="2"/>
      <c r="L106" s="2">
        <f t="shared" si="10"/>
        <v>-162.99</v>
      </c>
      <c r="M106" s="2"/>
      <c r="N106" s="22">
        <f t="shared" si="11"/>
        <v>-1</v>
      </c>
      <c r="O106" s="11"/>
      <c r="P106" s="2"/>
      <c r="Q106" s="2"/>
      <c r="R106" s="22">
        <f t="shared" si="12"/>
        <v>0</v>
      </c>
      <c r="S106" s="2"/>
      <c r="T106" s="2">
        <v>162.99</v>
      </c>
      <c r="U106" s="2"/>
      <c r="V106" s="22">
        <f t="shared" si="13"/>
        <v>4.2694310387872289E-4</v>
      </c>
      <c r="W106" s="2"/>
      <c r="X106" s="2">
        <f t="shared" si="14"/>
        <v>-162.99</v>
      </c>
      <c r="Y106" s="2"/>
      <c r="Z106" s="22">
        <f t="shared" si="15"/>
        <v>-1</v>
      </c>
    </row>
    <row r="107" spans="1:26" s="24" customFormat="1" hidden="1" outlineLevel="1" x14ac:dyDescent="0.25">
      <c r="A107" s="50"/>
      <c r="B107" s="11" t="str">
        <f>CONCATENATE("          ", "5034", " - ", "PURCHASES @ COST-SODA")</f>
        <v xml:space="preserve">          5034 - PURCHASES @ COST-SODA</v>
      </c>
      <c r="C107" s="11"/>
      <c r="D107" s="2">
        <v>-61.54</v>
      </c>
      <c r="E107" s="2"/>
      <c r="F107" s="22">
        <f t="shared" si="8"/>
        <v>-1.7486015591706706E-4</v>
      </c>
      <c r="G107" s="2"/>
      <c r="H107" s="2">
        <v>0</v>
      </c>
      <c r="I107" s="2"/>
      <c r="J107" s="22">
        <f t="shared" si="9"/>
        <v>0</v>
      </c>
      <c r="K107" s="2"/>
      <c r="L107" s="2">
        <f t="shared" si="10"/>
        <v>-61.54</v>
      </c>
      <c r="M107" s="2"/>
      <c r="N107" s="22">
        <f t="shared" si="11"/>
        <v>0</v>
      </c>
      <c r="O107" s="11"/>
      <c r="P107" s="2">
        <v>-61.54</v>
      </c>
      <c r="Q107" s="2"/>
      <c r="R107" s="22">
        <f t="shared" si="12"/>
        <v>-1.7486015591706706E-4</v>
      </c>
      <c r="S107" s="2"/>
      <c r="T107" s="2">
        <v>0</v>
      </c>
      <c r="U107" s="2"/>
      <c r="V107" s="22">
        <f t="shared" si="13"/>
        <v>0</v>
      </c>
      <c r="W107" s="2"/>
      <c r="X107" s="2">
        <f t="shared" si="14"/>
        <v>-61.54</v>
      </c>
      <c r="Y107" s="2"/>
      <c r="Z107" s="22">
        <f t="shared" si="15"/>
        <v>0</v>
      </c>
    </row>
    <row r="108" spans="1:26" s="24" customFormat="1" hidden="1" outlineLevel="1" x14ac:dyDescent="0.25">
      <c r="A108" s="50"/>
      <c r="B108" s="11" t="str">
        <f>CONCATENATE("          ", "5037", " - ", "PURCHASES @ COST-WATER")</f>
        <v xml:space="preserve">          5037 - PURCHASES @ COST-WATER</v>
      </c>
      <c r="C108" s="11"/>
      <c r="D108" s="2">
        <v>33.58</v>
      </c>
      <c r="E108" s="2"/>
      <c r="F108" s="22">
        <f t="shared" si="8"/>
        <v>9.5414430219290089E-5</v>
      </c>
      <c r="G108" s="2"/>
      <c r="H108" s="2"/>
      <c r="I108" s="2"/>
      <c r="J108" s="22">
        <f t="shared" si="9"/>
        <v>0</v>
      </c>
      <c r="K108" s="2"/>
      <c r="L108" s="2">
        <f t="shared" si="10"/>
        <v>33.58</v>
      </c>
      <c r="M108" s="2"/>
      <c r="N108" s="22">
        <f t="shared" si="11"/>
        <v>0</v>
      </c>
      <c r="O108" s="11"/>
      <c r="P108" s="2">
        <v>33.58</v>
      </c>
      <c r="Q108" s="2"/>
      <c r="R108" s="22">
        <f t="shared" si="12"/>
        <v>9.5414430219290089E-5</v>
      </c>
      <c r="S108" s="2"/>
      <c r="T108" s="2"/>
      <c r="U108" s="2"/>
      <c r="V108" s="22">
        <f t="shared" si="13"/>
        <v>0</v>
      </c>
      <c r="W108" s="2"/>
      <c r="X108" s="2">
        <f t="shared" si="14"/>
        <v>33.58</v>
      </c>
      <c r="Y108" s="2"/>
      <c r="Z108" s="22">
        <f t="shared" si="15"/>
        <v>0</v>
      </c>
    </row>
    <row r="109" spans="1:26" s="24" customFormat="1" hidden="1" outlineLevel="1" x14ac:dyDescent="0.25">
      <c r="A109" s="50"/>
      <c r="B109" s="11" t="str">
        <f>CONCATENATE("          ", "5040", " - ", "PURCHASES @ COST-LOGO CLOTHING")</f>
        <v xml:space="preserve">          5040 - PURCHASES @ COST-LOGO CLOTHING</v>
      </c>
      <c r="C109" s="11"/>
      <c r="D109" s="2">
        <v>78921.570000000007</v>
      </c>
      <c r="E109" s="2"/>
      <c r="F109" s="22">
        <f t="shared" si="8"/>
        <v>0.2242482618690238</v>
      </c>
      <c r="G109" s="2"/>
      <c r="H109" s="2">
        <v>79500.37000000001</v>
      </c>
      <c r="I109" s="2"/>
      <c r="J109" s="22">
        <f t="shared" si="9"/>
        <v>0.20824673125533411</v>
      </c>
      <c r="K109" s="2"/>
      <c r="L109" s="2">
        <f t="shared" si="10"/>
        <v>-578.80000000000291</v>
      </c>
      <c r="M109" s="2"/>
      <c r="N109" s="22">
        <f t="shared" si="11"/>
        <v>-7.2804692607091369E-3</v>
      </c>
      <c r="O109" s="11"/>
      <c r="P109" s="2">
        <v>78921.570000000007</v>
      </c>
      <c r="Q109" s="2"/>
      <c r="R109" s="22">
        <f t="shared" si="12"/>
        <v>0.2242482618690238</v>
      </c>
      <c r="S109" s="2"/>
      <c r="T109" s="2">
        <v>79500.37000000001</v>
      </c>
      <c r="U109" s="2"/>
      <c r="V109" s="22">
        <f t="shared" si="13"/>
        <v>0.20824673125533411</v>
      </c>
      <c r="W109" s="2"/>
      <c r="X109" s="2">
        <f t="shared" si="14"/>
        <v>-578.80000000000291</v>
      </c>
      <c r="Y109" s="2"/>
      <c r="Z109" s="22">
        <f t="shared" si="15"/>
        <v>-7.2804692607091369E-3</v>
      </c>
    </row>
    <row r="110" spans="1:26" s="24" customFormat="1" hidden="1" outlineLevel="1" x14ac:dyDescent="0.25">
      <c r="A110" s="50"/>
      <c r="B110" s="11" t="str">
        <f>CONCATENATE("          ", "5041", " - ", "PURCHASES @ COST-LOGO GIFTS")</f>
        <v xml:space="preserve">          5041 - PURCHASES @ COST-LOGO GIFTS</v>
      </c>
      <c r="C110" s="11"/>
      <c r="D110" s="2">
        <v>11950.27</v>
      </c>
      <c r="E110" s="2"/>
      <c r="F110" s="22">
        <f t="shared" si="8"/>
        <v>3.3955574836708628E-2</v>
      </c>
      <c r="G110" s="2"/>
      <c r="H110" s="2">
        <v>22095.94</v>
      </c>
      <c r="I110" s="2"/>
      <c r="J110" s="22">
        <f t="shared" si="9"/>
        <v>5.7879067468666952E-2</v>
      </c>
      <c r="K110" s="2"/>
      <c r="L110" s="2">
        <f t="shared" si="10"/>
        <v>-10145.669999999998</v>
      </c>
      <c r="M110" s="2"/>
      <c r="N110" s="22">
        <f t="shared" si="11"/>
        <v>-0.45916444378469523</v>
      </c>
      <c r="O110" s="11"/>
      <c r="P110" s="2">
        <v>11950.27</v>
      </c>
      <c r="Q110" s="2"/>
      <c r="R110" s="22">
        <f t="shared" si="12"/>
        <v>3.3955574836708628E-2</v>
      </c>
      <c r="S110" s="2"/>
      <c r="T110" s="2">
        <v>22095.94</v>
      </c>
      <c r="U110" s="2"/>
      <c r="V110" s="22">
        <f t="shared" si="13"/>
        <v>5.7879067468666952E-2</v>
      </c>
      <c r="W110" s="2"/>
      <c r="X110" s="2">
        <f t="shared" si="14"/>
        <v>-10145.669999999998</v>
      </c>
      <c r="Y110" s="2"/>
      <c r="Z110" s="22">
        <f t="shared" si="15"/>
        <v>-0.45916444378469523</v>
      </c>
    </row>
    <row r="111" spans="1:26" s="24" customFormat="1" hidden="1" outlineLevel="1" x14ac:dyDescent="0.25">
      <c r="A111" s="50"/>
      <c r="B111" s="11" t="str">
        <f>CONCATENATE("          ", "5042", " - ", "PURCHASES @ COST-EVERYDAY GIFT")</f>
        <v xml:space="preserve">          5042 - PURCHASES @ COST-EVERYDAY GIFT</v>
      </c>
      <c r="C111" s="11"/>
      <c r="D111" s="2">
        <v>7752.36</v>
      </c>
      <c r="E111" s="2"/>
      <c r="F111" s="22">
        <f t="shared" si="8"/>
        <v>2.2027606082632985E-2</v>
      </c>
      <c r="G111" s="2"/>
      <c r="H111" s="2">
        <v>4700.42</v>
      </c>
      <c r="I111" s="2"/>
      <c r="J111" s="22">
        <f t="shared" si="9"/>
        <v>1.2312484841607624E-2</v>
      </c>
      <c r="K111" s="2"/>
      <c r="L111" s="2">
        <f t="shared" si="10"/>
        <v>3051.9399999999996</v>
      </c>
      <c r="M111" s="2"/>
      <c r="N111" s="22">
        <f t="shared" si="11"/>
        <v>0.64929091442892328</v>
      </c>
      <c r="O111" s="11"/>
      <c r="P111" s="2">
        <v>7752.36</v>
      </c>
      <c r="Q111" s="2"/>
      <c r="R111" s="22">
        <f t="shared" si="12"/>
        <v>2.2027606082632985E-2</v>
      </c>
      <c r="S111" s="2"/>
      <c r="T111" s="2">
        <v>4700.42</v>
      </c>
      <c r="U111" s="2"/>
      <c r="V111" s="22">
        <f t="shared" si="13"/>
        <v>1.2312484841607624E-2</v>
      </c>
      <c r="W111" s="2"/>
      <c r="X111" s="2">
        <f t="shared" si="14"/>
        <v>3051.9399999999996</v>
      </c>
      <c r="Y111" s="2"/>
      <c r="Z111" s="22">
        <f t="shared" si="15"/>
        <v>0.64929091442892328</v>
      </c>
    </row>
    <row r="112" spans="1:26" s="24" customFormat="1" hidden="1" outlineLevel="1" x14ac:dyDescent="0.25">
      <c r="A112" s="50"/>
      <c r="B112" s="11" t="str">
        <f>CONCATENATE("          ", "5043", " - ", "PURCHASES @ COST-CARDS")</f>
        <v xml:space="preserve">          5043 - PURCHASES @ COST-CARDS</v>
      </c>
      <c r="C112" s="11"/>
      <c r="D112" s="2">
        <v>498.26</v>
      </c>
      <c r="E112" s="2"/>
      <c r="F112" s="22">
        <f t="shared" si="8"/>
        <v>1.4157592019375664E-3</v>
      </c>
      <c r="G112" s="2"/>
      <c r="H112" s="2">
        <v>470.73</v>
      </c>
      <c r="I112" s="2"/>
      <c r="J112" s="22">
        <f t="shared" si="9"/>
        <v>1.2330506613217451E-3</v>
      </c>
      <c r="K112" s="2"/>
      <c r="L112" s="2">
        <f t="shared" si="10"/>
        <v>27.529999999999973</v>
      </c>
      <c r="M112" s="2"/>
      <c r="N112" s="22">
        <f t="shared" si="11"/>
        <v>5.848363180591841E-2</v>
      </c>
      <c r="O112" s="11"/>
      <c r="P112" s="2">
        <v>498.26</v>
      </c>
      <c r="Q112" s="2"/>
      <c r="R112" s="22">
        <f t="shared" si="12"/>
        <v>1.4157592019375664E-3</v>
      </c>
      <c r="S112" s="2"/>
      <c r="T112" s="2">
        <v>470.73</v>
      </c>
      <c r="U112" s="2"/>
      <c r="V112" s="22">
        <f t="shared" si="13"/>
        <v>1.2330506613217451E-3</v>
      </c>
      <c r="W112" s="2"/>
      <c r="X112" s="2">
        <f t="shared" si="14"/>
        <v>27.529999999999973</v>
      </c>
      <c r="Y112" s="2"/>
      <c r="Z112" s="22">
        <f t="shared" si="15"/>
        <v>5.848363180591841E-2</v>
      </c>
    </row>
    <row r="113" spans="1:26" s="24" customFormat="1" hidden="1" outlineLevel="1" x14ac:dyDescent="0.25">
      <c r="A113" s="50"/>
      <c r="B113" s="11" t="str">
        <f>CONCATENATE("          ", "5044", " - ", "PURCHASES @ COST-ACCESSORIES")</f>
        <v xml:space="preserve">          5044 - PURCHASES @ COST-ACCESSORIES</v>
      </c>
      <c r="C113" s="11"/>
      <c r="D113" s="2">
        <v>4839</v>
      </c>
      <c r="E113" s="2"/>
      <c r="F113" s="22">
        <f t="shared" si="8"/>
        <v>1.3749566046192518E-2</v>
      </c>
      <c r="G113" s="2"/>
      <c r="H113" s="2">
        <v>6063</v>
      </c>
      <c r="I113" s="2"/>
      <c r="J113" s="22">
        <f t="shared" si="9"/>
        <v>1.5881686231159559E-2</v>
      </c>
      <c r="K113" s="2"/>
      <c r="L113" s="2">
        <f t="shared" si="10"/>
        <v>-1224</v>
      </c>
      <c r="M113" s="2"/>
      <c r="N113" s="22">
        <f t="shared" si="11"/>
        <v>-0.20188025729836714</v>
      </c>
      <c r="O113" s="11"/>
      <c r="P113" s="2">
        <v>4839</v>
      </c>
      <c r="Q113" s="2"/>
      <c r="R113" s="22">
        <f t="shared" si="12"/>
        <v>1.3749566046192518E-2</v>
      </c>
      <c r="S113" s="2"/>
      <c r="T113" s="2">
        <v>6063</v>
      </c>
      <c r="U113" s="2"/>
      <c r="V113" s="22">
        <f t="shared" si="13"/>
        <v>1.5881686231159559E-2</v>
      </c>
      <c r="W113" s="2"/>
      <c r="X113" s="2">
        <f t="shared" si="14"/>
        <v>-1224</v>
      </c>
      <c r="Y113" s="2"/>
      <c r="Z113" s="22">
        <f t="shared" si="15"/>
        <v>-0.20188025729836714</v>
      </c>
    </row>
    <row r="114" spans="1:26" s="24" customFormat="1" hidden="1" outlineLevel="1" x14ac:dyDescent="0.25">
      <c r="A114" s="50"/>
      <c r="B114" s="11" t="str">
        <f>CONCATENATE("          ", "5045", " - ", "PURCHASES @ COST-SPECIAL ORDER")</f>
        <v xml:space="preserve">          5045 - PURCHASES @ COST-SPECIAL ORDER</v>
      </c>
      <c r="C114" s="11"/>
      <c r="D114" s="2">
        <v>15992.849999999999</v>
      </c>
      <c r="E114" s="2"/>
      <c r="F114" s="22">
        <f t="shared" si="8"/>
        <v>4.5442187919373836E-2</v>
      </c>
      <c r="G114" s="2"/>
      <c r="H114" s="2">
        <v>18624.310000000001</v>
      </c>
      <c r="I114" s="2"/>
      <c r="J114" s="22">
        <f t="shared" si="9"/>
        <v>4.8785328664332397E-2</v>
      </c>
      <c r="K114" s="2"/>
      <c r="L114" s="2">
        <f t="shared" si="10"/>
        <v>-2631.4600000000028</v>
      </c>
      <c r="M114" s="2"/>
      <c r="N114" s="22">
        <f t="shared" si="11"/>
        <v>-0.14129167738294748</v>
      </c>
      <c r="O114" s="11"/>
      <c r="P114" s="2">
        <v>15992.849999999999</v>
      </c>
      <c r="Q114" s="2"/>
      <c r="R114" s="22">
        <f t="shared" si="12"/>
        <v>4.5442187919373836E-2</v>
      </c>
      <c r="S114" s="2"/>
      <c r="T114" s="2">
        <v>18624.310000000001</v>
      </c>
      <c r="U114" s="2"/>
      <c r="V114" s="22">
        <f t="shared" si="13"/>
        <v>4.8785328664332397E-2</v>
      </c>
      <c r="W114" s="2"/>
      <c r="X114" s="2">
        <f t="shared" si="14"/>
        <v>-2631.4600000000028</v>
      </c>
      <c r="Y114" s="2"/>
      <c r="Z114" s="22">
        <f t="shared" si="15"/>
        <v>-0.14129167738294748</v>
      </c>
    </row>
    <row r="115" spans="1:26" s="24" customFormat="1" hidden="1" outlineLevel="1" x14ac:dyDescent="0.25">
      <c r="A115" s="50"/>
      <c r="B115" s="11" t="str">
        <f>CONCATENATE("          ", "5092", " - ", "PURCHASES @ COST-GRAD MERCH")</f>
        <v xml:space="preserve">          5092 - PURCHASES @ COST-GRAD MERCH</v>
      </c>
      <c r="C115" s="11"/>
      <c r="D115" s="2">
        <v>1228.5999999999999</v>
      </c>
      <c r="E115" s="2"/>
      <c r="F115" s="22">
        <f t="shared" si="8"/>
        <v>3.4909520240446633E-3</v>
      </c>
      <c r="G115" s="2"/>
      <c r="H115" s="2">
        <v>-1235.3900000000001</v>
      </c>
      <c r="I115" s="2"/>
      <c r="J115" s="22">
        <f t="shared" si="9"/>
        <v>-3.2360343646894623E-3</v>
      </c>
      <c r="K115" s="2"/>
      <c r="L115" s="2">
        <f t="shared" si="10"/>
        <v>2463.9899999999998</v>
      </c>
      <c r="M115" s="2"/>
      <c r="N115" s="22">
        <f t="shared" si="11"/>
        <v>-1.9945037599462514</v>
      </c>
      <c r="O115" s="11"/>
      <c r="P115" s="2">
        <v>1228.5999999999999</v>
      </c>
      <c r="Q115" s="2"/>
      <c r="R115" s="22">
        <f t="shared" si="12"/>
        <v>3.4909520240446633E-3</v>
      </c>
      <c r="S115" s="2"/>
      <c r="T115" s="2">
        <v>-1235.3900000000001</v>
      </c>
      <c r="U115" s="2"/>
      <c r="V115" s="22">
        <f t="shared" si="13"/>
        <v>-3.2360343646894623E-3</v>
      </c>
      <c r="W115" s="2"/>
      <c r="X115" s="2">
        <f t="shared" si="14"/>
        <v>2463.9899999999998</v>
      </c>
      <c r="Y115" s="2"/>
      <c r="Z115" s="22">
        <f t="shared" si="15"/>
        <v>-1.9945037599462514</v>
      </c>
    </row>
    <row r="116" spans="1:26" s="24" customFormat="1" hidden="1" outlineLevel="1" x14ac:dyDescent="0.25">
      <c r="A116" s="50"/>
      <c r="B116" s="11" t="str">
        <f>CONCATENATE("          ", "5095", " - ", "PURCHASES @ COST-CUSTOMER SERV")</f>
        <v xml:space="preserve">          5095 - PURCHASES @ COST-CUSTOMER SERV</v>
      </c>
      <c r="C116" s="11"/>
      <c r="D116" s="2">
        <v>0</v>
      </c>
      <c r="E116" s="2"/>
      <c r="F116" s="22">
        <f t="shared" si="8"/>
        <v>0</v>
      </c>
      <c r="G116" s="2"/>
      <c r="H116" s="2"/>
      <c r="I116" s="2"/>
      <c r="J116" s="22">
        <f t="shared" si="9"/>
        <v>0</v>
      </c>
      <c r="K116" s="2"/>
      <c r="L116" s="2">
        <f t="shared" si="10"/>
        <v>0</v>
      </c>
      <c r="M116" s="2"/>
      <c r="N116" s="22">
        <f t="shared" si="11"/>
        <v>0</v>
      </c>
      <c r="O116" s="11"/>
      <c r="P116" s="2">
        <v>0</v>
      </c>
      <c r="Q116" s="2"/>
      <c r="R116" s="22">
        <f t="shared" si="12"/>
        <v>0</v>
      </c>
      <c r="S116" s="2"/>
      <c r="T116" s="2"/>
      <c r="U116" s="2"/>
      <c r="V116" s="22">
        <f t="shared" si="13"/>
        <v>0</v>
      </c>
      <c r="W116" s="2"/>
      <c r="X116" s="2">
        <f t="shared" si="14"/>
        <v>0</v>
      </c>
      <c r="Y116" s="2"/>
      <c r="Z116" s="22">
        <f t="shared" si="15"/>
        <v>0</v>
      </c>
    </row>
    <row r="117" spans="1:26" s="24" customFormat="1" hidden="1" outlineLevel="1" x14ac:dyDescent="0.25">
      <c r="A117" s="50"/>
      <c r="B117" s="11" t="str">
        <f>CONCATENATE("          ", "5200", " - ", "PURCHASES OFFSET")</f>
        <v xml:space="preserve">          5200 - PURCHASES OFFSET</v>
      </c>
      <c r="C117" s="11"/>
      <c r="D117" s="2">
        <v>-828869</v>
      </c>
      <c r="E117" s="2"/>
      <c r="F117" s="22">
        <f t="shared" si="8"/>
        <v>-2.3551537629968062</v>
      </c>
      <c r="G117" s="2"/>
      <c r="H117" s="2">
        <v>-802418</v>
      </c>
      <c r="I117" s="2"/>
      <c r="J117" s="22">
        <f t="shared" si="9"/>
        <v>-2.1018886528508314</v>
      </c>
      <c r="K117" s="2"/>
      <c r="L117" s="2">
        <f t="shared" si="10"/>
        <v>-26451</v>
      </c>
      <c r="M117" s="2"/>
      <c r="N117" s="22">
        <f t="shared" si="11"/>
        <v>3.2964115959512374E-2</v>
      </c>
      <c r="O117" s="11"/>
      <c r="P117" s="2">
        <v>-828869</v>
      </c>
      <c r="Q117" s="2"/>
      <c r="R117" s="22">
        <f t="shared" si="12"/>
        <v>-2.3551537629968062</v>
      </c>
      <c r="S117" s="2"/>
      <c r="T117" s="2">
        <v>-802418</v>
      </c>
      <c r="U117" s="2"/>
      <c r="V117" s="22">
        <f t="shared" si="13"/>
        <v>-2.1018886528508314</v>
      </c>
      <c r="W117" s="2"/>
      <c r="X117" s="2">
        <f t="shared" si="14"/>
        <v>-26451</v>
      </c>
      <c r="Y117" s="2"/>
      <c r="Z117" s="22">
        <f t="shared" si="15"/>
        <v>3.2964115959512374E-2</v>
      </c>
    </row>
    <row r="118" spans="1:26" s="24" customFormat="1" hidden="1" outlineLevel="1" x14ac:dyDescent="0.25">
      <c r="A118" s="50"/>
      <c r="B118" s="11" t="str">
        <f>CONCATENATE("          ", "5300", " - ", "COG$ OFFSET")</f>
        <v xml:space="preserve">          5300 - COG$ OFFSET</v>
      </c>
      <c r="C118" s="11"/>
      <c r="D118" s="2">
        <v>181170</v>
      </c>
      <c r="E118" s="2"/>
      <c r="F118" s="22">
        <f t="shared" si="8"/>
        <v>0.51477761533141109</v>
      </c>
      <c r="G118" s="2"/>
      <c r="H118" s="2">
        <v>191765</v>
      </c>
      <c r="I118" s="2"/>
      <c r="J118" s="22">
        <f t="shared" si="9"/>
        <v>0.50231759197069326</v>
      </c>
      <c r="K118" s="2"/>
      <c r="L118" s="2">
        <f t="shared" si="10"/>
        <v>-10595</v>
      </c>
      <c r="M118" s="2"/>
      <c r="N118" s="22">
        <f t="shared" si="11"/>
        <v>-5.5249915260866166E-2</v>
      </c>
      <c r="O118" s="11"/>
      <c r="P118" s="2">
        <v>181170</v>
      </c>
      <c r="Q118" s="2"/>
      <c r="R118" s="22">
        <f t="shared" si="12"/>
        <v>0.51477761533141109</v>
      </c>
      <c r="S118" s="2"/>
      <c r="T118" s="2">
        <v>191765</v>
      </c>
      <c r="U118" s="2"/>
      <c r="V118" s="22">
        <f t="shared" si="13"/>
        <v>0.50231759197069326</v>
      </c>
      <c r="W118" s="2"/>
      <c r="X118" s="2">
        <f t="shared" si="14"/>
        <v>-10595</v>
      </c>
      <c r="Y118" s="2"/>
      <c r="Z118" s="22">
        <f t="shared" si="15"/>
        <v>-5.5249915260866166E-2</v>
      </c>
    </row>
    <row r="119" spans="1:26" s="24" customFormat="1" hidden="1" outlineLevel="1" x14ac:dyDescent="0.25">
      <c r="A119" s="50"/>
      <c r="B119" s="11" t="str">
        <f>CONCATENATE("          ", "5500", " - ", "FREIGHT-IN")</f>
        <v xml:space="preserve">          5500 - FREIGHT-IN</v>
      </c>
      <c r="C119" s="11"/>
      <c r="D119" s="2">
        <v>49</v>
      </c>
      <c r="E119" s="2"/>
      <c r="F119" s="22">
        <f t="shared" si="8"/>
        <v>1.3922891842600401E-4</v>
      </c>
      <c r="G119" s="2"/>
      <c r="H119" s="2"/>
      <c r="I119" s="2"/>
      <c r="J119" s="22">
        <f t="shared" si="9"/>
        <v>0</v>
      </c>
      <c r="K119" s="2"/>
      <c r="L119" s="2">
        <f t="shared" si="10"/>
        <v>49</v>
      </c>
      <c r="M119" s="2"/>
      <c r="N119" s="22">
        <f t="shared" si="11"/>
        <v>0</v>
      </c>
      <c r="O119" s="11"/>
      <c r="P119" s="2">
        <v>49</v>
      </c>
      <c r="Q119" s="2"/>
      <c r="R119" s="22">
        <f t="shared" si="12"/>
        <v>1.3922891842600401E-4</v>
      </c>
      <c r="S119" s="2"/>
      <c r="T119" s="2"/>
      <c r="U119" s="2"/>
      <c r="V119" s="22">
        <f t="shared" si="13"/>
        <v>0</v>
      </c>
      <c r="W119" s="2"/>
      <c r="X119" s="2">
        <f t="shared" si="14"/>
        <v>49</v>
      </c>
      <c r="Y119" s="2"/>
      <c r="Z119" s="22">
        <f t="shared" si="15"/>
        <v>0</v>
      </c>
    </row>
    <row r="120" spans="1:26" s="24" customFormat="1" hidden="1" outlineLevel="1" x14ac:dyDescent="0.25">
      <c r="A120" s="50"/>
      <c r="B120" s="11" t="str">
        <f>CONCATENATE("          ", "5501", " - ", "FREIGHT-IN-NEW TEXT")</f>
        <v xml:space="preserve">          5501 - FREIGHT-IN-NEW TEXT</v>
      </c>
      <c r="C120" s="11"/>
      <c r="D120" s="2">
        <v>1716.08</v>
      </c>
      <c r="E120" s="2"/>
      <c r="F120" s="22">
        <f t="shared" si="8"/>
        <v>4.8760808639285091E-3</v>
      </c>
      <c r="G120" s="2"/>
      <c r="H120" s="2">
        <v>2158.9299999999998</v>
      </c>
      <c r="I120" s="2"/>
      <c r="J120" s="22">
        <f t="shared" si="9"/>
        <v>5.6551952589538688E-3</v>
      </c>
      <c r="K120" s="2"/>
      <c r="L120" s="2">
        <f t="shared" si="10"/>
        <v>-442.84999999999991</v>
      </c>
      <c r="M120" s="2"/>
      <c r="N120" s="22">
        <f t="shared" si="11"/>
        <v>-0.20512476087691586</v>
      </c>
      <c r="O120" s="11"/>
      <c r="P120" s="2">
        <v>1716.08</v>
      </c>
      <c r="Q120" s="2"/>
      <c r="R120" s="22">
        <f t="shared" si="12"/>
        <v>4.8760808639285091E-3</v>
      </c>
      <c r="S120" s="2"/>
      <c r="T120" s="2">
        <v>2158.9299999999998</v>
      </c>
      <c r="U120" s="2"/>
      <c r="V120" s="22">
        <f t="shared" si="13"/>
        <v>5.6551952589538688E-3</v>
      </c>
      <c r="W120" s="2"/>
      <c r="X120" s="2">
        <f t="shared" si="14"/>
        <v>-442.84999999999991</v>
      </c>
      <c r="Y120" s="2"/>
      <c r="Z120" s="22">
        <f t="shared" si="15"/>
        <v>-0.20512476087691586</v>
      </c>
    </row>
    <row r="121" spans="1:26" s="24" customFormat="1" hidden="1" outlineLevel="1" x14ac:dyDescent="0.25">
      <c r="A121" s="50"/>
      <c r="B121" s="11" t="str">
        <f>CONCATENATE("          ", "5502", " - ", "FREIGHT-IN-USED TEXT")</f>
        <v xml:space="preserve">          5502 - FREIGHT-IN-USED TEXT</v>
      </c>
      <c r="C121" s="11"/>
      <c r="D121" s="2">
        <v>277.49</v>
      </c>
      <c r="E121" s="2"/>
      <c r="F121" s="22">
        <f t="shared" si="8"/>
        <v>7.8846188926595619E-4</v>
      </c>
      <c r="G121" s="2"/>
      <c r="H121" s="2">
        <v>286.61</v>
      </c>
      <c r="I121" s="2"/>
      <c r="J121" s="22">
        <f t="shared" si="9"/>
        <v>7.5075871527505221E-4</v>
      </c>
      <c r="K121" s="2"/>
      <c r="L121" s="2">
        <f t="shared" si="10"/>
        <v>-9.1200000000000045</v>
      </c>
      <c r="M121" s="2"/>
      <c r="N121" s="22">
        <f t="shared" si="11"/>
        <v>-3.1820243536513047E-2</v>
      </c>
      <c r="O121" s="11"/>
      <c r="P121" s="2">
        <v>277.49</v>
      </c>
      <c r="Q121" s="2"/>
      <c r="R121" s="22">
        <f t="shared" si="12"/>
        <v>7.8846188926595619E-4</v>
      </c>
      <c r="S121" s="2"/>
      <c r="T121" s="2">
        <v>286.61</v>
      </c>
      <c r="U121" s="2"/>
      <c r="V121" s="22">
        <f t="shared" si="13"/>
        <v>7.5075871527505221E-4</v>
      </c>
      <c r="W121" s="2"/>
      <c r="X121" s="2">
        <f t="shared" si="14"/>
        <v>-9.1200000000000045</v>
      </c>
      <c r="Y121" s="2"/>
      <c r="Z121" s="22">
        <f t="shared" si="15"/>
        <v>-3.1820243536513047E-2</v>
      </c>
    </row>
    <row r="122" spans="1:26" s="24" customFormat="1" hidden="1" outlineLevel="1" x14ac:dyDescent="0.25">
      <c r="A122" s="50"/>
      <c r="B122" s="11" t="str">
        <f>CONCATENATE("          ", "5513", " - ", "FREIGHT-IN-TRADE BOOKS")</f>
        <v xml:space="preserve">          5513 - FREIGHT-IN-TRADE BOOKS</v>
      </c>
      <c r="C122" s="11"/>
      <c r="D122" s="2"/>
      <c r="E122" s="2"/>
      <c r="F122" s="22">
        <f t="shared" si="8"/>
        <v>0</v>
      </c>
      <c r="G122" s="2"/>
      <c r="H122" s="2">
        <v>7.27</v>
      </c>
      <c r="I122" s="2"/>
      <c r="J122" s="22">
        <f t="shared" si="9"/>
        <v>1.9043354593523009E-5</v>
      </c>
      <c r="K122" s="2"/>
      <c r="L122" s="2">
        <f t="shared" si="10"/>
        <v>-7.27</v>
      </c>
      <c r="M122" s="2"/>
      <c r="N122" s="22">
        <f t="shared" si="11"/>
        <v>-1</v>
      </c>
      <c r="O122" s="11"/>
      <c r="P122" s="2"/>
      <c r="Q122" s="2"/>
      <c r="R122" s="22">
        <f t="shared" si="12"/>
        <v>0</v>
      </c>
      <c r="S122" s="2"/>
      <c r="T122" s="2">
        <v>7.27</v>
      </c>
      <c r="U122" s="2"/>
      <c r="V122" s="22">
        <f t="shared" si="13"/>
        <v>1.9043354593523009E-5</v>
      </c>
      <c r="W122" s="2"/>
      <c r="X122" s="2">
        <f t="shared" si="14"/>
        <v>-7.27</v>
      </c>
      <c r="Y122" s="2"/>
      <c r="Z122" s="22">
        <f t="shared" si="15"/>
        <v>-1</v>
      </c>
    </row>
    <row r="123" spans="1:26" s="24" customFormat="1" hidden="1" outlineLevel="1" x14ac:dyDescent="0.25">
      <c r="A123" s="50"/>
      <c r="B123" s="11" t="str">
        <f>CONCATENATE("          ", "5526", " - ", "FREIGHT-IN-WRITING INSTRUMENTS")</f>
        <v xml:space="preserve">          5526 - FREIGHT-IN-WRITING INSTRUMENTS</v>
      </c>
      <c r="C123" s="11"/>
      <c r="D123" s="2">
        <v>39.11</v>
      </c>
      <c r="E123" s="2"/>
      <c r="F123" s="22">
        <f t="shared" si="8"/>
        <v>1.1112740815593911E-4</v>
      </c>
      <c r="G123" s="2"/>
      <c r="H123" s="2">
        <v>34.159999999999997</v>
      </c>
      <c r="I123" s="2"/>
      <c r="J123" s="22">
        <f t="shared" si="9"/>
        <v>8.9480191597626671E-5</v>
      </c>
      <c r="K123" s="2"/>
      <c r="L123" s="2">
        <f t="shared" si="10"/>
        <v>4.9500000000000028</v>
      </c>
      <c r="M123" s="2"/>
      <c r="N123" s="22">
        <f t="shared" si="11"/>
        <v>0.14490632318501181</v>
      </c>
      <c r="O123" s="11"/>
      <c r="P123" s="2">
        <v>39.11</v>
      </c>
      <c r="Q123" s="2"/>
      <c r="R123" s="22">
        <f t="shared" si="12"/>
        <v>1.1112740815593911E-4</v>
      </c>
      <c r="S123" s="2"/>
      <c r="T123" s="2">
        <v>34.159999999999997</v>
      </c>
      <c r="U123" s="2"/>
      <c r="V123" s="22">
        <f t="shared" si="13"/>
        <v>8.9480191597626671E-5</v>
      </c>
      <c r="W123" s="2"/>
      <c r="X123" s="2">
        <f t="shared" si="14"/>
        <v>4.9500000000000028</v>
      </c>
      <c r="Y123" s="2"/>
      <c r="Z123" s="22">
        <f t="shared" si="15"/>
        <v>0.14490632318501181</v>
      </c>
    </row>
    <row r="124" spans="1:26" s="24" customFormat="1" hidden="1" outlineLevel="1" x14ac:dyDescent="0.25">
      <c r="A124" s="50"/>
      <c r="B124" s="11" t="str">
        <f>CONCATENATE("          ", "5527", " - ", "FREIGHT-IN-SCHOOL SUPPLIES")</f>
        <v xml:space="preserve">          5527 - FREIGHT-IN-SCHOOL SUPPLIES</v>
      </c>
      <c r="C124" s="11"/>
      <c r="D124" s="2">
        <v>250.02</v>
      </c>
      <c r="E124" s="2"/>
      <c r="F124" s="22">
        <f t="shared" si="8"/>
        <v>7.1040845275243921E-4</v>
      </c>
      <c r="G124" s="2"/>
      <c r="H124" s="2">
        <v>280.67</v>
      </c>
      <c r="I124" s="2"/>
      <c r="J124" s="22">
        <f t="shared" si="9"/>
        <v>7.351992206002893E-4</v>
      </c>
      <c r="K124" s="2"/>
      <c r="L124" s="2">
        <f t="shared" si="10"/>
        <v>-30.650000000000006</v>
      </c>
      <c r="M124" s="2"/>
      <c r="N124" s="22">
        <f t="shared" si="11"/>
        <v>-0.10920297858695266</v>
      </c>
      <c r="O124" s="11"/>
      <c r="P124" s="2">
        <v>250.02</v>
      </c>
      <c r="Q124" s="2"/>
      <c r="R124" s="22">
        <f t="shared" si="12"/>
        <v>7.1040845275243921E-4</v>
      </c>
      <c r="S124" s="2"/>
      <c r="T124" s="2">
        <v>280.67</v>
      </c>
      <c r="U124" s="2"/>
      <c r="V124" s="22">
        <f t="shared" si="13"/>
        <v>7.351992206002893E-4</v>
      </c>
      <c r="W124" s="2"/>
      <c r="X124" s="2">
        <f t="shared" si="14"/>
        <v>-30.650000000000006</v>
      </c>
      <c r="Y124" s="2"/>
      <c r="Z124" s="22">
        <f t="shared" si="15"/>
        <v>-0.10920297858695266</v>
      </c>
    </row>
    <row r="125" spans="1:26" s="24" customFormat="1" hidden="1" outlineLevel="1" x14ac:dyDescent="0.25">
      <c r="A125" s="50"/>
      <c r="B125" s="11" t="str">
        <f>CONCATENATE("          ", "5528", " - ", "FREIGHT-IN-ART/TECH")</f>
        <v xml:space="preserve">          5528 - FREIGHT-IN-ART/TECH</v>
      </c>
      <c r="C125" s="11"/>
      <c r="D125" s="2">
        <v>44.35</v>
      </c>
      <c r="E125" s="2"/>
      <c r="F125" s="22">
        <f t="shared" si="8"/>
        <v>1.2601637820802608E-4</v>
      </c>
      <c r="G125" s="2"/>
      <c r="H125" s="2">
        <v>145.88999999999999</v>
      </c>
      <c r="I125" s="2"/>
      <c r="J125" s="22">
        <f t="shared" si="9"/>
        <v>3.8215061920895071E-4</v>
      </c>
      <c r="K125" s="2"/>
      <c r="L125" s="2">
        <f t="shared" si="10"/>
        <v>-101.53999999999999</v>
      </c>
      <c r="M125" s="2"/>
      <c r="N125" s="22">
        <f t="shared" si="11"/>
        <v>-0.69600383850846526</v>
      </c>
      <c r="O125" s="11"/>
      <c r="P125" s="2">
        <v>44.35</v>
      </c>
      <c r="Q125" s="2"/>
      <c r="R125" s="22">
        <f t="shared" si="12"/>
        <v>1.2601637820802608E-4</v>
      </c>
      <c r="S125" s="2"/>
      <c r="T125" s="2">
        <v>145.88999999999999</v>
      </c>
      <c r="U125" s="2"/>
      <c r="V125" s="22">
        <f t="shared" si="13"/>
        <v>3.8215061920895071E-4</v>
      </c>
      <c r="W125" s="2"/>
      <c r="X125" s="2">
        <f t="shared" si="14"/>
        <v>-101.53999999999999</v>
      </c>
      <c r="Y125" s="2"/>
      <c r="Z125" s="22">
        <f t="shared" si="15"/>
        <v>-0.69600383850846526</v>
      </c>
    </row>
    <row r="126" spans="1:26" s="24" customFormat="1" hidden="1" outlineLevel="1" x14ac:dyDescent="0.25">
      <c r="A126" s="50"/>
      <c r="B126" s="11" t="str">
        <f>CONCATENATE("          ", "5540", " - ", "FREIGHT-IN-LOGO CLOTHING")</f>
        <v xml:space="preserve">          5540 - FREIGHT-IN-LOGO CLOTHING</v>
      </c>
      <c r="C126" s="11"/>
      <c r="D126" s="2">
        <v>395.22</v>
      </c>
      <c r="E126" s="2"/>
      <c r="F126" s="22">
        <f t="shared" si="8"/>
        <v>1.1229806763331696E-3</v>
      </c>
      <c r="G126" s="2"/>
      <c r="H126" s="2">
        <v>1089.53</v>
      </c>
      <c r="I126" s="2"/>
      <c r="J126" s="22">
        <f t="shared" si="9"/>
        <v>2.8539623287869497E-3</v>
      </c>
      <c r="K126" s="2"/>
      <c r="L126" s="2">
        <f t="shared" si="10"/>
        <v>-694.31</v>
      </c>
      <c r="M126" s="2"/>
      <c r="N126" s="22">
        <f t="shared" si="11"/>
        <v>-0.63725643167237245</v>
      </c>
      <c r="O126" s="11"/>
      <c r="P126" s="2">
        <v>395.22</v>
      </c>
      <c r="Q126" s="2"/>
      <c r="R126" s="22">
        <f t="shared" si="12"/>
        <v>1.1229806763331696E-3</v>
      </c>
      <c r="S126" s="2"/>
      <c r="T126" s="2">
        <v>1089.53</v>
      </c>
      <c r="U126" s="2"/>
      <c r="V126" s="22">
        <f t="shared" si="13"/>
        <v>2.8539623287869497E-3</v>
      </c>
      <c r="W126" s="2"/>
      <c r="X126" s="2">
        <f t="shared" si="14"/>
        <v>-694.31</v>
      </c>
      <c r="Y126" s="2"/>
      <c r="Z126" s="22">
        <f t="shared" si="15"/>
        <v>-0.63725643167237245</v>
      </c>
    </row>
    <row r="127" spans="1:26" s="24" customFormat="1" hidden="1" outlineLevel="1" x14ac:dyDescent="0.25">
      <c r="A127" s="50"/>
      <c r="B127" s="11" t="str">
        <f>CONCATENATE("          ", "5541", " - ", "FREIGHT-IN-LOGO GIFTS")</f>
        <v xml:space="preserve">          5541 - FREIGHT-IN-LOGO GIFTS</v>
      </c>
      <c r="C127" s="11"/>
      <c r="D127" s="2">
        <v>314.49</v>
      </c>
      <c r="E127" s="2"/>
      <c r="F127" s="22">
        <f t="shared" si="8"/>
        <v>8.9359392971008163E-4</v>
      </c>
      <c r="G127" s="2"/>
      <c r="H127" s="2">
        <v>785.4</v>
      </c>
      <c r="I127" s="2"/>
      <c r="J127" s="22">
        <f t="shared" si="9"/>
        <v>2.0573109625519905E-3</v>
      </c>
      <c r="K127" s="2"/>
      <c r="L127" s="2">
        <f t="shared" si="10"/>
        <v>-470.90999999999997</v>
      </c>
      <c r="M127" s="2"/>
      <c r="N127" s="22">
        <f t="shared" si="11"/>
        <v>-0.59957983193277309</v>
      </c>
      <c r="O127" s="11"/>
      <c r="P127" s="2">
        <v>314.49</v>
      </c>
      <c r="Q127" s="2"/>
      <c r="R127" s="22">
        <f t="shared" si="12"/>
        <v>8.9359392971008163E-4</v>
      </c>
      <c r="S127" s="2"/>
      <c r="T127" s="2">
        <v>785.4</v>
      </c>
      <c r="U127" s="2"/>
      <c r="V127" s="22">
        <f t="shared" si="13"/>
        <v>2.0573109625519905E-3</v>
      </c>
      <c r="W127" s="2"/>
      <c r="X127" s="2">
        <f t="shared" si="14"/>
        <v>-470.90999999999997</v>
      </c>
      <c r="Y127" s="2"/>
      <c r="Z127" s="22">
        <f t="shared" si="15"/>
        <v>-0.59957983193277309</v>
      </c>
    </row>
    <row r="128" spans="1:26" s="24" customFormat="1" hidden="1" outlineLevel="1" x14ac:dyDescent="0.25">
      <c r="A128" s="50"/>
      <c r="B128" s="11" t="str">
        <f>CONCATENATE("          ", "5542", " - ", "FREIGHT-IN-EVERYDAY GIFTS")</f>
        <v xml:space="preserve">          5542 - FREIGHT-IN-EVERYDAY GIFTS</v>
      </c>
      <c r="C128" s="11"/>
      <c r="D128" s="2">
        <v>29.72</v>
      </c>
      <c r="E128" s="2"/>
      <c r="F128" s="22">
        <f t="shared" si="8"/>
        <v>8.4446601135119165E-5</v>
      </c>
      <c r="G128" s="2"/>
      <c r="H128" s="2"/>
      <c r="I128" s="2"/>
      <c r="J128" s="22">
        <f t="shared" si="9"/>
        <v>0</v>
      </c>
      <c r="K128" s="2"/>
      <c r="L128" s="2">
        <f t="shared" si="10"/>
        <v>29.72</v>
      </c>
      <c r="M128" s="2"/>
      <c r="N128" s="22">
        <f t="shared" si="11"/>
        <v>0</v>
      </c>
      <c r="O128" s="11"/>
      <c r="P128" s="2">
        <v>29.72</v>
      </c>
      <c r="Q128" s="2"/>
      <c r="R128" s="22">
        <f t="shared" si="12"/>
        <v>8.4446601135119165E-5</v>
      </c>
      <c r="S128" s="2"/>
      <c r="T128" s="2"/>
      <c r="U128" s="2"/>
      <c r="V128" s="22">
        <f t="shared" si="13"/>
        <v>0</v>
      </c>
      <c r="W128" s="2"/>
      <c r="X128" s="2">
        <f t="shared" si="14"/>
        <v>29.72</v>
      </c>
      <c r="Y128" s="2"/>
      <c r="Z128" s="22">
        <f t="shared" si="15"/>
        <v>0</v>
      </c>
    </row>
    <row r="129" spans="1:26" s="24" customFormat="1" hidden="1" outlineLevel="1" x14ac:dyDescent="0.25">
      <c r="A129" s="50"/>
      <c r="B129" s="11" t="str">
        <f>CONCATENATE("          ", "5544", " - ", "FREIGHT-IN-ACCESSORIES")</f>
        <v xml:space="preserve">          5544 - FREIGHT-IN-ACCESSORIES</v>
      </c>
      <c r="C129" s="11"/>
      <c r="D129" s="2">
        <v>16.73</v>
      </c>
      <c r="E129" s="2"/>
      <c r="F129" s="22">
        <f t="shared" si="8"/>
        <v>4.7536730719735656E-5</v>
      </c>
      <c r="G129" s="2"/>
      <c r="H129" s="2">
        <v>29.26</v>
      </c>
      <c r="I129" s="2"/>
      <c r="J129" s="22">
        <f t="shared" si="9"/>
        <v>7.6644918212721223E-5</v>
      </c>
      <c r="K129" s="2"/>
      <c r="L129" s="2">
        <f t="shared" si="10"/>
        <v>-12.530000000000001</v>
      </c>
      <c r="M129" s="2"/>
      <c r="N129" s="22">
        <f t="shared" si="11"/>
        <v>-0.42822966507177035</v>
      </c>
      <c r="O129" s="11"/>
      <c r="P129" s="2">
        <v>16.73</v>
      </c>
      <c r="Q129" s="2"/>
      <c r="R129" s="22">
        <f t="shared" si="12"/>
        <v>4.7536730719735656E-5</v>
      </c>
      <c r="S129" s="2"/>
      <c r="T129" s="2">
        <v>29.26</v>
      </c>
      <c r="U129" s="2"/>
      <c r="V129" s="22">
        <f t="shared" si="13"/>
        <v>7.6644918212721223E-5</v>
      </c>
      <c r="W129" s="2"/>
      <c r="X129" s="2">
        <f t="shared" si="14"/>
        <v>-12.530000000000001</v>
      </c>
      <c r="Y129" s="2"/>
      <c r="Z129" s="22">
        <f t="shared" si="15"/>
        <v>-0.42822966507177035</v>
      </c>
    </row>
    <row r="130" spans="1:26" s="24" customFormat="1" hidden="1" outlineLevel="1" x14ac:dyDescent="0.25">
      <c r="A130" s="50"/>
      <c r="B130" s="11" t="str">
        <f>CONCATENATE("          ", "5545", " - ", "FREIGHT-IN-SPECIAL ORDERS")</f>
        <v xml:space="preserve">          5545 - FREIGHT-IN-SPECIAL ORDERS</v>
      </c>
      <c r="C130" s="11"/>
      <c r="D130" s="2">
        <v>227.08</v>
      </c>
      <c r="E130" s="2"/>
      <c r="F130" s="22">
        <f t="shared" si="8"/>
        <v>6.4522658767708142E-4</v>
      </c>
      <c r="G130" s="2"/>
      <c r="H130" s="2">
        <v>305.11</v>
      </c>
      <c r="I130" s="2"/>
      <c r="J130" s="22">
        <f t="shared" si="9"/>
        <v>7.9921842091194026E-4</v>
      </c>
      <c r="K130" s="2"/>
      <c r="L130" s="2">
        <f t="shared" si="10"/>
        <v>-78.03</v>
      </c>
      <c r="M130" s="2"/>
      <c r="N130" s="22">
        <f t="shared" si="11"/>
        <v>-0.25574383009406443</v>
      </c>
      <c r="O130" s="11"/>
      <c r="P130" s="2">
        <v>227.08</v>
      </c>
      <c r="Q130" s="2"/>
      <c r="R130" s="22">
        <f t="shared" si="12"/>
        <v>6.4522658767708142E-4</v>
      </c>
      <c r="S130" s="2"/>
      <c r="T130" s="2">
        <v>305.11</v>
      </c>
      <c r="U130" s="2"/>
      <c r="V130" s="22">
        <f t="shared" si="13"/>
        <v>7.9921842091194026E-4</v>
      </c>
      <c r="W130" s="2"/>
      <c r="X130" s="2">
        <f t="shared" si="14"/>
        <v>-78.03</v>
      </c>
      <c r="Y130" s="2"/>
      <c r="Z130" s="22">
        <f t="shared" si="15"/>
        <v>-0.25574383009406443</v>
      </c>
    </row>
    <row r="131" spans="1:26" s="24" customFormat="1" hidden="1" outlineLevel="1" x14ac:dyDescent="0.25">
      <c r="A131" s="50"/>
      <c r="B131" s="11" t="str">
        <f>CONCATENATE("          ", "5592", " - ", "FREIGHT-IN-GRAD MERCH")</f>
        <v xml:space="preserve">          5592 - FREIGHT-IN-GRAD MERCH</v>
      </c>
      <c r="C131" s="11"/>
      <c r="D131" s="2"/>
      <c r="E131" s="2"/>
      <c r="F131" s="22">
        <f t="shared" si="8"/>
        <v>0</v>
      </c>
      <c r="G131" s="2"/>
      <c r="H131" s="2">
        <v>108.69</v>
      </c>
      <c r="I131" s="2"/>
      <c r="J131" s="22">
        <f t="shared" si="9"/>
        <v>2.8470731922558676E-4</v>
      </c>
      <c r="K131" s="2"/>
      <c r="L131" s="2">
        <f t="shared" si="10"/>
        <v>-108.69</v>
      </c>
      <c r="M131" s="2"/>
      <c r="N131" s="22">
        <f t="shared" si="11"/>
        <v>-1</v>
      </c>
      <c r="O131" s="11"/>
      <c r="P131" s="2"/>
      <c r="Q131" s="2"/>
      <c r="R131" s="22">
        <f t="shared" si="12"/>
        <v>0</v>
      </c>
      <c r="S131" s="2"/>
      <c r="T131" s="2">
        <v>108.69</v>
      </c>
      <c r="U131" s="2"/>
      <c r="V131" s="22">
        <f t="shared" si="13"/>
        <v>2.8470731922558676E-4</v>
      </c>
      <c r="W131" s="2"/>
      <c r="X131" s="2">
        <f t="shared" si="14"/>
        <v>-108.69</v>
      </c>
      <c r="Y131" s="2"/>
      <c r="Z131" s="22">
        <f t="shared" si="15"/>
        <v>-1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10"/>
      <c r="B133" s="25" t="s">
        <v>6</v>
      </c>
      <c r="C133" s="25"/>
      <c r="D133" s="21">
        <f>D12-D91</f>
        <v>158015.95000000004</v>
      </c>
      <c r="E133" s="13"/>
      <c r="F133" s="20">
        <f>IF(D$12=0,0,D133/D$12)</f>
        <v>0.44898754719505168</v>
      </c>
      <c r="G133" s="13"/>
      <c r="H133" s="21">
        <f>H12-H91</f>
        <v>170064.77999999994</v>
      </c>
      <c r="I133" s="13"/>
      <c r="J133" s="20">
        <f>IF(H$12=0,0,H133/H$12)</f>
        <v>0.44547509070281688</v>
      </c>
      <c r="K133" s="16"/>
      <c r="L133" s="21">
        <f>+D133-H133</f>
        <v>-12048.8299999999</v>
      </c>
      <c r="M133" s="16"/>
      <c r="N133" s="20">
        <f>IF(H133=0,0,L133/H133)</f>
        <v>-7.0848473152406416E-2</v>
      </c>
      <c r="O133" s="26"/>
      <c r="P133" s="21">
        <f>P12-P91</f>
        <v>158015.95000000004</v>
      </c>
      <c r="Q133" s="13"/>
      <c r="R133" s="20">
        <f>IF(P$12=0,0,P133/P$12)</f>
        <v>0.44898754719505168</v>
      </c>
      <c r="S133" s="13"/>
      <c r="T133" s="21">
        <f>T12-T91</f>
        <v>170064.77999999994</v>
      </c>
      <c r="U133" s="13"/>
      <c r="V133" s="20">
        <f>IF(T$12=0,0,T133/T$12)</f>
        <v>0.44547509070281688</v>
      </c>
      <c r="W133" s="16"/>
      <c r="X133" s="21">
        <f>+P133-T133</f>
        <v>-12048.8299999999</v>
      </c>
      <c r="Y133" s="16"/>
      <c r="Z133" s="20">
        <f>IF(T133=0,0,X133/T133)</f>
        <v>-7.0848473152406416E-2</v>
      </c>
    </row>
    <row r="134" spans="1:26" x14ac:dyDescent="0.25">
      <c r="A134" s="9"/>
      <c r="B134" s="10"/>
      <c r="C134" s="9"/>
      <c r="D134" s="1"/>
      <c r="E134" s="1"/>
      <c r="F134" s="5"/>
      <c r="G134" s="1"/>
      <c r="H134" s="1"/>
      <c r="I134" s="1"/>
      <c r="J134" s="5"/>
      <c r="K134" s="1"/>
      <c r="L134" s="1"/>
      <c r="M134" s="1"/>
      <c r="N134" s="5"/>
      <c r="O134" s="37"/>
      <c r="P134" s="1"/>
      <c r="Q134" s="1"/>
      <c r="R134" s="5"/>
      <c r="S134" s="1"/>
      <c r="T134" s="1"/>
      <c r="U134" s="1"/>
      <c r="V134" s="5"/>
      <c r="W134" s="1"/>
      <c r="X134" s="1"/>
      <c r="Y134" s="1"/>
      <c r="Z134" s="5"/>
    </row>
    <row r="135" spans="1:26" s="23" customFormat="1" x14ac:dyDescent="0.25">
      <c r="A135" s="10"/>
      <c r="B135" s="26" t="s">
        <v>9</v>
      </c>
      <c r="C135" s="10"/>
      <c r="D135" s="19">
        <f>SUM(OSRRefD22x_0)</f>
        <v>355765.28999999992</v>
      </c>
      <c r="E135" s="19"/>
      <c r="F135" s="35">
        <f t="shared" ref="F135:F145" si="16">IF(D$12=0,0,D135/D$12)</f>
        <v>1.0108738069431356</v>
      </c>
      <c r="G135" s="19"/>
      <c r="H135" s="19">
        <f>SUM(OSRRefH22x_0)</f>
        <v>413549.95000000013</v>
      </c>
      <c r="I135" s="19"/>
      <c r="J135" s="35">
        <f t="shared" ref="J135:J145" si="17">IF(H$12=0,0,H135/H$12)</f>
        <v>1.083270748278365</v>
      </c>
      <c r="K135" s="4"/>
      <c r="L135" s="19">
        <f t="shared" ref="L135:L145" si="18">+D135-H135</f>
        <v>-57784.660000000207</v>
      </c>
      <c r="M135" s="4"/>
      <c r="N135" s="35">
        <f t="shared" ref="N135:N145" si="19">IF(H135=0,0,L135/H135)</f>
        <v>-0.13972836896728</v>
      </c>
      <c r="O135" s="10"/>
      <c r="P135" s="19">
        <f>SUM(OSRRefP22x_0)</f>
        <v>355765.28999999992</v>
      </c>
      <c r="Q135" s="19"/>
      <c r="R135" s="35">
        <f t="shared" ref="R135:R145" si="20">IF(P$12=0,0,P135/P$12)</f>
        <v>1.0108738069431356</v>
      </c>
      <c r="S135" s="19"/>
      <c r="T135" s="19">
        <f>SUM(OSRRefT22x_0)</f>
        <v>413549.95000000013</v>
      </c>
      <c r="U135" s="19"/>
      <c r="V135" s="35">
        <f t="shared" ref="V135:V145" si="21">IF(T$12=0,0,T135/T$12)</f>
        <v>1.083270748278365</v>
      </c>
      <c r="W135" s="4"/>
      <c r="X135" s="19">
        <f t="shared" ref="X135:X145" si="22">+P135-T135</f>
        <v>-57784.660000000207</v>
      </c>
      <c r="Y135" s="4"/>
      <c r="Z135" s="35">
        <f t="shared" ref="Z135:Z145" si="23">IF(T135=0,0,X135/T135)</f>
        <v>-0.13972836896728</v>
      </c>
    </row>
    <row r="136" spans="1:26" s="28" customFormat="1" outlineLevel="1" collapsed="1" x14ac:dyDescent="0.25">
      <c r="A136" s="27"/>
      <c r="B136" s="14" t="str">
        <f>CONCATENATE("     ","*Benefits                                         ")</f>
        <v xml:space="preserve">     *Benefits                                         </v>
      </c>
      <c r="C136" s="14"/>
      <c r="D136" s="1">
        <f>SUM(OSRRefD22_0x_0)</f>
        <v>55151.35</v>
      </c>
      <c r="E136" s="1"/>
      <c r="F136" s="5">
        <f t="shared" si="16"/>
        <v>0.15670740429048971</v>
      </c>
      <c r="G136" s="1"/>
      <c r="H136" s="1">
        <f>SUM(OSRRefH22_0x_0)</f>
        <v>49592.39</v>
      </c>
      <c r="I136" s="1"/>
      <c r="J136" s="5">
        <f t="shared" si="17"/>
        <v>0.12990446601241878</v>
      </c>
      <c r="K136" s="1"/>
      <c r="L136" s="1">
        <f t="shared" si="18"/>
        <v>5558.9599999999991</v>
      </c>
      <c r="M136" s="1"/>
      <c r="N136" s="5">
        <f t="shared" si="19"/>
        <v>0.11209300459203517</v>
      </c>
      <c r="O136" s="14"/>
      <c r="P136" s="1">
        <f>SUM(OSRRefP22_0x_0)</f>
        <v>55151.35</v>
      </c>
      <c r="Q136" s="1"/>
      <c r="R136" s="5">
        <f t="shared" si="20"/>
        <v>0.15670740429048971</v>
      </c>
      <c r="S136" s="1"/>
      <c r="T136" s="1">
        <f>SUM(OSRRefT22_0x_0)</f>
        <v>49592.39</v>
      </c>
      <c r="U136" s="1"/>
      <c r="V136" s="5">
        <f t="shared" si="21"/>
        <v>0.12990446601241878</v>
      </c>
      <c r="W136" s="1"/>
      <c r="X136" s="1">
        <f t="shared" si="22"/>
        <v>5558.9599999999991</v>
      </c>
      <c r="Y136" s="1"/>
      <c r="Z136" s="5">
        <f t="shared" si="23"/>
        <v>0.11209300459203517</v>
      </c>
    </row>
    <row r="137" spans="1:26" s="24" customFormat="1" hidden="1" outlineLevel="2" x14ac:dyDescent="0.25">
      <c r="A137" s="29"/>
      <c r="B137" s="11" t="str">
        <f>CONCATENATE("          ", "6111", " - ", "F.I.C.A.")</f>
        <v xml:space="preserve">          6111 - F.I.C.A.</v>
      </c>
      <c r="C137" s="11"/>
      <c r="D137" s="7">
        <v>10836.64</v>
      </c>
      <c r="E137" s="2"/>
      <c r="F137" s="6">
        <f t="shared" si="16"/>
        <v>3.0791299317795347E-2</v>
      </c>
      <c r="G137" s="2"/>
      <c r="H137" s="7">
        <v>10546.16</v>
      </c>
      <c r="I137" s="2"/>
      <c r="J137" s="6">
        <f t="shared" si="17"/>
        <v>2.7625070767541761E-2</v>
      </c>
      <c r="K137" s="2"/>
      <c r="L137" s="7">
        <f t="shared" si="18"/>
        <v>290.47999999999956</v>
      </c>
      <c r="M137" s="2"/>
      <c r="N137" s="6">
        <f t="shared" si="19"/>
        <v>2.75436746645224E-2</v>
      </c>
      <c r="O137" s="11"/>
      <c r="P137" s="7">
        <v>10836.64</v>
      </c>
      <c r="Q137" s="2"/>
      <c r="R137" s="6">
        <f t="shared" si="20"/>
        <v>3.0791299317795347E-2</v>
      </c>
      <c r="S137" s="2"/>
      <c r="T137" s="7">
        <v>10546.16</v>
      </c>
      <c r="U137" s="2"/>
      <c r="V137" s="6">
        <f t="shared" si="21"/>
        <v>2.7625070767541761E-2</v>
      </c>
      <c r="W137" s="2"/>
      <c r="X137" s="7">
        <f t="shared" si="22"/>
        <v>290.47999999999956</v>
      </c>
      <c r="Y137" s="2"/>
      <c r="Z137" s="6">
        <f t="shared" si="23"/>
        <v>2.75436746645224E-2</v>
      </c>
    </row>
    <row r="138" spans="1:26" s="24" customFormat="1" hidden="1" outlineLevel="2" x14ac:dyDescent="0.25">
      <c r="A138" s="29"/>
      <c r="B138" s="11" t="str">
        <f>CONCATENATE("          ", "6112", " - ", "COMPENSATION INSURANCE")</f>
        <v xml:space="preserve">          6112 - COMPENSATION INSURANCE</v>
      </c>
      <c r="C138" s="11"/>
      <c r="D138" s="7">
        <v>1966.34</v>
      </c>
      <c r="E138" s="2"/>
      <c r="F138" s="6">
        <f t="shared" si="16"/>
        <v>5.5871712542405862E-3</v>
      </c>
      <c r="G138" s="2"/>
      <c r="H138" s="7">
        <v>1854.75</v>
      </c>
      <c r="I138" s="2"/>
      <c r="J138" s="6">
        <f t="shared" si="17"/>
        <v>4.8584129205415131E-3</v>
      </c>
      <c r="K138" s="2"/>
      <c r="L138" s="7">
        <f t="shared" si="18"/>
        <v>111.58999999999992</v>
      </c>
      <c r="M138" s="2"/>
      <c r="N138" s="6">
        <f t="shared" si="19"/>
        <v>6.0164442647256997E-2</v>
      </c>
      <c r="O138" s="11"/>
      <c r="P138" s="7">
        <v>1966.34</v>
      </c>
      <c r="Q138" s="2"/>
      <c r="R138" s="6">
        <f t="shared" si="20"/>
        <v>5.5871712542405862E-3</v>
      </c>
      <c r="S138" s="2"/>
      <c r="T138" s="7">
        <v>1854.75</v>
      </c>
      <c r="U138" s="2"/>
      <c r="V138" s="6">
        <f t="shared" si="21"/>
        <v>4.8584129205415131E-3</v>
      </c>
      <c r="W138" s="2"/>
      <c r="X138" s="7">
        <f t="shared" si="22"/>
        <v>111.58999999999992</v>
      </c>
      <c r="Y138" s="2"/>
      <c r="Z138" s="6">
        <f t="shared" si="23"/>
        <v>6.0164442647256997E-2</v>
      </c>
    </row>
    <row r="139" spans="1:26" s="24" customFormat="1" hidden="1" outlineLevel="2" x14ac:dyDescent="0.25">
      <c r="A139" s="29"/>
      <c r="B139" s="11" t="str">
        <f>CONCATENATE("          ", "6113", " - ", "GROUP INSURANCE")</f>
        <v xml:space="preserve">          6113 - GROUP INSURANCE</v>
      </c>
      <c r="C139" s="11"/>
      <c r="D139" s="7">
        <v>18530.449999999997</v>
      </c>
      <c r="E139" s="2"/>
      <c r="F139" s="6">
        <f t="shared" si="16"/>
        <v>5.2652541049941742E-2</v>
      </c>
      <c r="G139" s="2"/>
      <c r="H139" s="7">
        <v>7555.35</v>
      </c>
      <c r="I139" s="2"/>
      <c r="J139" s="6">
        <f t="shared" si="17"/>
        <v>1.9790812809927658E-2</v>
      </c>
      <c r="K139" s="2"/>
      <c r="L139" s="7">
        <f t="shared" si="18"/>
        <v>10975.099999999997</v>
      </c>
      <c r="M139" s="2"/>
      <c r="N139" s="6">
        <f t="shared" si="19"/>
        <v>1.4526262846856859</v>
      </c>
      <c r="O139" s="11"/>
      <c r="P139" s="7">
        <v>18530.449999999997</v>
      </c>
      <c r="Q139" s="2"/>
      <c r="R139" s="6">
        <f t="shared" si="20"/>
        <v>5.2652541049941742E-2</v>
      </c>
      <c r="S139" s="2"/>
      <c r="T139" s="7">
        <v>7555.35</v>
      </c>
      <c r="U139" s="2"/>
      <c r="V139" s="6">
        <f t="shared" si="21"/>
        <v>1.9790812809927658E-2</v>
      </c>
      <c r="W139" s="2"/>
      <c r="X139" s="7">
        <f t="shared" si="22"/>
        <v>10975.099999999997</v>
      </c>
      <c r="Y139" s="2"/>
      <c r="Z139" s="6">
        <f t="shared" si="23"/>
        <v>1.4526262846856859</v>
      </c>
    </row>
    <row r="140" spans="1:26" s="24" customFormat="1" hidden="1" outlineLevel="2" x14ac:dyDescent="0.25">
      <c r="A140" s="29"/>
      <c r="B140" s="11" t="str">
        <f>CONCATENATE("          ", "6114", " - ", "STATE UNEMPLOYMENT INSURANCE")</f>
        <v xml:space="preserve">          6114 - STATE UNEMPLOYMENT INSURANCE</v>
      </c>
      <c r="C140" s="11"/>
      <c r="D140" s="7">
        <v>367.04</v>
      </c>
      <c r="E140" s="2"/>
      <c r="F140" s="6">
        <f t="shared" si="16"/>
        <v>1.0429098412057247E-3</v>
      </c>
      <c r="G140" s="2"/>
      <c r="H140" s="7">
        <v>535.04</v>
      </c>
      <c r="I140" s="2"/>
      <c r="J140" s="6">
        <f t="shared" si="17"/>
        <v>1.4015070758897593E-3</v>
      </c>
      <c r="K140" s="2"/>
      <c r="L140" s="7">
        <f t="shared" si="18"/>
        <v>-167.99999999999994</v>
      </c>
      <c r="M140" s="2"/>
      <c r="N140" s="6">
        <f t="shared" si="19"/>
        <v>-0.31399521531100472</v>
      </c>
      <c r="O140" s="11"/>
      <c r="P140" s="7">
        <v>367.04</v>
      </c>
      <c r="Q140" s="2"/>
      <c r="R140" s="6">
        <f t="shared" si="20"/>
        <v>1.0429098412057247E-3</v>
      </c>
      <c r="S140" s="2"/>
      <c r="T140" s="7">
        <v>535.04</v>
      </c>
      <c r="U140" s="2"/>
      <c r="V140" s="6">
        <f t="shared" si="21"/>
        <v>1.4015070758897593E-3</v>
      </c>
      <c r="W140" s="2"/>
      <c r="X140" s="7">
        <f t="shared" si="22"/>
        <v>-167.99999999999994</v>
      </c>
      <c r="Y140" s="2"/>
      <c r="Z140" s="6">
        <f t="shared" si="23"/>
        <v>-0.31399521531100472</v>
      </c>
    </row>
    <row r="141" spans="1:26" s="24" customFormat="1" hidden="1" outlineLevel="2" x14ac:dyDescent="0.25">
      <c r="A141" s="29"/>
      <c r="B141" s="11" t="str">
        <f>CONCATENATE("          ", "6115", " - ", "P.E.R.S.")</f>
        <v xml:space="preserve">          6115 - P.E.R.S.</v>
      </c>
      <c r="C141" s="11"/>
      <c r="D141" s="7">
        <v>6114.49</v>
      </c>
      <c r="E141" s="2"/>
      <c r="F141" s="6">
        <f t="shared" si="16"/>
        <v>1.737375162095137E-2</v>
      </c>
      <c r="G141" s="2"/>
      <c r="H141" s="7">
        <v>8312.31</v>
      </c>
      <c r="I141" s="2"/>
      <c r="J141" s="6">
        <f t="shared" si="17"/>
        <v>2.1773626797976234E-2</v>
      </c>
      <c r="K141" s="2"/>
      <c r="L141" s="7">
        <f t="shared" si="18"/>
        <v>-2197.8199999999997</v>
      </c>
      <c r="M141" s="2"/>
      <c r="N141" s="6">
        <f t="shared" si="19"/>
        <v>-0.26440544204920169</v>
      </c>
      <c r="O141" s="11"/>
      <c r="P141" s="7">
        <v>6114.49</v>
      </c>
      <c r="Q141" s="2"/>
      <c r="R141" s="6">
        <f t="shared" si="20"/>
        <v>1.737375162095137E-2</v>
      </c>
      <c r="S141" s="2"/>
      <c r="T141" s="7">
        <v>8312.31</v>
      </c>
      <c r="U141" s="2"/>
      <c r="V141" s="6">
        <f t="shared" si="21"/>
        <v>2.1773626797976234E-2</v>
      </c>
      <c r="W141" s="2"/>
      <c r="X141" s="7">
        <f t="shared" si="22"/>
        <v>-2197.8199999999997</v>
      </c>
      <c r="Y141" s="2"/>
      <c r="Z141" s="6">
        <f t="shared" si="23"/>
        <v>-0.26440544204920169</v>
      </c>
    </row>
    <row r="142" spans="1:26" s="24" customFormat="1" hidden="1" outlineLevel="2" x14ac:dyDescent="0.25">
      <c r="A142" s="29"/>
      <c r="B142" s="11" t="str">
        <f>CONCATENATE("          ", "6117", " - ", "RETIREMENT STAFF HOURLY")</f>
        <v xml:space="preserve">          6117 - RETIREMENT STAFF HOURLY</v>
      </c>
      <c r="C142" s="11"/>
      <c r="D142" s="7">
        <v>220.69</v>
      </c>
      <c r="E142" s="2"/>
      <c r="F142" s="6">
        <f t="shared" si="16"/>
        <v>6.2707000015173114E-4</v>
      </c>
      <c r="G142" s="2"/>
      <c r="H142" s="7">
        <v>285.22000000000003</v>
      </c>
      <c r="I142" s="2"/>
      <c r="J142" s="6">
        <f t="shared" si="17"/>
        <v>7.4711768874341587E-4</v>
      </c>
      <c r="K142" s="2"/>
      <c r="L142" s="7">
        <f t="shared" si="18"/>
        <v>-64.53000000000003</v>
      </c>
      <c r="M142" s="2"/>
      <c r="N142" s="6">
        <f t="shared" si="19"/>
        <v>-0.22624640628286943</v>
      </c>
      <c r="O142" s="11"/>
      <c r="P142" s="7">
        <v>220.69</v>
      </c>
      <c r="Q142" s="2"/>
      <c r="R142" s="6">
        <f t="shared" si="20"/>
        <v>6.2707000015173114E-4</v>
      </c>
      <c r="S142" s="2"/>
      <c r="T142" s="7">
        <v>285.22000000000003</v>
      </c>
      <c r="U142" s="2"/>
      <c r="V142" s="6">
        <f t="shared" si="21"/>
        <v>7.4711768874341587E-4</v>
      </c>
      <c r="W142" s="2"/>
      <c r="X142" s="7">
        <f t="shared" si="22"/>
        <v>-64.53000000000003</v>
      </c>
      <c r="Y142" s="2"/>
      <c r="Z142" s="6">
        <f t="shared" si="23"/>
        <v>-0.22624640628286943</v>
      </c>
    </row>
    <row r="143" spans="1:26" s="24" customFormat="1" hidden="1" outlineLevel="2" x14ac:dyDescent="0.25">
      <c r="A143" s="29"/>
      <c r="B143" s="11" t="str">
        <f>CONCATENATE("          ", "6118", " - ", "VACATION")</f>
        <v xml:space="preserve">          6118 - VACATION</v>
      </c>
      <c r="C143" s="11"/>
      <c r="D143" s="7">
        <v>7334.91</v>
      </c>
      <c r="E143" s="2"/>
      <c r="F143" s="6">
        <f t="shared" si="16"/>
        <v>2.0841460939838387E-2</v>
      </c>
      <c r="G143" s="2"/>
      <c r="H143" s="7">
        <v>8798.0499999999993</v>
      </c>
      <c r="I143" s="2"/>
      <c r="J143" s="6">
        <f t="shared" si="17"/>
        <v>2.3045995306952557E-2</v>
      </c>
      <c r="K143" s="2"/>
      <c r="L143" s="7">
        <f t="shared" si="18"/>
        <v>-1463.1399999999994</v>
      </c>
      <c r="M143" s="2"/>
      <c r="N143" s="6">
        <f t="shared" si="19"/>
        <v>-0.16630276027074176</v>
      </c>
      <c r="O143" s="11"/>
      <c r="P143" s="7">
        <v>7334.91</v>
      </c>
      <c r="Q143" s="2"/>
      <c r="R143" s="6">
        <f t="shared" si="20"/>
        <v>2.0841460939838387E-2</v>
      </c>
      <c r="S143" s="2"/>
      <c r="T143" s="7">
        <v>8798.0499999999993</v>
      </c>
      <c r="U143" s="2"/>
      <c r="V143" s="6">
        <f t="shared" si="21"/>
        <v>2.3045995306952557E-2</v>
      </c>
      <c r="W143" s="2"/>
      <c r="X143" s="7">
        <f t="shared" si="22"/>
        <v>-1463.1399999999994</v>
      </c>
      <c r="Y143" s="2"/>
      <c r="Z143" s="6">
        <f t="shared" si="23"/>
        <v>-0.16630276027074176</v>
      </c>
    </row>
    <row r="144" spans="1:26" s="24" customFormat="1" hidden="1" outlineLevel="2" x14ac:dyDescent="0.25">
      <c r="A144" s="29"/>
      <c r="B144" s="11" t="str">
        <f>CONCATENATE("          ", "6119", " - ", "SICK LEAVE")</f>
        <v xml:space="preserve">          6119 - SICK LEAVE</v>
      </c>
      <c r="C144" s="11"/>
      <c r="D144" s="7">
        <v>8051.08</v>
      </c>
      <c r="E144" s="2"/>
      <c r="F144" s="6">
        <f t="shared" si="16"/>
        <v>2.2876391031861884E-2</v>
      </c>
      <c r="G144" s="2"/>
      <c r="H144" s="7">
        <v>9693.2000000000007</v>
      </c>
      <c r="I144" s="2"/>
      <c r="J144" s="6">
        <f t="shared" si="17"/>
        <v>2.5390790198890956E-2</v>
      </c>
      <c r="K144" s="2"/>
      <c r="L144" s="7">
        <f t="shared" si="18"/>
        <v>-1642.1200000000008</v>
      </c>
      <c r="M144" s="2"/>
      <c r="N144" s="6">
        <f t="shared" si="19"/>
        <v>-0.16940948293649163</v>
      </c>
      <c r="O144" s="11"/>
      <c r="P144" s="7">
        <v>8051.08</v>
      </c>
      <c r="Q144" s="2"/>
      <c r="R144" s="6">
        <f t="shared" si="20"/>
        <v>2.2876391031861884E-2</v>
      </c>
      <c r="S144" s="2"/>
      <c r="T144" s="7">
        <v>9693.2000000000007</v>
      </c>
      <c r="U144" s="2"/>
      <c r="V144" s="6">
        <f t="shared" si="21"/>
        <v>2.5390790198890956E-2</v>
      </c>
      <c r="W144" s="2"/>
      <c r="X144" s="7">
        <f t="shared" si="22"/>
        <v>-1642.1200000000008</v>
      </c>
      <c r="Y144" s="2"/>
      <c r="Z144" s="6">
        <f t="shared" si="23"/>
        <v>-0.16940948293649163</v>
      </c>
    </row>
    <row r="145" spans="1:26" s="24" customFormat="1" hidden="1" outlineLevel="2" x14ac:dyDescent="0.25">
      <c r="A145" s="29"/>
      <c r="B145" s="11" t="str">
        <f>CONCATENATE("          ", "6156", " - ", "EMPLOYEE MEALS")</f>
        <v xml:space="preserve">          6156 - EMPLOYEE MEALS</v>
      </c>
      <c r="C145" s="11"/>
      <c r="D145" s="7">
        <v>1729.71</v>
      </c>
      <c r="E145" s="2"/>
      <c r="F145" s="6">
        <f t="shared" si="16"/>
        <v>4.9148092345029266E-3</v>
      </c>
      <c r="G145" s="2"/>
      <c r="H145" s="7">
        <v>2012.31</v>
      </c>
      <c r="I145" s="2"/>
      <c r="J145" s="6">
        <f t="shared" si="17"/>
        <v>5.2711324459549218E-3</v>
      </c>
      <c r="K145" s="2"/>
      <c r="L145" s="7">
        <f t="shared" si="18"/>
        <v>-282.59999999999991</v>
      </c>
      <c r="M145" s="2"/>
      <c r="N145" s="6">
        <f t="shared" si="19"/>
        <v>-0.14043561876649219</v>
      </c>
      <c r="O145" s="11"/>
      <c r="P145" s="7">
        <v>1729.71</v>
      </c>
      <c r="Q145" s="2"/>
      <c r="R145" s="6">
        <f t="shared" si="20"/>
        <v>4.9148092345029266E-3</v>
      </c>
      <c r="S145" s="2"/>
      <c r="T145" s="7">
        <v>2012.31</v>
      </c>
      <c r="U145" s="2"/>
      <c r="V145" s="6">
        <f t="shared" si="21"/>
        <v>5.2711324459549218E-3</v>
      </c>
      <c r="W145" s="2"/>
      <c r="X145" s="7">
        <f t="shared" si="22"/>
        <v>-282.59999999999991</v>
      </c>
      <c r="Y145" s="2"/>
      <c r="Z145" s="6">
        <f t="shared" si="23"/>
        <v>-0.14043561876649219</v>
      </c>
    </row>
    <row r="146" spans="1:26" s="28" customFormat="1" outlineLevel="1" collapsed="1" x14ac:dyDescent="0.25">
      <c r="A146" s="27"/>
      <c r="B146" s="14" t="str">
        <f>CONCATENATE("     ","*Payroll                                          ")</f>
        <v xml:space="preserve">     *Payroll                                          </v>
      </c>
      <c r="C146" s="14"/>
      <c r="D146" s="1">
        <f>SUM(OSRRefD22_1x_0)</f>
        <v>170297.77</v>
      </c>
      <c r="E146" s="1"/>
      <c r="F146" s="5">
        <f t="shared" ref="F146:F153" si="24">IF(D$12=0,0,D146/D$12)</f>
        <v>0.48388519035633448</v>
      </c>
      <c r="G146" s="1"/>
      <c r="H146" s="1">
        <f>SUM(OSRRefH22_1x_0)</f>
        <v>169963.25999999998</v>
      </c>
      <c r="I146" s="1"/>
      <c r="J146" s="5">
        <f t="shared" ref="J146:J153" si="25">IF(H$12=0,0,H146/H$12)</f>
        <v>0.44520916479383016</v>
      </c>
      <c r="K146" s="1"/>
      <c r="L146" s="1">
        <f t="shared" ref="L146:L153" si="26">+D146-H146</f>
        <v>334.51000000000931</v>
      </c>
      <c r="M146" s="1"/>
      <c r="N146" s="5">
        <f t="shared" ref="N146:N153" si="27">IF(H146=0,0,L146/H146)</f>
        <v>1.9681312302435795E-3</v>
      </c>
      <c r="O146" s="14"/>
      <c r="P146" s="1">
        <f>SUM(OSRRefP22_1x_0)</f>
        <v>170297.77</v>
      </c>
      <c r="Q146" s="1"/>
      <c r="R146" s="5">
        <f t="shared" ref="R146:R153" si="28">IF(P$12=0,0,P146/P$12)</f>
        <v>0.48388519035633448</v>
      </c>
      <c r="S146" s="1"/>
      <c r="T146" s="1">
        <f>SUM(OSRRefT22_1x_0)</f>
        <v>169963.25999999998</v>
      </c>
      <c r="U146" s="1"/>
      <c r="V146" s="5">
        <f t="shared" ref="V146:V153" si="29">IF(T$12=0,0,T146/T$12)</f>
        <v>0.44520916479383016</v>
      </c>
      <c r="W146" s="1"/>
      <c r="X146" s="1">
        <f t="shared" ref="X146:X153" si="30">+P146-T146</f>
        <v>334.51000000000931</v>
      </c>
      <c r="Y146" s="1"/>
      <c r="Z146" s="5">
        <f t="shared" ref="Z146:Z153" si="31">IF(T146=0,0,X146/T146)</f>
        <v>1.9681312302435795E-3</v>
      </c>
    </row>
    <row r="147" spans="1:26" s="24" customFormat="1" hidden="1" outlineLevel="2" x14ac:dyDescent="0.25">
      <c r="A147" s="29"/>
      <c r="B147" s="11" t="str">
        <f>CONCATENATE("          ", "6001", " - ", "ADMINISTRATIVE SALARIES")</f>
        <v xml:space="preserve">          6001 - ADMINISTRATIVE SALARIES</v>
      </c>
      <c r="C147" s="11"/>
      <c r="D147" s="7">
        <v>12860.28</v>
      </c>
      <c r="E147" s="2"/>
      <c r="F147" s="6">
        <f t="shared" si="24"/>
        <v>3.6541283164399405E-2</v>
      </c>
      <c r="G147" s="2"/>
      <c r="H147" s="7">
        <v>13006</v>
      </c>
      <c r="I147" s="2"/>
      <c r="J147" s="6">
        <f t="shared" si="25"/>
        <v>3.4068482784506221E-2</v>
      </c>
      <c r="K147" s="2"/>
      <c r="L147" s="7">
        <f t="shared" si="26"/>
        <v>-145.71999999999935</v>
      </c>
      <c r="M147" s="2"/>
      <c r="N147" s="6">
        <f t="shared" si="27"/>
        <v>-1.1204059664770056E-2</v>
      </c>
      <c r="O147" s="11"/>
      <c r="P147" s="7">
        <v>12860.28</v>
      </c>
      <c r="Q147" s="2"/>
      <c r="R147" s="6">
        <f t="shared" si="28"/>
        <v>3.6541283164399405E-2</v>
      </c>
      <c r="S147" s="2"/>
      <c r="T147" s="7">
        <v>13006</v>
      </c>
      <c r="U147" s="2"/>
      <c r="V147" s="6">
        <f t="shared" si="29"/>
        <v>3.4068482784506221E-2</v>
      </c>
      <c r="W147" s="2"/>
      <c r="X147" s="7">
        <f t="shared" si="30"/>
        <v>-145.71999999999935</v>
      </c>
      <c r="Y147" s="2"/>
      <c r="Z147" s="6">
        <f t="shared" si="31"/>
        <v>-1.1204059664770056E-2</v>
      </c>
    </row>
    <row r="148" spans="1:26" s="24" customFormat="1" hidden="1" outlineLevel="2" x14ac:dyDescent="0.25">
      <c r="A148" s="29"/>
      <c r="B148" s="11" t="str">
        <f>CONCATENATE("          ", "6002", " - ", "STAFF SALARIES")</f>
        <v xml:space="preserve">          6002 - STAFF SALARIES</v>
      </c>
      <c r="C148" s="11"/>
      <c r="D148" s="7">
        <v>64127.61</v>
      </c>
      <c r="E148" s="2"/>
      <c r="F148" s="6">
        <f t="shared" si="24"/>
        <v>0.18221260778662446</v>
      </c>
      <c r="G148" s="2"/>
      <c r="H148" s="7">
        <v>63307.77</v>
      </c>
      <c r="I148" s="2"/>
      <c r="J148" s="6">
        <f t="shared" si="25"/>
        <v>0.16583112966096258</v>
      </c>
      <c r="K148" s="2"/>
      <c r="L148" s="7">
        <f t="shared" si="26"/>
        <v>819.84000000000378</v>
      </c>
      <c r="M148" s="2"/>
      <c r="N148" s="6">
        <f t="shared" si="27"/>
        <v>1.2950069162126605E-2</v>
      </c>
      <c r="O148" s="11"/>
      <c r="P148" s="7">
        <v>64127.61</v>
      </c>
      <c r="Q148" s="2"/>
      <c r="R148" s="6">
        <f t="shared" si="28"/>
        <v>0.18221260778662446</v>
      </c>
      <c r="S148" s="2"/>
      <c r="T148" s="7">
        <v>63307.77</v>
      </c>
      <c r="U148" s="2"/>
      <c r="V148" s="6">
        <f t="shared" si="29"/>
        <v>0.16583112966096258</v>
      </c>
      <c r="W148" s="2"/>
      <c r="X148" s="7">
        <f t="shared" si="30"/>
        <v>819.84000000000378</v>
      </c>
      <c r="Y148" s="2"/>
      <c r="Z148" s="6">
        <f t="shared" si="31"/>
        <v>1.2950069162126605E-2</v>
      </c>
    </row>
    <row r="149" spans="1:26" s="24" customFormat="1" hidden="1" outlineLevel="2" x14ac:dyDescent="0.25">
      <c r="A149" s="29"/>
      <c r="B149" s="11" t="str">
        <f>CONCATENATE("          ", "6004", " - ", "STAFF HOURLY")</f>
        <v xml:space="preserve">          6004 - STAFF HOURLY</v>
      </c>
      <c r="C149" s="11"/>
      <c r="D149" s="7">
        <v>2005.93</v>
      </c>
      <c r="E149" s="2"/>
      <c r="F149" s="6">
        <f t="shared" si="24"/>
        <v>5.6996625375158004E-3</v>
      </c>
      <c r="G149" s="2"/>
      <c r="H149" s="7">
        <v>5369.04</v>
      </c>
      <c r="I149" s="2"/>
      <c r="J149" s="6">
        <f t="shared" si="25"/>
        <v>1.4063897186631194E-2</v>
      </c>
      <c r="K149" s="2"/>
      <c r="L149" s="7">
        <f t="shared" si="26"/>
        <v>-3363.1099999999997</v>
      </c>
      <c r="M149" s="2"/>
      <c r="N149" s="6">
        <f t="shared" si="27"/>
        <v>-0.62638944764799664</v>
      </c>
      <c r="O149" s="11"/>
      <c r="P149" s="7">
        <v>2005.93</v>
      </c>
      <c r="Q149" s="2"/>
      <c r="R149" s="6">
        <f t="shared" si="28"/>
        <v>5.6996625375158004E-3</v>
      </c>
      <c r="S149" s="2"/>
      <c r="T149" s="7">
        <v>5369.04</v>
      </c>
      <c r="U149" s="2"/>
      <c r="V149" s="6">
        <f t="shared" si="29"/>
        <v>1.4063897186631194E-2</v>
      </c>
      <c r="W149" s="2"/>
      <c r="X149" s="7">
        <f t="shared" si="30"/>
        <v>-3363.1099999999997</v>
      </c>
      <c r="Y149" s="2"/>
      <c r="Z149" s="6">
        <f t="shared" si="31"/>
        <v>-0.62638944764799664</v>
      </c>
    </row>
    <row r="150" spans="1:26" s="24" customFormat="1" hidden="1" outlineLevel="2" x14ac:dyDescent="0.25">
      <c r="A150" s="29"/>
      <c r="B150" s="11" t="str">
        <f>CONCATENATE("          ", "6005", " - ", "TEMPORARY WAGES-HOURLY")</f>
        <v xml:space="preserve">          6005 - TEMPORARY WAGES-HOURLY</v>
      </c>
      <c r="C150" s="11"/>
      <c r="D150" s="7">
        <v>17378.64</v>
      </c>
      <c r="E150" s="2"/>
      <c r="F150" s="6">
        <f t="shared" si="24"/>
        <v>4.9379780630916123E-2</v>
      </c>
      <c r="G150" s="2"/>
      <c r="H150" s="7">
        <v>12552.3</v>
      </c>
      <c r="I150" s="2"/>
      <c r="J150" s="6">
        <f t="shared" si="25"/>
        <v>3.2880041246805894E-2</v>
      </c>
      <c r="K150" s="2"/>
      <c r="L150" s="7">
        <f t="shared" si="26"/>
        <v>4826.34</v>
      </c>
      <c r="M150" s="2"/>
      <c r="N150" s="6">
        <f t="shared" si="27"/>
        <v>0.38449845844984587</v>
      </c>
      <c r="O150" s="11"/>
      <c r="P150" s="7">
        <v>17378.64</v>
      </c>
      <c r="Q150" s="2"/>
      <c r="R150" s="6">
        <f t="shared" si="28"/>
        <v>4.9379780630916123E-2</v>
      </c>
      <c r="S150" s="2"/>
      <c r="T150" s="7">
        <v>12552.3</v>
      </c>
      <c r="U150" s="2"/>
      <c r="V150" s="6">
        <f t="shared" si="29"/>
        <v>3.2880041246805894E-2</v>
      </c>
      <c r="W150" s="2"/>
      <c r="X150" s="7">
        <f t="shared" si="30"/>
        <v>4826.34</v>
      </c>
      <c r="Y150" s="2"/>
      <c r="Z150" s="6">
        <f t="shared" si="31"/>
        <v>0.38449845844984587</v>
      </c>
    </row>
    <row r="151" spans="1:26" s="24" customFormat="1" hidden="1" outlineLevel="2" x14ac:dyDescent="0.25">
      <c r="A151" s="29"/>
      <c r="B151" s="11" t="str">
        <f>CONCATENATE("          ", "6006", " - ", "TEMPORARY PART TIME")</f>
        <v xml:space="preserve">          6006 - TEMPORARY PART TIME</v>
      </c>
      <c r="C151" s="11"/>
      <c r="D151" s="7">
        <v>3191.44</v>
      </c>
      <c r="E151" s="2"/>
      <c r="F151" s="6">
        <f t="shared" si="24"/>
        <v>9.0681783555405359E-3</v>
      </c>
      <c r="G151" s="2"/>
      <c r="H151" s="7">
        <v>10050.450000000001</v>
      </c>
      <c r="I151" s="2"/>
      <c r="J151" s="6">
        <f t="shared" si="25"/>
        <v>2.6326586406392481E-2</v>
      </c>
      <c r="K151" s="2"/>
      <c r="L151" s="7">
        <f t="shared" si="26"/>
        <v>-6859.01</v>
      </c>
      <c r="M151" s="2"/>
      <c r="N151" s="6">
        <f t="shared" si="27"/>
        <v>-0.68245799939306195</v>
      </c>
      <c r="O151" s="11"/>
      <c r="P151" s="7">
        <v>3191.44</v>
      </c>
      <c r="Q151" s="2"/>
      <c r="R151" s="6">
        <f t="shared" si="28"/>
        <v>9.0681783555405359E-3</v>
      </c>
      <c r="S151" s="2"/>
      <c r="T151" s="7">
        <v>10050.450000000001</v>
      </c>
      <c r="U151" s="2"/>
      <c r="V151" s="6">
        <f t="shared" si="29"/>
        <v>2.6326586406392481E-2</v>
      </c>
      <c r="W151" s="2"/>
      <c r="X151" s="7">
        <f t="shared" si="30"/>
        <v>-6859.01</v>
      </c>
      <c r="Y151" s="2"/>
      <c r="Z151" s="6">
        <f t="shared" si="31"/>
        <v>-0.68245799939306195</v>
      </c>
    </row>
    <row r="152" spans="1:26" s="24" customFormat="1" hidden="1" outlineLevel="2" x14ac:dyDescent="0.25">
      <c r="A152" s="29"/>
      <c r="B152" s="11" t="str">
        <f>CONCATENATE("          ", "6007", " - ", "STUDENT HOURLY")</f>
        <v xml:space="preserve">          6007 - STUDENT HOURLY</v>
      </c>
      <c r="C152" s="11"/>
      <c r="D152" s="7">
        <v>70418.87</v>
      </c>
      <c r="E152" s="2"/>
      <c r="F152" s="6">
        <f t="shared" si="24"/>
        <v>0.20008863483431388</v>
      </c>
      <c r="G152" s="2"/>
      <c r="H152" s="7">
        <v>64211.95</v>
      </c>
      <c r="I152" s="2"/>
      <c r="J152" s="6">
        <f t="shared" si="25"/>
        <v>0.16819957812813888</v>
      </c>
      <c r="K152" s="2"/>
      <c r="L152" s="7">
        <f t="shared" si="26"/>
        <v>6206.9199999999983</v>
      </c>
      <c r="M152" s="2"/>
      <c r="N152" s="6">
        <f t="shared" si="27"/>
        <v>9.6663004316174764E-2</v>
      </c>
      <c r="O152" s="11"/>
      <c r="P152" s="7">
        <v>70418.87</v>
      </c>
      <c r="Q152" s="2"/>
      <c r="R152" s="6">
        <f t="shared" si="28"/>
        <v>0.20008863483431388</v>
      </c>
      <c r="S152" s="2"/>
      <c r="T152" s="7">
        <v>64211.95</v>
      </c>
      <c r="U152" s="2"/>
      <c r="V152" s="6">
        <f t="shared" si="29"/>
        <v>0.16819957812813888</v>
      </c>
      <c r="W152" s="2"/>
      <c r="X152" s="7">
        <f t="shared" si="30"/>
        <v>6206.9199999999983</v>
      </c>
      <c r="Y152" s="2"/>
      <c r="Z152" s="6">
        <f t="shared" si="31"/>
        <v>9.6663004316174764E-2</v>
      </c>
    </row>
    <row r="153" spans="1:26" s="24" customFormat="1" hidden="1" outlineLevel="2" x14ac:dyDescent="0.25">
      <c r="A153" s="29"/>
      <c r="B153" s="11" t="str">
        <f>CONCATENATE("          ", "6008", " - ", "STUDENT HOURLY-FICA EXEMPT")</f>
        <v xml:space="preserve">          6008 - STUDENT HOURLY-FICA EXEMPT</v>
      </c>
      <c r="C153" s="11"/>
      <c r="D153" s="7">
        <v>315</v>
      </c>
      <c r="E153" s="2"/>
      <c r="F153" s="6">
        <f t="shared" si="24"/>
        <v>8.9504304702431141E-4</v>
      </c>
      <c r="G153" s="2"/>
      <c r="H153" s="7">
        <v>1465.75</v>
      </c>
      <c r="I153" s="2"/>
      <c r="J153" s="6">
        <f t="shared" si="25"/>
        <v>3.8394493803928956E-3</v>
      </c>
      <c r="K153" s="2"/>
      <c r="L153" s="7">
        <f t="shared" si="26"/>
        <v>-1150.75</v>
      </c>
      <c r="M153" s="2"/>
      <c r="N153" s="6">
        <f t="shared" si="27"/>
        <v>-0.7850929558246631</v>
      </c>
      <c r="O153" s="11"/>
      <c r="P153" s="7">
        <v>315</v>
      </c>
      <c r="Q153" s="2"/>
      <c r="R153" s="6">
        <f t="shared" si="28"/>
        <v>8.9504304702431141E-4</v>
      </c>
      <c r="S153" s="2"/>
      <c r="T153" s="7">
        <v>1465.75</v>
      </c>
      <c r="U153" s="2"/>
      <c r="V153" s="6">
        <f t="shared" si="29"/>
        <v>3.8394493803928956E-3</v>
      </c>
      <c r="W153" s="2"/>
      <c r="X153" s="7">
        <f t="shared" si="30"/>
        <v>-1150.75</v>
      </c>
      <c r="Y153" s="2"/>
      <c r="Z153" s="6">
        <f t="shared" si="31"/>
        <v>-0.7850929558246631</v>
      </c>
    </row>
    <row r="154" spans="1:26" s="28" customFormat="1" outlineLevel="1" collapsed="1" x14ac:dyDescent="0.25">
      <c r="A154" s="27"/>
      <c r="B154" s="14" t="str">
        <f>CONCATENATE("     ","Advertising/Promo                                 ")</f>
        <v xml:space="preserve">     Advertising/Promo                                 </v>
      </c>
      <c r="C154" s="14"/>
      <c r="D154" s="1">
        <f>SUM(OSRRefD22_2x_0)</f>
        <v>532.29999999999995</v>
      </c>
      <c r="E154" s="1"/>
      <c r="F154" s="5">
        <f t="shared" ref="F154:F162" si="32">IF(D$12=0,0,D154/D$12)</f>
        <v>1.5124806791461617E-3</v>
      </c>
      <c r="G154" s="1"/>
      <c r="H154" s="1">
        <f>SUM(OSRRefH22_2x_0)</f>
        <v>5155.18</v>
      </c>
      <c r="I154" s="1"/>
      <c r="J154" s="5">
        <f t="shared" ref="J154:J162" si="33">IF(H$12=0,0,H154/H$12)</f>
        <v>1.3503702989468768E-2</v>
      </c>
      <c r="K154" s="1"/>
      <c r="L154" s="1">
        <f t="shared" ref="L154:L162" si="34">+D154-H154</f>
        <v>-4622.88</v>
      </c>
      <c r="M154" s="1"/>
      <c r="N154" s="5">
        <f t="shared" ref="N154:N162" si="35">IF(H154=0,0,L154/H154)</f>
        <v>-0.89674463355304757</v>
      </c>
      <c r="O154" s="14"/>
      <c r="P154" s="1">
        <f>SUM(OSRRefP22_2x_0)</f>
        <v>532.29999999999995</v>
      </c>
      <c r="Q154" s="1"/>
      <c r="R154" s="5">
        <f t="shared" ref="R154:R162" si="36">IF(P$12=0,0,P154/P$12)</f>
        <v>1.5124806791461617E-3</v>
      </c>
      <c r="S154" s="1"/>
      <c r="T154" s="1">
        <f>SUM(OSRRefT22_2x_0)</f>
        <v>5155.18</v>
      </c>
      <c r="U154" s="1"/>
      <c r="V154" s="5">
        <f t="shared" ref="V154:V162" si="37">IF(T$12=0,0,T154/T$12)</f>
        <v>1.3503702989468768E-2</v>
      </c>
      <c r="W154" s="1"/>
      <c r="X154" s="1">
        <f t="shared" ref="X154:X162" si="38">+P154-T154</f>
        <v>-4622.88</v>
      </c>
      <c r="Y154" s="1"/>
      <c r="Z154" s="5">
        <f t="shared" ref="Z154:Z162" si="39">IF(T154=0,0,X154/T154)</f>
        <v>-0.89674463355304757</v>
      </c>
    </row>
    <row r="155" spans="1:26" s="24" customFormat="1" hidden="1" outlineLevel="2" x14ac:dyDescent="0.25">
      <c r="A155" s="29"/>
      <c r="B155" s="11" t="str">
        <f>CONCATENATE("          ", "6362", " - ", "ADVERTISING EXPENSE")</f>
        <v xml:space="preserve">          6362 - ADVERTISING EXPENSE</v>
      </c>
      <c r="C155" s="11"/>
      <c r="D155" s="7">
        <v>532.29999999999995</v>
      </c>
      <c r="E155" s="2"/>
      <c r="F155" s="6">
        <f t="shared" si="32"/>
        <v>1.5124806791461617E-3</v>
      </c>
      <c r="G155" s="2"/>
      <c r="H155" s="7">
        <v>5155.18</v>
      </c>
      <c r="I155" s="2"/>
      <c r="J155" s="6">
        <f t="shared" si="33"/>
        <v>1.3503702989468768E-2</v>
      </c>
      <c r="K155" s="2"/>
      <c r="L155" s="7">
        <f t="shared" si="34"/>
        <v>-4622.88</v>
      </c>
      <c r="M155" s="2"/>
      <c r="N155" s="6">
        <f t="shared" si="35"/>
        <v>-0.89674463355304757</v>
      </c>
      <c r="O155" s="11"/>
      <c r="P155" s="7">
        <v>532.29999999999995</v>
      </c>
      <c r="Q155" s="2"/>
      <c r="R155" s="6">
        <f t="shared" si="36"/>
        <v>1.5124806791461617E-3</v>
      </c>
      <c r="S155" s="2"/>
      <c r="T155" s="7">
        <v>5155.18</v>
      </c>
      <c r="U155" s="2"/>
      <c r="V155" s="6">
        <f t="shared" si="37"/>
        <v>1.3503702989468768E-2</v>
      </c>
      <c r="W155" s="2"/>
      <c r="X155" s="7">
        <f t="shared" si="38"/>
        <v>-4622.88</v>
      </c>
      <c r="Y155" s="2"/>
      <c r="Z155" s="6">
        <f t="shared" si="39"/>
        <v>-0.89674463355304757</v>
      </c>
    </row>
    <row r="156" spans="1:26" s="28" customFormat="1" outlineLevel="1" collapsed="1" x14ac:dyDescent="0.25">
      <c r="A156" s="27"/>
      <c r="B156" s="14" t="str">
        <f>CONCATENATE("     ","Bad Debts/Over/Short                              ")</f>
        <v xml:space="preserve">     Bad Debts/Over/Short                              </v>
      </c>
      <c r="C156" s="14"/>
      <c r="D156" s="1">
        <f>SUM(OSRRefD22_3x_0)</f>
        <v>-18.7</v>
      </c>
      <c r="E156" s="1"/>
      <c r="F156" s="5">
        <f t="shared" si="32"/>
        <v>-5.3134301521760708E-5</v>
      </c>
      <c r="G156" s="1"/>
      <c r="H156" s="1">
        <f>SUM(OSRRefH22_3x_0)</f>
        <v>-22.92</v>
      </c>
      <c r="I156" s="1"/>
      <c r="J156" s="5">
        <f t="shared" si="33"/>
        <v>-6.0037646118782312E-5</v>
      </c>
      <c r="K156" s="1"/>
      <c r="L156" s="1">
        <f t="shared" si="34"/>
        <v>4.2200000000000024</v>
      </c>
      <c r="M156" s="1"/>
      <c r="N156" s="5">
        <f t="shared" si="35"/>
        <v>-0.18411867364746956</v>
      </c>
      <c r="O156" s="14"/>
      <c r="P156" s="1">
        <f>SUM(OSRRefP22_3x_0)</f>
        <v>-18.7</v>
      </c>
      <c r="Q156" s="1"/>
      <c r="R156" s="5">
        <f t="shared" si="36"/>
        <v>-5.3134301521760708E-5</v>
      </c>
      <c r="S156" s="1"/>
      <c r="T156" s="1">
        <f>SUM(OSRRefT22_3x_0)</f>
        <v>-22.92</v>
      </c>
      <c r="U156" s="1"/>
      <c r="V156" s="5">
        <f t="shared" si="37"/>
        <v>-6.0037646118782312E-5</v>
      </c>
      <c r="W156" s="1"/>
      <c r="X156" s="1">
        <f t="shared" si="38"/>
        <v>4.2200000000000024</v>
      </c>
      <c r="Y156" s="1"/>
      <c r="Z156" s="5">
        <f t="shared" si="39"/>
        <v>-0.18411867364746956</v>
      </c>
    </row>
    <row r="157" spans="1:26" s="24" customFormat="1" hidden="1" outlineLevel="2" x14ac:dyDescent="0.25">
      <c r="A157" s="29"/>
      <c r="B157" s="11" t="str">
        <f>CONCATENATE("          ", "6272", " - ", "CASH (OVER/SHORT)")</f>
        <v xml:space="preserve">          6272 - CASH (OVER/SHORT)</v>
      </c>
      <c r="C157" s="11"/>
      <c r="D157" s="7">
        <v>-18.7</v>
      </c>
      <c r="E157" s="2"/>
      <c r="F157" s="6">
        <f t="shared" si="32"/>
        <v>-5.3134301521760708E-5</v>
      </c>
      <c r="G157" s="2"/>
      <c r="H157" s="7">
        <v>-22.92</v>
      </c>
      <c r="I157" s="2"/>
      <c r="J157" s="6">
        <f t="shared" si="33"/>
        <v>-6.0037646118782312E-5</v>
      </c>
      <c r="K157" s="2"/>
      <c r="L157" s="7">
        <f t="shared" si="34"/>
        <v>4.2200000000000024</v>
      </c>
      <c r="M157" s="2"/>
      <c r="N157" s="6">
        <f t="shared" si="35"/>
        <v>-0.18411867364746956</v>
      </c>
      <c r="O157" s="11"/>
      <c r="P157" s="7">
        <v>-18.7</v>
      </c>
      <c r="Q157" s="2"/>
      <c r="R157" s="6">
        <f t="shared" si="36"/>
        <v>-5.3134301521760708E-5</v>
      </c>
      <c r="S157" s="2"/>
      <c r="T157" s="7">
        <v>-22.92</v>
      </c>
      <c r="U157" s="2"/>
      <c r="V157" s="6">
        <f t="shared" si="37"/>
        <v>-6.0037646118782312E-5</v>
      </c>
      <c r="W157" s="2"/>
      <c r="X157" s="7">
        <f t="shared" si="38"/>
        <v>4.2200000000000024</v>
      </c>
      <c r="Y157" s="2"/>
      <c r="Z157" s="6">
        <f t="shared" si="39"/>
        <v>-0.18411867364746956</v>
      </c>
    </row>
    <row r="158" spans="1:26" s="28" customFormat="1" outlineLevel="1" collapsed="1" x14ac:dyDescent="0.25">
      <c r="A158" s="27"/>
      <c r="B158" s="14" t="str">
        <f>CONCATENATE("     ","Bank/card Fees                                    ")</f>
        <v xml:space="preserve">     Bank/card Fees                                    </v>
      </c>
      <c r="C158" s="14"/>
      <c r="D158" s="1">
        <f>SUM(OSRRefD22_4x_0)</f>
        <v>5785.89</v>
      </c>
      <c r="E158" s="1"/>
      <c r="F158" s="5">
        <f t="shared" si="32"/>
        <v>1.6440065445547599E-2</v>
      </c>
      <c r="G158" s="1"/>
      <c r="H158" s="1">
        <f>SUM(OSRRefH22_4x_0)</f>
        <v>6273.43</v>
      </c>
      <c r="I158" s="1"/>
      <c r="J158" s="5">
        <f t="shared" si="33"/>
        <v>1.6432895736952551E-2</v>
      </c>
      <c r="K158" s="1"/>
      <c r="L158" s="1">
        <f t="shared" si="34"/>
        <v>-487.53999999999996</v>
      </c>
      <c r="M158" s="1"/>
      <c r="N158" s="5">
        <f t="shared" si="35"/>
        <v>-7.7715061776412575E-2</v>
      </c>
      <c r="O158" s="14"/>
      <c r="P158" s="1">
        <f>SUM(OSRRefP22_4x_0)</f>
        <v>5785.89</v>
      </c>
      <c r="Q158" s="1"/>
      <c r="R158" s="5">
        <f t="shared" si="36"/>
        <v>1.6440065445547599E-2</v>
      </c>
      <c r="S158" s="1"/>
      <c r="T158" s="1">
        <f>SUM(OSRRefT22_4x_0)</f>
        <v>6273.43</v>
      </c>
      <c r="U158" s="1"/>
      <c r="V158" s="5">
        <f t="shared" si="37"/>
        <v>1.6432895736952551E-2</v>
      </c>
      <c r="W158" s="1"/>
      <c r="X158" s="1">
        <f t="shared" si="38"/>
        <v>-487.53999999999996</v>
      </c>
      <c r="Y158" s="1"/>
      <c r="Z158" s="5">
        <f t="shared" si="39"/>
        <v>-7.7715061776412575E-2</v>
      </c>
    </row>
    <row r="159" spans="1:26" s="24" customFormat="1" hidden="1" outlineLevel="2" x14ac:dyDescent="0.25">
      <c r="A159" s="29"/>
      <c r="B159" s="11" t="str">
        <f>CONCATENATE("          ", "6381", " - ", "BANK/CREDIT CARD FEES")</f>
        <v xml:space="preserve">          6381 - BANK/CREDIT CARD FEES</v>
      </c>
      <c r="C159" s="11"/>
      <c r="D159" s="7">
        <v>5785.89</v>
      </c>
      <c r="E159" s="2"/>
      <c r="F159" s="6">
        <f t="shared" si="32"/>
        <v>1.6440065445547599E-2</v>
      </c>
      <c r="G159" s="2"/>
      <c r="H159" s="7">
        <v>6273.43</v>
      </c>
      <c r="I159" s="2"/>
      <c r="J159" s="6">
        <f t="shared" si="33"/>
        <v>1.6432895736952551E-2</v>
      </c>
      <c r="K159" s="2"/>
      <c r="L159" s="7">
        <f t="shared" si="34"/>
        <v>-487.53999999999996</v>
      </c>
      <c r="M159" s="2"/>
      <c r="N159" s="6">
        <f t="shared" si="35"/>
        <v>-7.7715061776412575E-2</v>
      </c>
      <c r="O159" s="11"/>
      <c r="P159" s="7">
        <v>5785.89</v>
      </c>
      <c r="Q159" s="2"/>
      <c r="R159" s="6">
        <f t="shared" si="36"/>
        <v>1.6440065445547599E-2</v>
      </c>
      <c r="S159" s="2"/>
      <c r="T159" s="7">
        <v>6273.43</v>
      </c>
      <c r="U159" s="2"/>
      <c r="V159" s="6">
        <f t="shared" si="37"/>
        <v>1.6432895736952551E-2</v>
      </c>
      <c r="W159" s="2"/>
      <c r="X159" s="7">
        <f t="shared" si="38"/>
        <v>-487.53999999999996</v>
      </c>
      <c r="Y159" s="2"/>
      <c r="Z159" s="6">
        <f t="shared" si="39"/>
        <v>-7.7715061776412575E-2</v>
      </c>
    </row>
    <row r="160" spans="1:26" s="28" customFormat="1" outlineLevel="1" collapsed="1" x14ac:dyDescent="0.25">
      <c r="A160" s="27"/>
      <c r="B160" s="14" t="str">
        <f>CONCATENATE("     ","Depreciation                                      ")</f>
        <v xml:space="preserve">     Depreciation                                      </v>
      </c>
      <c r="C160" s="14"/>
      <c r="D160" s="1">
        <f>SUM(OSRRefD22_5x_0)</f>
        <v>29607.43</v>
      </c>
      <c r="E160" s="1"/>
      <c r="F160" s="5">
        <f t="shared" si="32"/>
        <v>8.4126744005584161E-2</v>
      </c>
      <c r="G160" s="1"/>
      <c r="H160" s="1">
        <f>SUM(OSRRefH22_5x_0)</f>
        <v>29330.07</v>
      </c>
      <c r="I160" s="1"/>
      <c r="J160" s="5">
        <f t="shared" si="33"/>
        <v>7.6828462622125365E-2</v>
      </c>
      <c r="K160" s="1"/>
      <c r="L160" s="1">
        <f t="shared" si="34"/>
        <v>277.36000000000058</v>
      </c>
      <c r="M160" s="1"/>
      <c r="N160" s="5">
        <f t="shared" si="35"/>
        <v>9.4565065818117914E-3</v>
      </c>
      <c r="O160" s="14"/>
      <c r="P160" s="1">
        <f>SUM(OSRRefP22_5x_0)</f>
        <v>29607.43</v>
      </c>
      <c r="Q160" s="1"/>
      <c r="R160" s="5">
        <f t="shared" si="36"/>
        <v>8.4126744005584161E-2</v>
      </c>
      <c r="S160" s="1"/>
      <c r="T160" s="1">
        <f>SUM(OSRRefT22_5x_0)</f>
        <v>29330.07</v>
      </c>
      <c r="U160" s="1"/>
      <c r="V160" s="5">
        <f t="shared" si="37"/>
        <v>7.6828462622125365E-2</v>
      </c>
      <c r="W160" s="1"/>
      <c r="X160" s="1">
        <f t="shared" si="38"/>
        <v>277.36000000000058</v>
      </c>
      <c r="Y160" s="1"/>
      <c r="Z160" s="5">
        <f t="shared" si="39"/>
        <v>9.4565065818117914E-3</v>
      </c>
    </row>
    <row r="161" spans="1:26" s="24" customFormat="1" hidden="1" outlineLevel="2" x14ac:dyDescent="0.25">
      <c r="A161" s="29"/>
      <c r="B161" s="11" t="str">
        <f>CONCATENATE("          ", "6321", " - ", "BUILDING DEPRECIATION")</f>
        <v xml:space="preserve">          6321 - BUILDING DEPRECIATION</v>
      </c>
      <c r="C161" s="11"/>
      <c r="D161" s="7">
        <v>16396.52</v>
      </c>
      <c r="E161" s="2"/>
      <c r="F161" s="6">
        <f t="shared" si="32"/>
        <v>4.6589178480619248E-2</v>
      </c>
      <c r="G161" s="2"/>
      <c r="H161" s="7">
        <v>16453.38</v>
      </c>
      <c r="I161" s="2"/>
      <c r="J161" s="6">
        <f t="shared" si="33"/>
        <v>4.3098700082803247E-2</v>
      </c>
      <c r="K161" s="2"/>
      <c r="L161" s="7">
        <f t="shared" si="34"/>
        <v>-56.860000000000582</v>
      </c>
      <c r="M161" s="2"/>
      <c r="N161" s="6">
        <f t="shared" si="35"/>
        <v>-3.4558248821822978E-3</v>
      </c>
      <c r="O161" s="11"/>
      <c r="P161" s="7">
        <v>16396.52</v>
      </c>
      <c r="Q161" s="2"/>
      <c r="R161" s="6">
        <f t="shared" si="36"/>
        <v>4.6589178480619248E-2</v>
      </c>
      <c r="S161" s="2"/>
      <c r="T161" s="7">
        <v>16453.38</v>
      </c>
      <c r="U161" s="2"/>
      <c r="V161" s="6">
        <f t="shared" si="37"/>
        <v>4.3098700082803247E-2</v>
      </c>
      <c r="W161" s="2"/>
      <c r="X161" s="7">
        <f t="shared" si="38"/>
        <v>-56.860000000000582</v>
      </c>
      <c r="Y161" s="2"/>
      <c r="Z161" s="6">
        <f t="shared" si="39"/>
        <v>-3.4558248821822978E-3</v>
      </c>
    </row>
    <row r="162" spans="1:26" s="24" customFormat="1" hidden="1" outlineLevel="2" x14ac:dyDescent="0.25">
      <c r="A162" s="29"/>
      <c r="B162" s="11" t="str">
        <f>CONCATENATE("          ", "6322", " - ", "EQUIPMENT DEPRECIATION EXPENSE")</f>
        <v xml:space="preserve">          6322 - EQUIPMENT DEPRECIATION EXPENSE</v>
      </c>
      <c r="C162" s="11"/>
      <c r="D162" s="7">
        <v>13210.91</v>
      </c>
      <c r="E162" s="2"/>
      <c r="F162" s="6">
        <f t="shared" si="32"/>
        <v>3.7537565524964907E-2</v>
      </c>
      <c r="G162" s="2"/>
      <c r="H162" s="7">
        <v>12876.69</v>
      </c>
      <c r="I162" s="2"/>
      <c r="J162" s="6">
        <f t="shared" si="33"/>
        <v>3.3729762539322118E-2</v>
      </c>
      <c r="K162" s="2"/>
      <c r="L162" s="7">
        <f t="shared" si="34"/>
        <v>334.21999999999935</v>
      </c>
      <c r="M162" s="2"/>
      <c r="N162" s="6">
        <f t="shared" si="35"/>
        <v>2.5955427986539967E-2</v>
      </c>
      <c r="O162" s="11"/>
      <c r="P162" s="7">
        <v>13210.91</v>
      </c>
      <c r="Q162" s="2"/>
      <c r="R162" s="6">
        <f t="shared" si="36"/>
        <v>3.7537565524964907E-2</v>
      </c>
      <c r="S162" s="2"/>
      <c r="T162" s="7">
        <v>12876.69</v>
      </c>
      <c r="U162" s="2"/>
      <c r="V162" s="6">
        <f t="shared" si="37"/>
        <v>3.3729762539322118E-2</v>
      </c>
      <c r="W162" s="2"/>
      <c r="X162" s="7">
        <f t="shared" si="38"/>
        <v>334.21999999999935</v>
      </c>
      <c r="Y162" s="2"/>
      <c r="Z162" s="6">
        <f t="shared" si="39"/>
        <v>2.5955427986539967E-2</v>
      </c>
    </row>
    <row r="163" spans="1:26" s="28" customFormat="1" outlineLevel="1" collapsed="1" x14ac:dyDescent="0.25">
      <c r="A163" s="27"/>
      <c r="B163" s="14" t="str">
        <f>CONCATENATE("     ","Discounts and Markdowns                           ")</f>
        <v xml:space="preserve">     Discounts and Markdowns                           </v>
      </c>
      <c r="C163" s="14"/>
      <c r="D163" s="1">
        <f>SUM(OSRRefD22_6x_0)</f>
        <v>24489.05</v>
      </c>
      <c r="E163" s="1"/>
      <c r="F163" s="5">
        <f t="shared" ref="F163:F165" si="40">IF(D$12=0,0,D163/D$12)</f>
        <v>6.9583345811843542E-2</v>
      </c>
      <c r="G163" s="1"/>
      <c r="H163" s="1">
        <f>SUM(OSRRefH22_6x_0)</f>
        <v>19351.43</v>
      </c>
      <c r="I163" s="1"/>
      <c r="J163" s="5">
        <f t="shared" ref="J163:J165" si="41">IF(H$12=0,0,H163/H$12)</f>
        <v>5.0689978456910451E-2</v>
      </c>
      <c r="K163" s="1"/>
      <c r="L163" s="1">
        <f t="shared" ref="L163:L165" si="42">+D163-H163</f>
        <v>5137.619999999999</v>
      </c>
      <c r="M163" s="1"/>
      <c r="N163" s="5">
        <f t="shared" ref="N163:N165" si="43">IF(H163=0,0,L163/H163)</f>
        <v>0.26549045729437043</v>
      </c>
      <c r="O163" s="14"/>
      <c r="P163" s="1">
        <f>SUM(OSRRefP22_6x_0)</f>
        <v>24489.05</v>
      </c>
      <c r="Q163" s="1"/>
      <c r="R163" s="5">
        <f t="shared" ref="R163:R165" si="44">IF(P$12=0,0,P163/P$12)</f>
        <v>6.9583345811843542E-2</v>
      </c>
      <c r="S163" s="1"/>
      <c r="T163" s="1">
        <f>SUM(OSRRefT22_6x_0)</f>
        <v>19351.43</v>
      </c>
      <c r="U163" s="1"/>
      <c r="V163" s="5">
        <f t="shared" ref="V163:V165" si="45">IF(T$12=0,0,T163/T$12)</f>
        <v>5.0689978456910451E-2</v>
      </c>
      <c r="W163" s="1"/>
      <c r="X163" s="1">
        <f t="shared" ref="X163:X165" si="46">+P163-T163</f>
        <v>5137.619999999999</v>
      </c>
      <c r="Y163" s="1"/>
      <c r="Z163" s="5">
        <f t="shared" ref="Z163:Z165" si="47">IF(T163=0,0,X163/T163)</f>
        <v>0.26549045729437043</v>
      </c>
    </row>
    <row r="164" spans="1:26" s="24" customFormat="1" hidden="1" outlineLevel="2" x14ac:dyDescent="0.25">
      <c r="A164" s="29"/>
      <c r="B164" s="11" t="str">
        <f>CONCATENATE("          ", "6382", " - ", "DISCOUNTS/MARK DOWNS")</f>
        <v xml:space="preserve">          6382 - DISCOUNTS/MARK DOWNS</v>
      </c>
      <c r="C164" s="11"/>
      <c r="D164" s="7">
        <v>24932.76</v>
      </c>
      <c r="E164" s="2"/>
      <c r="F164" s="6">
        <f t="shared" si="40"/>
        <v>7.0844106289288472E-2</v>
      </c>
      <c r="G164" s="2"/>
      <c r="H164" s="7">
        <v>20261.59</v>
      </c>
      <c r="I164" s="2"/>
      <c r="J164" s="6">
        <f t="shared" si="41"/>
        <v>5.3074091196503421E-2</v>
      </c>
      <c r="K164" s="2"/>
      <c r="L164" s="7">
        <f t="shared" si="42"/>
        <v>4671.1699999999983</v>
      </c>
      <c r="M164" s="2"/>
      <c r="N164" s="6">
        <f t="shared" si="43"/>
        <v>0.23054311137477357</v>
      </c>
      <c r="O164" s="11"/>
      <c r="P164" s="7">
        <v>24932.76</v>
      </c>
      <c r="Q164" s="2"/>
      <c r="R164" s="6">
        <f t="shared" si="44"/>
        <v>7.0844106289288472E-2</v>
      </c>
      <c r="S164" s="2"/>
      <c r="T164" s="7">
        <v>20261.59</v>
      </c>
      <c r="U164" s="2"/>
      <c r="V164" s="6">
        <f t="shared" si="45"/>
        <v>5.3074091196503421E-2</v>
      </c>
      <c r="W164" s="2"/>
      <c r="X164" s="7">
        <f t="shared" si="46"/>
        <v>4671.1699999999983</v>
      </c>
      <c r="Y164" s="2"/>
      <c r="Z164" s="6">
        <f t="shared" si="47"/>
        <v>0.23054311137477357</v>
      </c>
    </row>
    <row r="165" spans="1:26" s="24" customFormat="1" hidden="1" outlineLevel="2" x14ac:dyDescent="0.25">
      <c r="A165" s="29"/>
      <c r="B165" s="11" t="str">
        <f>CONCATENATE("          ", "9175", " - ", "EARNED DISCOUNTS")</f>
        <v xml:space="preserve">          9175 - EARNED DISCOUNTS</v>
      </c>
      <c r="C165" s="11"/>
      <c r="D165" s="7">
        <v>-443.71</v>
      </c>
      <c r="E165" s="2"/>
      <c r="F165" s="6">
        <f t="shared" si="40"/>
        <v>-1.2607604774449435E-3</v>
      </c>
      <c r="G165" s="2"/>
      <c r="H165" s="7">
        <v>-910.16</v>
      </c>
      <c r="I165" s="2"/>
      <c r="J165" s="6">
        <f t="shared" si="41"/>
        <v>-2.3841127395929714E-3</v>
      </c>
      <c r="K165" s="2"/>
      <c r="L165" s="7">
        <f t="shared" si="42"/>
        <v>466.45</v>
      </c>
      <c r="M165" s="2"/>
      <c r="N165" s="6">
        <f t="shared" si="43"/>
        <v>-0.51249230904456355</v>
      </c>
      <c r="O165" s="11"/>
      <c r="P165" s="7">
        <v>-443.71</v>
      </c>
      <c r="Q165" s="2"/>
      <c r="R165" s="6">
        <f t="shared" si="44"/>
        <v>-1.2607604774449435E-3</v>
      </c>
      <c r="S165" s="2"/>
      <c r="T165" s="7">
        <v>-910.16</v>
      </c>
      <c r="U165" s="2"/>
      <c r="V165" s="6">
        <f t="shared" si="45"/>
        <v>-2.3841127395929714E-3</v>
      </c>
      <c r="W165" s="2"/>
      <c r="X165" s="7">
        <f t="shared" si="46"/>
        <v>466.45</v>
      </c>
      <c r="Y165" s="2"/>
      <c r="Z165" s="6">
        <f t="shared" si="47"/>
        <v>-0.51249230904456355</v>
      </c>
    </row>
    <row r="166" spans="1:26" s="28" customFormat="1" outlineLevel="1" collapsed="1" x14ac:dyDescent="0.25">
      <c r="A166" s="27"/>
      <c r="B166" s="14" t="str">
        <f>CONCATENATE("     ","Donations                                         ")</f>
        <v xml:space="preserve">     Donations                                         </v>
      </c>
      <c r="C166" s="14"/>
      <c r="D166" s="1">
        <f>SUM(OSRRefD22_7x_0)</f>
        <v>925.42</v>
      </c>
      <c r="E166" s="1"/>
      <c r="F166" s="5">
        <f t="shared" ref="F166:F174" si="48">IF(D$12=0,0,D166/D$12)</f>
        <v>2.6294944018325026E-3</v>
      </c>
      <c r="G166" s="1"/>
      <c r="H166" s="1">
        <f>SUM(OSRRefH22_7x_0)</f>
        <v>1436.21</v>
      </c>
      <c r="I166" s="1"/>
      <c r="J166" s="5">
        <f t="shared" ref="J166:J174" si="49">IF(H$12=0,0,H166/H$12)</f>
        <v>3.7620710179867511E-3</v>
      </c>
      <c r="K166" s="1"/>
      <c r="L166" s="1">
        <f t="shared" ref="L166:L174" si="50">+D166-H166</f>
        <v>-510.79000000000008</v>
      </c>
      <c r="M166" s="1"/>
      <c r="N166" s="5">
        <f t="shared" ref="N166:N174" si="51">IF(H166=0,0,L166/H166)</f>
        <v>-0.35565133232605262</v>
      </c>
      <c r="O166" s="14"/>
      <c r="P166" s="1">
        <f>SUM(OSRRefP22_7x_0)</f>
        <v>925.42</v>
      </c>
      <c r="Q166" s="1"/>
      <c r="R166" s="5">
        <f t="shared" ref="R166:R174" si="52">IF(P$12=0,0,P166/P$12)</f>
        <v>2.6294944018325026E-3</v>
      </c>
      <c r="S166" s="1"/>
      <c r="T166" s="1">
        <f>SUM(OSRRefT22_7x_0)</f>
        <v>1436.21</v>
      </c>
      <c r="U166" s="1"/>
      <c r="V166" s="5">
        <f t="shared" ref="V166:V174" si="53">IF(T$12=0,0,T166/T$12)</f>
        <v>3.7620710179867511E-3</v>
      </c>
      <c r="W166" s="1"/>
      <c r="X166" s="1">
        <f t="shared" ref="X166:X174" si="54">+P166-T166</f>
        <v>-510.79000000000008</v>
      </c>
      <c r="Y166" s="1"/>
      <c r="Z166" s="5">
        <f t="shared" ref="Z166:Z174" si="55">IF(T166=0,0,X166/T166)</f>
        <v>-0.35565133232605262</v>
      </c>
    </row>
    <row r="167" spans="1:26" s="24" customFormat="1" hidden="1" outlineLevel="2" x14ac:dyDescent="0.25">
      <c r="A167" s="29"/>
      <c r="B167" s="11" t="str">
        <f>CONCATENATE("          ", "6399", " - ", "DONATION-ON CAMPUS")</f>
        <v xml:space="preserve">          6399 - DONATION-ON CAMPUS</v>
      </c>
      <c r="C167" s="11"/>
      <c r="D167" s="7">
        <v>925.42</v>
      </c>
      <c r="E167" s="2"/>
      <c r="F167" s="6">
        <f t="shared" si="48"/>
        <v>2.6294944018325026E-3</v>
      </c>
      <c r="G167" s="2"/>
      <c r="H167" s="7">
        <v>1436.21</v>
      </c>
      <c r="I167" s="2"/>
      <c r="J167" s="6">
        <f t="shared" si="49"/>
        <v>3.7620710179867511E-3</v>
      </c>
      <c r="K167" s="2"/>
      <c r="L167" s="7">
        <f t="shared" si="50"/>
        <v>-510.79000000000008</v>
      </c>
      <c r="M167" s="2"/>
      <c r="N167" s="6">
        <f t="shared" si="51"/>
        <v>-0.35565133232605262</v>
      </c>
      <c r="O167" s="11"/>
      <c r="P167" s="7">
        <v>925.42</v>
      </c>
      <c r="Q167" s="2"/>
      <c r="R167" s="6">
        <f t="shared" si="52"/>
        <v>2.6294944018325026E-3</v>
      </c>
      <c r="S167" s="2"/>
      <c r="T167" s="7">
        <v>1436.21</v>
      </c>
      <c r="U167" s="2"/>
      <c r="V167" s="6">
        <f t="shared" si="53"/>
        <v>3.7620710179867511E-3</v>
      </c>
      <c r="W167" s="2"/>
      <c r="X167" s="7">
        <f t="shared" si="54"/>
        <v>-510.79000000000008</v>
      </c>
      <c r="Y167" s="2"/>
      <c r="Z167" s="6">
        <f t="shared" si="55"/>
        <v>-0.35565133232605262</v>
      </c>
    </row>
    <row r="168" spans="1:26" s="28" customFormat="1" outlineLevel="1" collapsed="1" x14ac:dyDescent="0.25">
      <c r="A168" s="27"/>
      <c r="B168" s="14" t="str">
        <f>CONCATENATE("     ","Employees' Appreciation                           ")</f>
        <v xml:space="preserve">     Employees' Appreciation                           </v>
      </c>
      <c r="C168" s="14"/>
      <c r="D168" s="1">
        <f>SUM(OSRRefD22_8x_0)</f>
        <v>393.54</v>
      </c>
      <c r="E168" s="1"/>
      <c r="F168" s="5">
        <f t="shared" si="48"/>
        <v>1.1182071134157065E-3</v>
      </c>
      <c r="G168" s="1"/>
      <c r="H168" s="1">
        <f>SUM(OSRRefH22_8x_0)</f>
        <v>230.91</v>
      </c>
      <c r="I168" s="1"/>
      <c r="J168" s="5">
        <f t="shared" si="49"/>
        <v>6.0485570965480026E-4</v>
      </c>
      <c r="K168" s="1"/>
      <c r="L168" s="1">
        <f t="shared" si="50"/>
        <v>162.63000000000002</v>
      </c>
      <c r="M168" s="1"/>
      <c r="N168" s="5">
        <f t="shared" si="51"/>
        <v>0.70430037677017032</v>
      </c>
      <c r="O168" s="14"/>
      <c r="P168" s="1">
        <f>SUM(OSRRefP22_8x_0)</f>
        <v>393.54</v>
      </c>
      <c r="Q168" s="1"/>
      <c r="R168" s="5">
        <f t="shared" si="52"/>
        <v>1.1182071134157065E-3</v>
      </c>
      <c r="S168" s="1"/>
      <c r="T168" s="1">
        <f>SUM(OSRRefT22_8x_0)</f>
        <v>230.91</v>
      </c>
      <c r="U168" s="1"/>
      <c r="V168" s="5">
        <f t="shared" si="53"/>
        <v>6.0485570965480026E-4</v>
      </c>
      <c r="W168" s="1"/>
      <c r="X168" s="1">
        <f t="shared" si="54"/>
        <v>162.63000000000002</v>
      </c>
      <c r="Y168" s="1"/>
      <c r="Z168" s="5">
        <f t="shared" si="55"/>
        <v>0.70430037677017032</v>
      </c>
    </row>
    <row r="169" spans="1:26" s="24" customFormat="1" hidden="1" outlineLevel="2" x14ac:dyDescent="0.25">
      <c r="A169" s="29"/>
      <c r="B169" s="11" t="str">
        <f>CONCATENATE("          ", "6277", " - ", "EMPLOYEE APPRECIATION")</f>
        <v xml:space="preserve">          6277 - EMPLOYEE APPRECIATION</v>
      </c>
      <c r="C169" s="11"/>
      <c r="D169" s="7">
        <v>393.54</v>
      </c>
      <c r="E169" s="2"/>
      <c r="F169" s="6">
        <f t="shared" si="48"/>
        <v>1.1182071134157065E-3</v>
      </c>
      <c r="G169" s="2"/>
      <c r="H169" s="7">
        <v>230.91</v>
      </c>
      <c r="I169" s="2"/>
      <c r="J169" s="6">
        <f t="shared" si="49"/>
        <v>6.0485570965480026E-4</v>
      </c>
      <c r="K169" s="2"/>
      <c r="L169" s="7">
        <f t="shared" si="50"/>
        <v>162.63000000000002</v>
      </c>
      <c r="M169" s="2"/>
      <c r="N169" s="6">
        <f t="shared" si="51"/>
        <v>0.70430037677017032</v>
      </c>
      <c r="O169" s="11"/>
      <c r="P169" s="7">
        <v>393.54</v>
      </c>
      <c r="Q169" s="2"/>
      <c r="R169" s="6">
        <f t="shared" si="52"/>
        <v>1.1182071134157065E-3</v>
      </c>
      <c r="S169" s="2"/>
      <c r="T169" s="7">
        <v>230.91</v>
      </c>
      <c r="U169" s="2"/>
      <c r="V169" s="6">
        <f t="shared" si="53"/>
        <v>6.0485570965480026E-4</v>
      </c>
      <c r="W169" s="2"/>
      <c r="X169" s="7">
        <f t="shared" si="54"/>
        <v>162.63000000000002</v>
      </c>
      <c r="Y169" s="2"/>
      <c r="Z169" s="6">
        <f t="shared" si="55"/>
        <v>0.70430037677017032</v>
      </c>
    </row>
    <row r="170" spans="1:26" s="28" customFormat="1" outlineLevel="1" collapsed="1" x14ac:dyDescent="0.25">
      <c r="A170" s="27"/>
      <c r="B170" s="14" t="str">
        <f>CONCATENATE("     ","Equipment Rental                                  ")</f>
        <v xml:space="preserve">     Equipment Rental                                  </v>
      </c>
      <c r="C170" s="14"/>
      <c r="D170" s="1">
        <f>SUM(OSRRefD22_9x_0)</f>
        <v>1296.9000000000001</v>
      </c>
      <c r="E170" s="1"/>
      <c r="F170" s="5">
        <f t="shared" si="48"/>
        <v>3.6850200878915224E-3</v>
      </c>
      <c r="G170" s="1"/>
      <c r="H170" s="1">
        <f>SUM(OSRRefH22_9x_0)</f>
        <v>3401.69</v>
      </c>
      <c r="I170" s="1"/>
      <c r="J170" s="5">
        <f t="shared" si="49"/>
        <v>8.9105349225916484E-3</v>
      </c>
      <c r="K170" s="1"/>
      <c r="L170" s="1">
        <f t="shared" si="50"/>
        <v>-2104.79</v>
      </c>
      <c r="M170" s="1"/>
      <c r="N170" s="5">
        <f t="shared" si="51"/>
        <v>-0.61874832803694635</v>
      </c>
      <c r="O170" s="14"/>
      <c r="P170" s="1">
        <f>SUM(OSRRefP22_9x_0)</f>
        <v>1296.9000000000001</v>
      </c>
      <c r="Q170" s="1"/>
      <c r="R170" s="5">
        <f t="shared" si="52"/>
        <v>3.6850200878915224E-3</v>
      </c>
      <c r="S170" s="1"/>
      <c r="T170" s="1">
        <f>SUM(OSRRefT22_9x_0)</f>
        <v>3401.69</v>
      </c>
      <c r="U170" s="1"/>
      <c r="V170" s="5">
        <f t="shared" si="53"/>
        <v>8.9105349225916484E-3</v>
      </c>
      <c r="W170" s="1"/>
      <c r="X170" s="1">
        <f t="shared" si="54"/>
        <v>-2104.79</v>
      </c>
      <c r="Y170" s="1"/>
      <c r="Z170" s="5">
        <f t="shared" si="55"/>
        <v>-0.61874832803694635</v>
      </c>
    </row>
    <row r="171" spans="1:26" s="24" customFormat="1" hidden="1" outlineLevel="2" x14ac:dyDescent="0.25">
      <c r="A171" s="29"/>
      <c r="B171" s="11" t="str">
        <f>CONCATENATE("          ", "6351", " - ", "EQUIPMENT RENTAL")</f>
        <v xml:space="preserve">          6351 - EQUIPMENT RENTAL</v>
      </c>
      <c r="C171" s="11"/>
      <c r="D171" s="7">
        <v>1296.9000000000001</v>
      </c>
      <c r="E171" s="2"/>
      <c r="F171" s="6">
        <f t="shared" si="48"/>
        <v>3.6850200878915224E-3</v>
      </c>
      <c r="G171" s="2"/>
      <c r="H171" s="7">
        <v>3401.69</v>
      </c>
      <c r="I171" s="2"/>
      <c r="J171" s="6">
        <f t="shared" si="49"/>
        <v>8.9105349225916484E-3</v>
      </c>
      <c r="K171" s="2"/>
      <c r="L171" s="7">
        <f t="shared" si="50"/>
        <v>-2104.79</v>
      </c>
      <c r="M171" s="2"/>
      <c r="N171" s="6">
        <f t="shared" si="51"/>
        <v>-0.61874832803694635</v>
      </c>
      <c r="O171" s="11"/>
      <c r="P171" s="7">
        <v>1296.9000000000001</v>
      </c>
      <c r="Q171" s="2"/>
      <c r="R171" s="6">
        <f t="shared" si="52"/>
        <v>3.6850200878915224E-3</v>
      </c>
      <c r="S171" s="2"/>
      <c r="T171" s="7">
        <v>3401.69</v>
      </c>
      <c r="U171" s="2"/>
      <c r="V171" s="6">
        <f t="shared" si="53"/>
        <v>8.9105349225916484E-3</v>
      </c>
      <c r="W171" s="2"/>
      <c r="X171" s="7">
        <f t="shared" si="54"/>
        <v>-2104.79</v>
      </c>
      <c r="Y171" s="2"/>
      <c r="Z171" s="6">
        <f t="shared" si="55"/>
        <v>-0.61874832803694635</v>
      </c>
    </row>
    <row r="172" spans="1:26" s="28" customFormat="1" outlineLevel="1" collapsed="1" x14ac:dyDescent="0.25">
      <c r="A172" s="27"/>
      <c r="B172" s="14" t="str">
        <f>CONCATENATE("     ","Freight out/Postage                               ")</f>
        <v xml:space="preserve">     Freight out/Postage                               </v>
      </c>
      <c r="C172" s="14"/>
      <c r="D172" s="1">
        <f>SUM(OSRRefD22_10x_0)</f>
        <v>-2231.83</v>
      </c>
      <c r="E172" s="1"/>
      <c r="F172" s="5">
        <f t="shared" si="48"/>
        <v>-6.3415362655246631E-3</v>
      </c>
      <c r="G172" s="1"/>
      <c r="H172" s="1">
        <f>SUM(OSRRefH22_10x_0)</f>
        <v>-16.349999999999909</v>
      </c>
      <c r="I172" s="1"/>
      <c r="J172" s="5">
        <f t="shared" si="49"/>
        <v>-4.2827902008816985E-5</v>
      </c>
      <c r="K172" s="1"/>
      <c r="L172" s="1">
        <f t="shared" si="50"/>
        <v>-2215.48</v>
      </c>
      <c r="M172" s="1"/>
      <c r="N172" s="5">
        <f t="shared" si="51"/>
        <v>135.50336391437384</v>
      </c>
      <c r="O172" s="14"/>
      <c r="P172" s="1">
        <f>SUM(OSRRefP22_10x_0)</f>
        <v>-2231.83</v>
      </c>
      <c r="Q172" s="1"/>
      <c r="R172" s="5">
        <f t="shared" si="52"/>
        <v>-6.3415362655246631E-3</v>
      </c>
      <c r="S172" s="1"/>
      <c r="T172" s="1">
        <f>SUM(OSRRefT22_10x_0)</f>
        <v>-16.349999999999909</v>
      </c>
      <c r="U172" s="1"/>
      <c r="V172" s="5">
        <f t="shared" si="53"/>
        <v>-4.2827902008816985E-5</v>
      </c>
      <c r="W172" s="1"/>
      <c r="X172" s="1">
        <f t="shared" si="54"/>
        <v>-2215.48</v>
      </c>
      <c r="Y172" s="1"/>
      <c r="Z172" s="5">
        <f t="shared" si="55"/>
        <v>135.50336391437384</v>
      </c>
    </row>
    <row r="173" spans="1:26" s="24" customFormat="1" hidden="1" outlineLevel="2" x14ac:dyDescent="0.25">
      <c r="A173" s="29"/>
      <c r="B173" s="11" t="str">
        <f>CONCATENATE("          ", "6305", " - ", "FREIGHT OUT")</f>
        <v xml:space="preserve">          6305 - FREIGHT OUT</v>
      </c>
      <c r="C173" s="11"/>
      <c r="D173" s="7">
        <v>1417.72</v>
      </c>
      <c r="E173" s="2"/>
      <c r="F173" s="6">
        <f t="shared" si="48"/>
        <v>4.0283188210390695E-3</v>
      </c>
      <c r="G173" s="2"/>
      <c r="H173" s="7">
        <v>2510.5500000000002</v>
      </c>
      <c r="I173" s="2"/>
      <c r="J173" s="6">
        <f t="shared" si="49"/>
        <v>6.5762439992804941E-3</v>
      </c>
      <c r="K173" s="2"/>
      <c r="L173" s="7">
        <f t="shared" si="50"/>
        <v>-1092.8300000000002</v>
      </c>
      <c r="M173" s="2"/>
      <c r="N173" s="6">
        <f t="shared" si="51"/>
        <v>-0.43529505486845516</v>
      </c>
      <c r="O173" s="11"/>
      <c r="P173" s="7">
        <v>1417.72</v>
      </c>
      <c r="Q173" s="2"/>
      <c r="R173" s="6">
        <f t="shared" si="52"/>
        <v>4.0283188210390695E-3</v>
      </c>
      <c r="S173" s="2"/>
      <c r="T173" s="7">
        <v>2510.5500000000002</v>
      </c>
      <c r="U173" s="2"/>
      <c r="V173" s="6">
        <f t="shared" si="53"/>
        <v>6.5762439992804941E-3</v>
      </c>
      <c r="W173" s="2"/>
      <c r="X173" s="7">
        <f t="shared" si="54"/>
        <v>-1092.8300000000002</v>
      </c>
      <c r="Y173" s="2"/>
      <c r="Z173" s="6">
        <f t="shared" si="55"/>
        <v>-0.43529505486845516</v>
      </c>
    </row>
    <row r="174" spans="1:26" s="24" customFormat="1" hidden="1" outlineLevel="2" x14ac:dyDescent="0.25">
      <c r="A174" s="29"/>
      <c r="B174" s="11" t="str">
        <f>CONCATENATE("          ", "6307", " - ", "POSTAGE")</f>
        <v xml:space="preserve">          6307 - POSTAGE</v>
      </c>
      <c r="C174" s="11"/>
      <c r="D174" s="7">
        <v>-3649.55</v>
      </c>
      <c r="E174" s="2"/>
      <c r="F174" s="6">
        <f t="shared" si="48"/>
        <v>-1.0369855086563734E-2</v>
      </c>
      <c r="G174" s="2"/>
      <c r="H174" s="7">
        <v>-2526.9</v>
      </c>
      <c r="I174" s="2"/>
      <c r="J174" s="6">
        <f t="shared" si="49"/>
        <v>-6.6190719012893112E-3</v>
      </c>
      <c r="K174" s="2"/>
      <c r="L174" s="7">
        <f t="shared" si="50"/>
        <v>-1122.6500000000001</v>
      </c>
      <c r="M174" s="2"/>
      <c r="N174" s="6">
        <f t="shared" si="51"/>
        <v>0.44427955202026198</v>
      </c>
      <c r="O174" s="11"/>
      <c r="P174" s="7">
        <v>-3649.55</v>
      </c>
      <c r="Q174" s="2"/>
      <c r="R174" s="6">
        <f t="shared" si="52"/>
        <v>-1.0369855086563734E-2</v>
      </c>
      <c r="S174" s="2"/>
      <c r="T174" s="7">
        <v>-2526.9</v>
      </c>
      <c r="U174" s="2"/>
      <c r="V174" s="6">
        <f t="shared" si="53"/>
        <v>-6.6190719012893112E-3</v>
      </c>
      <c r="W174" s="2"/>
      <c r="X174" s="7">
        <f t="shared" si="54"/>
        <v>-1122.6500000000001</v>
      </c>
      <c r="Y174" s="2"/>
      <c r="Z174" s="6">
        <f t="shared" si="55"/>
        <v>0.44427955202026198</v>
      </c>
    </row>
    <row r="175" spans="1:26" s="28" customFormat="1" outlineLevel="1" collapsed="1" x14ac:dyDescent="0.25">
      <c r="A175" s="27"/>
      <c r="B175" s="14" t="str">
        <f>CONCATENATE("     ","General                                           ")</f>
        <v xml:space="preserve">     General                                           </v>
      </c>
      <c r="C175" s="14"/>
      <c r="D175" s="1">
        <f>SUM(OSRRefD22_11x_0)</f>
        <v>776.18</v>
      </c>
      <c r="E175" s="1"/>
      <c r="F175" s="5">
        <f t="shared" ref="F175:F188" si="56">IF(D$12=0,0,D175/D$12)</f>
        <v>2.2054428959978733E-3</v>
      </c>
      <c r="G175" s="1"/>
      <c r="H175" s="1">
        <f>SUM(OSRRefH22_11x_0)</f>
        <v>-460.18</v>
      </c>
      <c r="I175" s="1"/>
      <c r="J175" s="5">
        <f t="shared" ref="J175:J188" si="57">IF(H$12=0,0,H175/H$12)</f>
        <v>-1.2054155318909792E-3</v>
      </c>
      <c r="K175" s="1"/>
      <c r="L175" s="1">
        <f t="shared" ref="L175:L188" si="58">+D175-H175</f>
        <v>1236.3599999999999</v>
      </c>
      <c r="M175" s="1"/>
      <c r="N175" s="5">
        <f t="shared" ref="N175:N188" si="59">IF(H175=0,0,L175/H175)</f>
        <v>-2.6866878178104217</v>
      </c>
      <c r="O175" s="14"/>
      <c r="P175" s="1">
        <f>SUM(OSRRefP22_11x_0)</f>
        <v>776.18</v>
      </c>
      <c r="Q175" s="1"/>
      <c r="R175" s="5">
        <f t="shared" ref="R175:R188" si="60">IF(P$12=0,0,P175/P$12)</f>
        <v>2.2054428959978733E-3</v>
      </c>
      <c r="S175" s="1"/>
      <c r="T175" s="1">
        <f>SUM(OSRRefT22_11x_0)</f>
        <v>-460.18</v>
      </c>
      <c r="U175" s="1"/>
      <c r="V175" s="5">
        <f t="shared" ref="V175:V188" si="61">IF(T$12=0,0,T175/T$12)</f>
        <v>-1.2054155318909792E-3</v>
      </c>
      <c r="W175" s="1"/>
      <c r="X175" s="1">
        <f t="shared" ref="X175:X188" si="62">+P175-T175</f>
        <v>1236.3599999999999</v>
      </c>
      <c r="Y175" s="1"/>
      <c r="Z175" s="5">
        <f t="shared" ref="Z175:Z188" si="63">IF(T175=0,0,X175/T175)</f>
        <v>-2.6866878178104217</v>
      </c>
    </row>
    <row r="176" spans="1:26" s="24" customFormat="1" hidden="1" outlineLevel="2" x14ac:dyDescent="0.25">
      <c r="A176" s="29"/>
      <c r="B176" s="11" t="str">
        <f>CONCATENATE("          ", "6279", " - ", "GENERAL EXPENSE")</f>
        <v xml:space="preserve">          6279 - GENERAL EXPENSE</v>
      </c>
      <c r="C176" s="11"/>
      <c r="D176" s="7">
        <v>776.18</v>
      </c>
      <c r="E176" s="2"/>
      <c r="F176" s="6">
        <f t="shared" si="56"/>
        <v>2.2054428959978733E-3</v>
      </c>
      <c r="G176" s="2"/>
      <c r="H176" s="7">
        <v>-460.18</v>
      </c>
      <c r="I176" s="2"/>
      <c r="J176" s="6">
        <f t="shared" si="57"/>
        <v>-1.2054155318909792E-3</v>
      </c>
      <c r="K176" s="2"/>
      <c r="L176" s="7">
        <f t="shared" si="58"/>
        <v>1236.3599999999999</v>
      </c>
      <c r="M176" s="2"/>
      <c r="N176" s="6">
        <f t="shared" si="59"/>
        <v>-2.6866878178104217</v>
      </c>
      <c r="O176" s="11"/>
      <c r="P176" s="7">
        <v>776.18</v>
      </c>
      <c r="Q176" s="2"/>
      <c r="R176" s="6">
        <f t="shared" si="60"/>
        <v>2.2054428959978733E-3</v>
      </c>
      <c r="S176" s="2"/>
      <c r="T176" s="7">
        <v>-460.18</v>
      </c>
      <c r="U176" s="2"/>
      <c r="V176" s="6">
        <f t="shared" si="61"/>
        <v>-1.2054155318909792E-3</v>
      </c>
      <c r="W176" s="2"/>
      <c r="X176" s="7">
        <f t="shared" si="62"/>
        <v>1236.3599999999999</v>
      </c>
      <c r="Y176" s="2"/>
      <c r="Z176" s="6">
        <f t="shared" si="63"/>
        <v>-2.6866878178104217</v>
      </c>
    </row>
    <row r="177" spans="1:26" s="28" customFormat="1" outlineLevel="1" collapsed="1" x14ac:dyDescent="0.25">
      <c r="A177" s="27"/>
      <c r="B177" s="14" t="str">
        <f>CONCATENATE("     ","Insurance                                         ")</f>
        <v xml:space="preserve">     Insurance                                         </v>
      </c>
      <c r="C177" s="14"/>
      <c r="D177" s="1">
        <f>SUM(OSRRefD22_12x_0)</f>
        <v>4044.74</v>
      </c>
      <c r="E177" s="1"/>
      <c r="F177" s="5">
        <f t="shared" si="56"/>
        <v>1.1492750520701946E-2</v>
      </c>
      <c r="G177" s="1"/>
      <c r="H177" s="1">
        <f>SUM(OSRRefH22_12x_0)</f>
        <v>3809.97</v>
      </c>
      <c r="I177" s="1"/>
      <c r="J177" s="5">
        <f t="shared" si="57"/>
        <v>9.9800013343445473E-3</v>
      </c>
      <c r="K177" s="1"/>
      <c r="L177" s="1">
        <f t="shared" si="58"/>
        <v>234.76999999999998</v>
      </c>
      <c r="M177" s="1"/>
      <c r="N177" s="5">
        <f t="shared" si="59"/>
        <v>6.1619907768302638E-2</v>
      </c>
      <c r="O177" s="14"/>
      <c r="P177" s="1">
        <f>SUM(OSRRefP22_12x_0)</f>
        <v>4044.74</v>
      </c>
      <c r="Q177" s="1"/>
      <c r="R177" s="5">
        <f t="shared" si="60"/>
        <v>1.1492750520701946E-2</v>
      </c>
      <c r="S177" s="1"/>
      <c r="T177" s="1">
        <f>SUM(OSRRefT22_12x_0)</f>
        <v>3809.97</v>
      </c>
      <c r="U177" s="1"/>
      <c r="V177" s="5">
        <f t="shared" si="61"/>
        <v>9.9800013343445473E-3</v>
      </c>
      <c r="W177" s="1"/>
      <c r="X177" s="1">
        <f t="shared" si="62"/>
        <v>234.76999999999998</v>
      </c>
      <c r="Y177" s="1"/>
      <c r="Z177" s="5">
        <f t="shared" si="63"/>
        <v>6.1619907768302638E-2</v>
      </c>
    </row>
    <row r="178" spans="1:26" s="24" customFormat="1" hidden="1" outlineLevel="2" x14ac:dyDescent="0.25">
      <c r="A178" s="29"/>
      <c r="B178" s="11" t="str">
        <f>CONCATENATE("          ", "6314", " - ", "LIABILITY INSURANCE")</f>
        <v xml:space="preserve">          6314 - LIABILITY INSURANCE</v>
      </c>
      <c r="C178" s="11"/>
      <c r="D178" s="7">
        <v>4044.74</v>
      </c>
      <c r="E178" s="2"/>
      <c r="F178" s="6">
        <f t="shared" si="56"/>
        <v>1.1492750520701946E-2</v>
      </c>
      <c r="G178" s="2"/>
      <c r="H178" s="7">
        <v>3809.97</v>
      </c>
      <c r="I178" s="2"/>
      <c r="J178" s="6">
        <f t="shared" si="57"/>
        <v>9.9800013343445473E-3</v>
      </c>
      <c r="K178" s="2"/>
      <c r="L178" s="7">
        <f t="shared" si="58"/>
        <v>234.76999999999998</v>
      </c>
      <c r="M178" s="2"/>
      <c r="N178" s="6">
        <f t="shared" si="59"/>
        <v>6.1619907768302638E-2</v>
      </c>
      <c r="O178" s="11"/>
      <c r="P178" s="7">
        <v>4044.74</v>
      </c>
      <c r="Q178" s="2"/>
      <c r="R178" s="6">
        <f t="shared" si="60"/>
        <v>1.1492750520701946E-2</v>
      </c>
      <c r="S178" s="2"/>
      <c r="T178" s="7">
        <v>3809.97</v>
      </c>
      <c r="U178" s="2"/>
      <c r="V178" s="6">
        <f t="shared" si="61"/>
        <v>9.9800013343445473E-3</v>
      </c>
      <c r="W178" s="2"/>
      <c r="X178" s="7">
        <f t="shared" si="62"/>
        <v>234.76999999999998</v>
      </c>
      <c r="Y178" s="2"/>
      <c r="Z178" s="6">
        <f t="shared" si="63"/>
        <v>6.1619907768302638E-2</v>
      </c>
    </row>
    <row r="179" spans="1:26" s="28" customFormat="1" outlineLevel="1" collapsed="1" x14ac:dyDescent="0.25">
      <c r="A179" s="27"/>
      <c r="B179" s="14" t="str">
        <f>CONCATENATE("     ","Inventory Adjustment                              ")</f>
        <v xml:space="preserve">     Inventory Adjustment                              </v>
      </c>
      <c r="C179" s="14"/>
      <c r="D179" s="1">
        <f>SUM(OSRRefD22_13x_0)</f>
        <v>4150</v>
      </c>
      <c r="E179" s="1"/>
      <c r="F179" s="5">
        <f t="shared" si="56"/>
        <v>1.1791836968732993E-2</v>
      </c>
      <c r="G179" s="1"/>
      <c r="H179" s="1">
        <f>SUM(OSRRefH22_13x_0)</f>
        <v>8750</v>
      </c>
      <c r="I179" s="1"/>
      <c r="J179" s="5">
        <f t="shared" si="57"/>
        <v>2.2920131044474049E-2</v>
      </c>
      <c r="K179" s="1"/>
      <c r="L179" s="1">
        <f t="shared" si="58"/>
        <v>-4600</v>
      </c>
      <c r="M179" s="1"/>
      <c r="N179" s="5">
        <f t="shared" si="59"/>
        <v>-0.52571428571428569</v>
      </c>
      <c r="O179" s="14"/>
      <c r="P179" s="1">
        <f>SUM(OSRRefP22_13x_0)</f>
        <v>4150</v>
      </c>
      <c r="Q179" s="1"/>
      <c r="R179" s="5">
        <f t="shared" si="60"/>
        <v>1.1791836968732993E-2</v>
      </c>
      <c r="S179" s="1"/>
      <c r="T179" s="1">
        <f>SUM(OSRRefT22_13x_0)</f>
        <v>8750</v>
      </c>
      <c r="U179" s="1"/>
      <c r="V179" s="5">
        <f t="shared" si="61"/>
        <v>2.2920131044474049E-2</v>
      </c>
      <c r="W179" s="1"/>
      <c r="X179" s="1">
        <f t="shared" si="62"/>
        <v>-4600</v>
      </c>
      <c r="Y179" s="1"/>
      <c r="Z179" s="5">
        <f t="shared" si="63"/>
        <v>-0.52571428571428569</v>
      </c>
    </row>
    <row r="180" spans="1:26" s="24" customFormat="1" hidden="1" outlineLevel="2" x14ac:dyDescent="0.25">
      <c r="A180" s="29"/>
      <c r="B180" s="11" t="str">
        <f>CONCATENATE("          ", "6408", " - ", "INVENTORY ADJUSTMENT")</f>
        <v xml:space="preserve">          6408 - INVENTORY ADJUSTMENT</v>
      </c>
      <c r="C180" s="11"/>
      <c r="D180" s="7">
        <v>4150</v>
      </c>
      <c r="E180" s="2"/>
      <c r="F180" s="6">
        <f t="shared" si="56"/>
        <v>1.1791836968732993E-2</v>
      </c>
      <c r="G180" s="2"/>
      <c r="H180" s="7">
        <v>8750</v>
      </c>
      <c r="I180" s="2"/>
      <c r="J180" s="6">
        <f t="shared" si="57"/>
        <v>2.2920131044474049E-2</v>
      </c>
      <c r="K180" s="2"/>
      <c r="L180" s="7">
        <f t="shared" si="58"/>
        <v>-4600</v>
      </c>
      <c r="M180" s="2"/>
      <c r="N180" s="6">
        <f t="shared" si="59"/>
        <v>-0.52571428571428569</v>
      </c>
      <c r="O180" s="11"/>
      <c r="P180" s="7">
        <v>4150</v>
      </c>
      <c r="Q180" s="2"/>
      <c r="R180" s="6">
        <f t="shared" si="60"/>
        <v>1.1791836968732993E-2</v>
      </c>
      <c r="S180" s="2"/>
      <c r="T180" s="7">
        <v>8750</v>
      </c>
      <c r="U180" s="2"/>
      <c r="V180" s="6">
        <f t="shared" si="61"/>
        <v>2.2920131044474049E-2</v>
      </c>
      <c r="W180" s="2"/>
      <c r="X180" s="7">
        <f t="shared" si="62"/>
        <v>-4600</v>
      </c>
      <c r="Y180" s="2"/>
      <c r="Z180" s="6">
        <f t="shared" si="63"/>
        <v>-0.52571428571428569</v>
      </c>
    </row>
    <row r="181" spans="1:26" s="28" customFormat="1" outlineLevel="1" collapsed="1" x14ac:dyDescent="0.25">
      <c r="A181" s="27"/>
      <c r="B181" s="14" t="str">
        <f>CONCATENATE("     ","Professional Services                             ")</f>
        <v xml:space="preserve">     Professional Services                             </v>
      </c>
      <c r="C181" s="14"/>
      <c r="D181" s="1">
        <f>SUM(OSRRefD22_14x_0)</f>
        <v>6158.41</v>
      </c>
      <c r="E181" s="1"/>
      <c r="F181" s="5">
        <f t="shared" si="56"/>
        <v>1.7498546194365049E-2</v>
      </c>
      <c r="G181" s="1"/>
      <c r="H181" s="1">
        <f>SUM(OSRRefH22_14x_0)</f>
        <v>8276.43</v>
      </c>
      <c r="I181" s="1"/>
      <c r="J181" s="5">
        <f t="shared" si="57"/>
        <v>2.1679641163476156E-2</v>
      </c>
      <c r="K181" s="1"/>
      <c r="L181" s="1">
        <f t="shared" si="58"/>
        <v>-2118.0200000000004</v>
      </c>
      <c r="M181" s="1"/>
      <c r="N181" s="5">
        <f t="shared" si="59"/>
        <v>-0.25590985485287743</v>
      </c>
      <c r="O181" s="14"/>
      <c r="P181" s="1">
        <f>SUM(OSRRefP22_14x_0)</f>
        <v>6158.41</v>
      </c>
      <c r="Q181" s="1"/>
      <c r="R181" s="5">
        <f t="shared" si="60"/>
        <v>1.7498546194365049E-2</v>
      </c>
      <c r="S181" s="1"/>
      <c r="T181" s="1">
        <f>SUM(OSRRefT22_14x_0)</f>
        <v>8276.43</v>
      </c>
      <c r="U181" s="1"/>
      <c r="V181" s="5">
        <f t="shared" si="61"/>
        <v>2.1679641163476156E-2</v>
      </c>
      <c r="W181" s="1"/>
      <c r="X181" s="1">
        <f t="shared" si="62"/>
        <v>-2118.0200000000004</v>
      </c>
      <c r="Y181" s="1"/>
      <c r="Z181" s="5">
        <f t="shared" si="63"/>
        <v>-0.25590985485287743</v>
      </c>
    </row>
    <row r="182" spans="1:26" s="24" customFormat="1" hidden="1" outlineLevel="2" x14ac:dyDescent="0.25">
      <c r="A182" s="29"/>
      <c r="B182" s="11" t="str">
        <f>CONCATENATE("          ", "6336", " - ", "PROFESSIONAL SERVICES")</f>
        <v xml:space="preserve">          6336 - PROFESSIONAL SERVICES</v>
      </c>
      <c r="C182" s="11"/>
      <c r="D182" s="7">
        <v>6158.41</v>
      </c>
      <c r="E182" s="2"/>
      <c r="F182" s="6">
        <f t="shared" si="56"/>
        <v>1.7498546194365049E-2</v>
      </c>
      <c r="G182" s="2"/>
      <c r="H182" s="7">
        <v>8276.43</v>
      </c>
      <c r="I182" s="2"/>
      <c r="J182" s="6">
        <f t="shared" si="57"/>
        <v>2.1679641163476156E-2</v>
      </c>
      <c r="K182" s="2"/>
      <c r="L182" s="7">
        <f t="shared" si="58"/>
        <v>-2118.0200000000004</v>
      </c>
      <c r="M182" s="2"/>
      <c r="N182" s="6">
        <f t="shared" si="59"/>
        <v>-0.25590985485287743</v>
      </c>
      <c r="O182" s="11"/>
      <c r="P182" s="7">
        <v>6158.41</v>
      </c>
      <c r="Q182" s="2"/>
      <c r="R182" s="6">
        <f t="shared" si="60"/>
        <v>1.7498546194365049E-2</v>
      </c>
      <c r="S182" s="2"/>
      <c r="T182" s="7">
        <v>8276.43</v>
      </c>
      <c r="U182" s="2"/>
      <c r="V182" s="6">
        <f t="shared" si="61"/>
        <v>2.1679641163476156E-2</v>
      </c>
      <c r="W182" s="2"/>
      <c r="X182" s="7">
        <f t="shared" si="62"/>
        <v>-2118.0200000000004</v>
      </c>
      <c r="Y182" s="2"/>
      <c r="Z182" s="6">
        <f t="shared" si="63"/>
        <v>-0.25590985485287743</v>
      </c>
    </row>
    <row r="183" spans="1:26" s="28" customFormat="1" outlineLevel="1" collapsed="1" x14ac:dyDescent="0.25">
      <c r="A183" s="27"/>
      <c r="B183" s="14" t="str">
        <f>CONCATENATE("     ","Rent                                              ")</f>
        <v xml:space="preserve">     Rent                                              </v>
      </c>
      <c r="C183" s="14"/>
      <c r="D183" s="1">
        <f>SUM(OSRRefD22_15x_0)</f>
        <v>6100</v>
      </c>
      <c r="E183" s="1"/>
      <c r="F183" s="5">
        <f t="shared" si="56"/>
        <v>1.7332579640788253E-2</v>
      </c>
      <c r="G183" s="1"/>
      <c r="H183" s="1">
        <f>SUM(OSRRefH22_15x_0)</f>
        <v>6201.08</v>
      </c>
      <c r="I183" s="1"/>
      <c r="J183" s="5">
        <f t="shared" si="57"/>
        <v>1.6243378996259099E-2</v>
      </c>
      <c r="K183" s="1"/>
      <c r="L183" s="1">
        <f t="shared" si="58"/>
        <v>-101.07999999999993</v>
      </c>
      <c r="M183" s="1"/>
      <c r="N183" s="5">
        <f t="shared" si="59"/>
        <v>-1.6300386384307239E-2</v>
      </c>
      <c r="O183" s="14"/>
      <c r="P183" s="1">
        <f>SUM(OSRRefP22_15x_0)</f>
        <v>6100</v>
      </c>
      <c r="Q183" s="1"/>
      <c r="R183" s="5">
        <f t="shared" si="60"/>
        <v>1.7332579640788253E-2</v>
      </c>
      <c r="S183" s="1"/>
      <c r="T183" s="1">
        <f>SUM(OSRRefT22_15x_0)</f>
        <v>6201.08</v>
      </c>
      <c r="U183" s="1"/>
      <c r="V183" s="5">
        <f t="shared" si="61"/>
        <v>1.6243378996259099E-2</v>
      </c>
      <c r="W183" s="1"/>
      <c r="X183" s="1">
        <f t="shared" si="62"/>
        <v>-101.07999999999993</v>
      </c>
      <c r="Y183" s="1"/>
      <c r="Z183" s="5">
        <f t="shared" si="63"/>
        <v>-1.6300386384307239E-2</v>
      </c>
    </row>
    <row r="184" spans="1:26" s="24" customFormat="1" hidden="1" outlineLevel="2" x14ac:dyDescent="0.25">
      <c r="A184" s="29"/>
      <c r="B184" s="11" t="str">
        <f>CONCATENATE("          ", "6273", " - ", "RENT")</f>
        <v xml:space="preserve">          6273 - RENT</v>
      </c>
      <c r="C184" s="11"/>
      <c r="D184" s="7">
        <v>6100</v>
      </c>
      <c r="E184" s="2"/>
      <c r="F184" s="6">
        <f t="shared" si="56"/>
        <v>1.7332579640788253E-2</v>
      </c>
      <c r="G184" s="2"/>
      <c r="H184" s="7">
        <v>6201.08</v>
      </c>
      <c r="I184" s="2"/>
      <c r="J184" s="6">
        <f t="shared" si="57"/>
        <v>1.6243378996259099E-2</v>
      </c>
      <c r="K184" s="2"/>
      <c r="L184" s="7">
        <f t="shared" si="58"/>
        <v>-101.07999999999993</v>
      </c>
      <c r="M184" s="2"/>
      <c r="N184" s="6">
        <f t="shared" si="59"/>
        <v>-1.6300386384307239E-2</v>
      </c>
      <c r="O184" s="11"/>
      <c r="P184" s="7">
        <v>6100</v>
      </c>
      <c r="Q184" s="2"/>
      <c r="R184" s="6">
        <f t="shared" si="60"/>
        <v>1.7332579640788253E-2</v>
      </c>
      <c r="S184" s="2"/>
      <c r="T184" s="7">
        <v>6201.08</v>
      </c>
      <c r="U184" s="2"/>
      <c r="V184" s="6">
        <f t="shared" si="61"/>
        <v>1.6243378996259099E-2</v>
      </c>
      <c r="W184" s="2"/>
      <c r="X184" s="7">
        <f t="shared" si="62"/>
        <v>-101.07999999999993</v>
      </c>
      <c r="Y184" s="2"/>
      <c r="Z184" s="6">
        <f t="shared" si="63"/>
        <v>-1.6300386384307239E-2</v>
      </c>
    </row>
    <row r="185" spans="1:26" s="28" customFormat="1" outlineLevel="1" collapsed="1" x14ac:dyDescent="0.25">
      <c r="A185" s="27"/>
      <c r="B185" s="14" t="str">
        <f>CONCATENATE("     ","Repair and Maintenance                            ")</f>
        <v xml:space="preserve">     Repair and Maintenance                            </v>
      </c>
      <c r="C185" s="14"/>
      <c r="D185" s="1">
        <f>SUM(OSRRefD22_16x_0)</f>
        <v>22745.309999999998</v>
      </c>
      <c r="E185" s="1"/>
      <c r="F185" s="5">
        <f t="shared" si="56"/>
        <v>6.4628671644166788E-2</v>
      </c>
      <c r="G185" s="1"/>
      <c r="H185" s="1">
        <f>SUM(OSRRefH22_16x_0)</f>
        <v>57456.07</v>
      </c>
      <c r="I185" s="1"/>
      <c r="J185" s="5">
        <f t="shared" si="57"/>
        <v>0.15050293185148275</v>
      </c>
      <c r="K185" s="1"/>
      <c r="L185" s="1">
        <f t="shared" si="58"/>
        <v>-34710.76</v>
      </c>
      <c r="M185" s="1"/>
      <c r="N185" s="5">
        <f t="shared" si="59"/>
        <v>-0.60412694428978531</v>
      </c>
      <c r="O185" s="14"/>
      <c r="P185" s="1">
        <f>SUM(OSRRefP22_16x_0)</f>
        <v>22745.309999999998</v>
      </c>
      <c r="Q185" s="1"/>
      <c r="R185" s="5">
        <f t="shared" si="60"/>
        <v>6.4628671644166788E-2</v>
      </c>
      <c r="S185" s="1"/>
      <c r="T185" s="1">
        <f>SUM(OSRRefT22_16x_0)</f>
        <v>57456.07</v>
      </c>
      <c r="U185" s="1"/>
      <c r="V185" s="5">
        <f t="shared" si="61"/>
        <v>0.15050293185148275</v>
      </c>
      <c r="W185" s="1"/>
      <c r="X185" s="1">
        <f t="shared" si="62"/>
        <v>-34710.76</v>
      </c>
      <c r="Y185" s="1"/>
      <c r="Z185" s="5">
        <f t="shared" si="63"/>
        <v>-0.60412694428978531</v>
      </c>
    </row>
    <row r="186" spans="1:26" s="24" customFormat="1" hidden="1" outlineLevel="2" x14ac:dyDescent="0.25">
      <c r="A186" s="29"/>
      <c r="B186" s="11" t="str">
        <f>CONCATENATE("          ", "6371", " - ", "COMPUTER SOFTWARE MAINTENANCE")</f>
        <v xml:space="preserve">          6371 - COMPUTER SOFTWARE MAINTENANCE</v>
      </c>
      <c r="C186" s="11"/>
      <c r="D186" s="7">
        <v>601</v>
      </c>
      <c r="E186" s="2"/>
      <c r="F186" s="6">
        <f t="shared" si="56"/>
        <v>1.7076853055924164E-3</v>
      </c>
      <c r="G186" s="2"/>
      <c r="H186" s="7">
        <v>42330.579999999994</v>
      </c>
      <c r="I186" s="2"/>
      <c r="J186" s="6">
        <f t="shared" si="57"/>
        <v>0.11088256466155338</v>
      </c>
      <c r="K186" s="2"/>
      <c r="L186" s="7">
        <f t="shared" si="58"/>
        <v>-41729.579999999994</v>
      </c>
      <c r="M186" s="2"/>
      <c r="N186" s="6">
        <f t="shared" si="59"/>
        <v>-0.98580222619203417</v>
      </c>
      <c r="O186" s="11"/>
      <c r="P186" s="7">
        <v>601</v>
      </c>
      <c r="Q186" s="2"/>
      <c r="R186" s="6">
        <f t="shared" si="60"/>
        <v>1.7076853055924164E-3</v>
      </c>
      <c r="S186" s="2"/>
      <c r="T186" s="7">
        <v>42330.579999999994</v>
      </c>
      <c r="U186" s="2"/>
      <c r="V186" s="6">
        <f t="shared" si="61"/>
        <v>0.11088256466155338</v>
      </c>
      <c r="W186" s="2"/>
      <c r="X186" s="7">
        <f t="shared" si="62"/>
        <v>-41729.579999999994</v>
      </c>
      <c r="Y186" s="2"/>
      <c r="Z186" s="6">
        <f t="shared" si="63"/>
        <v>-0.98580222619203417</v>
      </c>
    </row>
    <row r="187" spans="1:26" s="24" customFormat="1" hidden="1" outlineLevel="2" x14ac:dyDescent="0.25">
      <c r="A187" s="29"/>
      <c r="B187" s="11" t="str">
        <f>CONCATENATE("          ", "6373", " - ", "MAINTENANCE CONTRACTS")</f>
        <v xml:space="preserve">          6373 - MAINTENANCE CONTRACTS</v>
      </c>
      <c r="C187" s="11"/>
      <c r="D187" s="7">
        <v>6478.86</v>
      </c>
      <c r="E187" s="2"/>
      <c r="F187" s="6">
        <f t="shared" si="56"/>
        <v>1.8409074906806128E-2</v>
      </c>
      <c r="G187" s="2"/>
      <c r="H187" s="7">
        <v>10121.94</v>
      </c>
      <c r="I187" s="2"/>
      <c r="J187" s="6">
        <f t="shared" si="57"/>
        <v>2.6513850425634703E-2</v>
      </c>
      <c r="K187" s="2"/>
      <c r="L187" s="7">
        <f t="shared" si="58"/>
        <v>-3643.0800000000008</v>
      </c>
      <c r="M187" s="2"/>
      <c r="N187" s="6">
        <f t="shared" si="59"/>
        <v>-0.35991914593447505</v>
      </c>
      <c r="O187" s="11"/>
      <c r="P187" s="7">
        <v>6478.86</v>
      </c>
      <c r="Q187" s="2"/>
      <c r="R187" s="6">
        <f t="shared" si="60"/>
        <v>1.8409074906806128E-2</v>
      </c>
      <c r="S187" s="2"/>
      <c r="T187" s="7">
        <v>10121.94</v>
      </c>
      <c r="U187" s="2"/>
      <c r="V187" s="6">
        <f t="shared" si="61"/>
        <v>2.6513850425634703E-2</v>
      </c>
      <c r="W187" s="2"/>
      <c r="X187" s="7">
        <f t="shared" si="62"/>
        <v>-3643.0800000000008</v>
      </c>
      <c r="Y187" s="2"/>
      <c r="Z187" s="6">
        <f t="shared" si="63"/>
        <v>-0.35991914593447505</v>
      </c>
    </row>
    <row r="188" spans="1:26" s="24" customFormat="1" hidden="1" outlineLevel="2" x14ac:dyDescent="0.25">
      <c r="A188" s="29"/>
      <c r="B188" s="11" t="str">
        <f>CONCATENATE("          ", "6375", " - ", "OUTSIDE REPAIRS &amp; MAINTENANCE")</f>
        <v xml:space="preserve">          6375 - OUTSIDE REPAIRS &amp; MAINTENANCE</v>
      </c>
      <c r="C188" s="11"/>
      <c r="D188" s="7">
        <v>15665.449999999999</v>
      </c>
      <c r="E188" s="2"/>
      <c r="F188" s="6">
        <f t="shared" si="56"/>
        <v>4.4511911431768247E-2</v>
      </c>
      <c r="G188" s="2"/>
      <c r="H188" s="7">
        <v>5003.55</v>
      </c>
      <c r="I188" s="2"/>
      <c r="J188" s="6">
        <f t="shared" si="57"/>
        <v>1.3106516764294644E-2</v>
      </c>
      <c r="K188" s="2"/>
      <c r="L188" s="7">
        <f t="shared" si="58"/>
        <v>10661.899999999998</v>
      </c>
      <c r="M188" s="2"/>
      <c r="N188" s="6">
        <f t="shared" si="59"/>
        <v>2.1308670843700965</v>
      </c>
      <c r="O188" s="11"/>
      <c r="P188" s="7">
        <v>15665.449999999999</v>
      </c>
      <c r="Q188" s="2"/>
      <c r="R188" s="6">
        <f t="shared" si="60"/>
        <v>4.4511911431768247E-2</v>
      </c>
      <c r="S188" s="2"/>
      <c r="T188" s="7">
        <v>5003.55</v>
      </c>
      <c r="U188" s="2"/>
      <c r="V188" s="6">
        <f t="shared" si="61"/>
        <v>1.3106516764294644E-2</v>
      </c>
      <c r="W188" s="2"/>
      <c r="X188" s="7">
        <f t="shared" si="62"/>
        <v>10661.899999999998</v>
      </c>
      <c r="Y188" s="2"/>
      <c r="Z188" s="6">
        <f t="shared" si="63"/>
        <v>2.1308670843700965</v>
      </c>
    </row>
    <row r="189" spans="1:26" s="28" customFormat="1" outlineLevel="1" collapsed="1" x14ac:dyDescent="0.25">
      <c r="A189" s="27"/>
      <c r="B189" s="14" t="str">
        <f>CONCATENATE("     ","Royalty &amp; Commissions                             ")</f>
        <v xml:space="preserve">     Royalty &amp; Commissions                             </v>
      </c>
      <c r="C189" s="14"/>
      <c r="D189" s="1">
        <f>SUM(OSRRefD22_17x_0)</f>
        <v>5086.05</v>
      </c>
      <c r="E189" s="1"/>
      <c r="F189" s="5">
        <f t="shared" ref="F189:F192" si="64">IF(D$12=0,0,D189/D$12)</f>
        <v>1.4451535521644443E-2</v>
      </c>
      <c r="G189" s="1"/>
      <c r="H189" s="1">
        <f>SUM(OSRRefH22_17x_0)</f>
        <v>7337.2300000000005</v>
      </c>
      <c r="I189" s="1"/>
      <c r="J189" s="5">
        <f t="shared" ref="J189:J192" si="65">IF(H$12=0,0,H189/H$12)</f>
        <v>1.921945978325101E-2</v>
      </c>
      <c r="K189" s="1"/>
      <c r="L189" s="1">
        <f t="shared" ref="L189:L192" si="66">+D189-H189</f>
        <v>-2251.1800000000003</v>
      </c>
      <c r="M189" s="1"/>
      <c r="N189" s="5">
        <f t="shared" ref="N189:N192" si="67">IF(H189=0,0,L189/H189)</f>
        <v>-0.30681606001174833</v>
      </c>
      <c r="O189" s="14"/>
      <c r="P189" s="1">
        <f>SUM(OSRRefP22_17x_0)</f>
        <v>5086.05</v>
      </c>
      <c r="Q189" s="1"/>
      <c r="R189" s="5">
        <f t="shared" ref="R189:R192" si="68">IF(P$12=0,0,P189/P$12)</f>
        <v>1.4451535521644443E-2</v>
      </c>
      <c r="S189" s="1"/>
      <c r="T189" s="1">
        <f>SUM(OSRRefT22_17x_0)</f>
        <v>7337.2300000000005</v>
      </c>
      <c r="U189" s="1"/>
      <c r="V189" s="5">
        <f t="shared" ref="V189:V192" si="69">IF(T$12=0,0,T189/T$12)</f>
        <v>1.921945978325101E-2</v>
      </c>
      <c r="W189" s="1"/>
      <c r="X189" s="1">
        <f t="shared" ref="X189:X192" si="70">+P189-T189</f>
        <v>-2251.1800000000003</v>
      </c>
      <c r="Y189" s="1"/>
      <c r="Z189" s="5">
        <f t="shared" ref="Z189:Z192" si="71">IF(T189=0,0,X189/T189)</f>
        <v>-0.30681606001174833</v>
      </c>
    </row>
    <row r="190" spans="1:26" s="24" customFormat="1" hidden="1" outlineLevel="2" x14ac:dyDescent="0.25">
      <c r="A190" s="29"/>
      <c r="B190" s="11" t="str">
        <f>CONCATENATE("          ", "6253", " - ", "ROYALTY DUE ATHLETICS-LRG")</f>
        <v xml:space="preserve">          6253 - ROYALTY DUE ATHLETICS-LRG</v>
      </c>
      <c r="C190" s="11"/>
      <c r="D190" s="7">
        <v>4366.95</v>
      </c>
      <c r="E190" s="2"/>
      <c r="F190" s="6">
        <f t="shared" si="64"/>
        <v>1.2408280108580371E-2</v>
      </c>
      <c r="G190" s="2"/>
      <c r="H190" s="7">
        <v>6645.39</v>
      </c>
      <c r="I190" s="2"/>
      <c r="J190" s="6">
        <f t="shared" si="65"/>
        <v>1.7407223959044274E-2</v>
      </c>
      <c r="K190" s="2"/>
      <c r="L190" s="7">
        <f t="shared" si="66"/>
        <v>-2278.4400000000005</v>
      </c>
      <c r="M190" s="2"/>
      <c r="N190" s="6">
        <f t="shared" si="67"/>
        <v>-0.34286023845101649</v>
      </c>
      <c r="O190" s="11"/>
      <c r="P190" s="7">
        <v>4366.95</v>
      </c>
      <c r="Q190" s="2"/>
      <c r="R190" s="6">
        <f t="shared" si="68"/>
        <v>1.2408280108580371E-2</v>
      </c>
      <c r="S190" s="2"/>
      <c r="T190" s="7">
        <v>6645.39</v>
      </c>
      <c r="U190" s="2"/>
      <c r="V190" s="6">
        <f t="shared" si="69"/>
        <v>1.7407223959044274E-2</v>
      </c>
      <c r="W190" s="2"/>
      <c r="X190" s="7">
        <f t="shared" si="70"/>
        <v>-2278.4400000000005</v>
      </c>
      <c r="Y190" s="2"/>
      <c r="Z190" s="6">
        <f t="shared" si="71"/>
        <v>-0.34286023845101649</v>
      </c>
    </row>
    <row r="191" spans="1:26" s="24" customFormat="1" hidden="1" outlineLevel="2" x14ac:dyDescent="0.25">
      <c r="A191" s="29"/>
      <c r="B191" s="11" t="str">
        <f>CONCATENATE("          ", "6254", " - ", "ROYALTY &amp; COMMISSIONS")</f>
        <v xml:space="preserve">          6254 - ROYALTY &amp; COMMISSIONS</v>
      </c>
      <c r="C191" s="11"/>
      <c r="D191" s="7">
        <v>114.09</v>
      </c>
      <c r="E191" s="2"/>
      <c r="F191" s="6">
        <f t="shared" si="64"/>
        <v>3.2417606741271015E-4</v>
      </c>
      <c r="G191" s="2"/>
      <c r="H191" s="7"/>
      <c r="I191" s="2"/>
      <c r="J191" s="6">
        <f t="shared" si="65"/>
        <v>0</v>
      </c>
      <c r="K191" s="2"/>
      <c r="L191" s="7">
        <f t="shared" si="66"/>
        <v>114.09</v>
      </c>
      <c r="M191" s="2"/>
      <c r="N191" s="6">
        <f t="shared" si="67"/>
        <v>0</v>
      </c>
      <c r="O191" s="11"/>
      <c r="P191" s="7">
        <v>114.09</v>
      </c>
      <c r="Q191" s="2"/>
      <c r="R191" s="6">
        <f t="shared" si="68"/>
        <v>3.2417606741271015E-4</v>
      </c>
      <c r="S191" s="2"/>
      <c r="T191" s="7"/>
      <c r="U191" s="2"/>
      <c r="V191" s="6">
        <f t="shared" si="69"/>
        <v>0</v>
      </c>
      <c r="W191" s="2"/>
      <c r="X191" s="7">
        <f t="shared" si="70"/>
        <v>114.09</v>
      </c>
      <c r="Y191" s="2"/>
      <c r="Z191" s="6">
        <f t="shared" si="71"/>
        <v>0</v>
      </c>
    </row>
    <row r="192" spans="1:26" s="24" customFormat="1" hidden="1" outlineLevel="2" x14ac:dyDescent="0.25">
      <c r="A192" s="29"/>
      <c r="B192" s="11" t="str">
        <f>CONCATENATE("          ", "6259", " - ", "ROYALTY &amp; COMMISSIONS")</f>
        <v xml:space="preserve">          6259 - ROYALTY &amp; COMMISSIONS</v>
      </c>
      <c r="C192" s="11"/>
      <c r="D192" s="7">
        <v>605.01</v>
      </c>
      <c r="E192" s="2"/>
      <c r="F192" s="6">
        <f t="shared" si="64"/>
        <v>1.7190793456513609E-3</v>
      </c>
      <c r="G192" s="2"/>
      <c r="H192" s="7">
        <v>691.84</v>
      </c>
      <c r="I192" s="2"/>
      <c r="J192" s="6">
        <f t="shared" si="65"/>
        <v>1.8122358242067345E-3</v>
      </c>
      <c r="K192" s="2"/>
      <c r="L192" s="7">
        <f t="shared" si="66"/>
        <v>-86.830000000000041</v>
      </c>
      <c r="M192" s="2"/>
      <c r="N192" s="6">
        <f t="shared" si="67"/>
        <v>-0.12550589731729886</v>
      </c>
      <c r="O192" s="11"/>
      <c r="P192" s="7">
        <v>605.01</v>
      </c>
      <c r="Q192" s="2"/>
      <c r="R192" s="6">
        <f t="shared" si="68"/>
        <v>1.7190793456513609E-3</v>
      </c>
      <c r="S192" s="2"/>
      <c r="T192" s="7">
        <v>691.84</v>
      </c>
      <c r="U192" s="2"/>
      <c r="V192" s="6">
        <f t="shared" si="69"/>
        <v>1.8122358242067345E-3</v>
      </c>
      <c r="W192" s="2"/>
      <c r="X192" s="7">
        <f t="shared" si="70"/>
        <v>-86.830000000000041</v>
      </c>
      <c r="Y192" s="2"/>
      <c r="Z192" s="6">
        <f t="shared" si="71"/>
        <v>-0.12550589731729886</v>
      </c>
    </row>
    <row r="193" spans="1:26" s="28" customFormat="1" outlineLevel="1" collapsed="1" x14ac:dyDescent="0.25">
      <c r="A193" s="27"/>
      <c r="B193" s="14" t="str">
        <f>CONCATENATE("     ","Services                                          ")</f>
        <v xml:space="preserve">     Services                                          </v>
      </c>
      <c r="C193" s="14"/>
      <c r="D193" s="1">
        <f>SUM(OSRRefD22_18x_0)</f>
        <v>4629.08</v>
      </c>
      <c r="E193" s="1"/>
      <c r="F193" s="5">
        <f t="shared" ref="F193:F197" si="72">IF(D$12=0,0,D193/D$12)</f>
        <v>1.3153097994029523E-2</v>
      </c>
      <c r="G193" s="1"/>
      <c r="H193" s="1">
        <f>SUM(OSRRefH22_18x_0)</f>
        <v>4411.7800000000007</v>
      </c>
      <c r="I193" s="1"/>
      <c r="J193" s="5">
        <f t="shared" ref="J193:J197" si="73">IF(H$12=0,0,H193/H$12)</f>
        <v>1.1556408655930255E-2</v>
      </c>
      <c r="K193" s="1"/>
      <c r="L193" s="1">
        <f t="shared" ref="L193:L197" si="74">+D193-H193</f>
        <v>217.29999999999927</v>
      </c>
      <c r="M193" s="1"/>
      <c r="N193" s="5">
        <f t="shared" ref="N193:N197" si="75">IF(H193=0,0,L193/H193)</f>
        <v>4.9254495917747311E-2</v>
      </c>
      <c r="O193" s="14"/>
      <c r="P193" s="1">
        <f>SUM(OSRRefP22_18x_0)</f>
        <v>4629.08</v>
      </c>
      <c r="Q193" s="1"/>
      <c r="R193" s="5">
        <f t="shared" ref="R193:R197" si="76">IF(P$12=0,0,P193/P$12)</f>
        <v>1.3153097994029523E-2</v>
      </c>
      <c r="S193" s="1"/>
      <c r="T193" s="1">
        <f>SUM(OSRRefT22_18x_0)</f>
        <v>4411.7800000000007</v>
      </c>
      <c r="U193" s="1"/>
      <c r="V193" s="5">
        <f t="shared" ref="V193:V197" si="77">IF(T$12=0,0,T193/T$12)</f>
        <v>1.1556408655930255E-2</v>
      </c>
      <c r="W193" s="1"/>
      <c r="X193" s="1">
        <f t="shared" ref="X193:X197" si="78">+P193-T193</f>
        <v>217.29999999999927</v>
      </c>
      <c r="Y193" s="1"/>
      <c r="Z193" s="5">
        <f t="shared" ref="Z193:Z197" si="79">IF(T193=0,0,X193/T193)</f>
        <v>4.9254495917747311E-2</v>
      </c>
    </row>
    <row r="194" spans="1:26" s="24" customFormat="1" hidden="1" outlineLevel="2" x14ac:dyDescent="0.25">
      <c r="A194" s="29"/>
      <c r="B194" s="11" t="str">
        <f>CONCATENATE("          ", "6282", " - ", "JANITORIAL/EXTERMINATOR EXPENS")</f>
        <v xml:space="preserve">          6282 - JANITORIAL/EXTERMINATOR EXPENS</v>
      </c>
      <c r="C194" s="11"/>
      <c r="D194" s="7">
        <v>266.5</v>
      </c>
      <c r="E194" s="2"/>
      <c r="F194" s="6">
        <f t="shared" si="72"/>
        <v>7.572348318475524E-4</v>
      </c>
      <c r="G194" s="2"/>
      <c r="H194" s="7">
        <v>236</v>
      </c>
      <c r="I194" s="2"/>
      <c r="J194" s="6">
        <f t="shared" si="73"/>
        <v>6.1818867731381429E-4</v>
      </c>
      <c r="K194" s="2"/>
      <c r="L194" s="7">
        <f t="shared" si="74"/>
        <v>30.5</v>
      </c>
      <c r="M194" s="2"/>
      <c r="N194" s="6">
        <f t="shared" si="75"/>
        <v>0.12923728813559321</v>
      </c>
      <c r="O194" s="11"/>
      <c r="P194" s="7">
        <v>266.5</v>
      </c>
      <c r="Q194" s="2"/>
      <c r="R194" s="6">
        <f t="shared" si="76"/>
        <v>7.572348318475524E-4</v>
      </c>
      <c r="S194" s="2"/>
      <c r="T194" s="7">
        <v>236</v>
      </c>
      <c r="U194" s="2"/>
      <c r="V194" s="6">
        <f t="shared" si="77"/>
        <v>6.1818867731381429E-4</v>
      </c>
      <c r="W194" s="2"/>
      <c r="X194" s="7">
        <f t="shared" si="78"/>
        <v>30.5</v>
      </c>
      <c r="Y194" s="2"/>
      <c r="Z194" s="6">
        <f t="shared" si="79"/>
        <v>0.12923728813559321</v>
      </c>
    </row>
    <row r="195" spans="1:26" s="24" customFormat="1" hidden="1" outlineLevel="2" x14ac:dyDescent="0.25">
      <c r="A195" s="29"/>
      <c r="B195" s="11" t="str">
        <f>CONCATENATE("          ", "6283", " - ", "PLANT SERVICE")</f>
        <v xml:space="preserve">          6283 - PLANT SERVICE</v>
      </c>
      <c r="C195" s="11"/>
      <c r="D195" s="7">
        <v>180.66</v>
      </c>
      <c r="E195" s="2"/>
      <c r="F195" s="6">
        <f t="shared" si="72"/>
        <v>5.1332849801718127E-4</v>
      </c>
      <c r="G195" s="2"/>
      <c r="H195" s="7">
        <v>173</v>
      </c>
      <c r="I195" s="2"/>
      <c r="J195" s="6">
        <f t="shared" si="73"/>
        <v>4.5316373379360116E-4</v>
      </c>
      <c r="K195" s="2"/>
      <c r="L195" s="7">
        <f t="shared" si="74"/>
        <v>7.6599999999999966</v>
      </c>
      <c r="M195" s="2"/>
      <c r="N195" s="6">
        <f t="shared" si="75"/>
        <v>4.4277456647398822E-2</v>
      </c>
      <c r="O195" s="11"/>
      <c r="P195" s="7">
        <v>180.66</v>
      </c>
      <c r="Q195" s="2"/>
      <c r="R195" s="6">
        <f t="shared" si="76"/>
        <v>5.1332849801718127E-4</v>
      </c>
      <c r="S195" s="2"/>
      <c r="T195" s="7">
        <v>173</v>
      </c>
      <c r="U195" s="2"/>
      <c r="V195" s="6">
        <f t="shared" si="77"/>
        <v>4.5316373379360116E-4</v>
      </c>
      <c r="W195" s="2"/>
      <c r="X195" s="7">
        <f t="shared" si="78"/>
        <v>7.6599999999999966</v>
      </c>
      <c r="Y195" s="2"/>
      <c r="Z195" s="6">
        <f t="shared" si="79"/>
        <v>4.4277456647398822E-2</v>
      </c>
    </row>
    <row r="196" spans="1:26" s="24" customFormat="1" hidden="1" outlineLevel="2" x14ac:dyDescent="0.25">
      <c r="A196" s="29"/>
      <c r="B196" s="11" t="str">
        <f>CONCATENATE("          ", "6284", " - ", "TRASH REMOVAL EXPENSE")</f>
        <v xml:space="preserve">          6284 - TRASH REMOVAL EXPENSE</v>
      </c>
      <c r="C196" s="11"/>
      <c r="D196" s="7">
        <v>134.82</v>
      </c>
      <c r="E196" s="2"/>
      <c r="F196" s="6">
        <f t="shared" si="72"/>
        <v>3.830784241264053E-4</v>
      </c>
      <c r="G196" s="2"/>
      <c r="H196" s="7">
        <v>121.46</v>
      </c>
      <c r="I196" s="2"/>
      <c r="J196" s="6">
        <f t="shared" si="73"/>
        <v>3.1815761333277916E-4</v>
      </c>
      <c r="K196" s="2"/>
      <c r="L196" s="7">
        <f t="shared" si="74"/>
        <v>13.36</v>
      </c>
      <c r="M196" s="2"/>
      <c r="N196" s="6">
        <f t="shared" si="75"/>
        <v>0.10999506010209123</v>
      </c>
      <c r="O196" s="11"/>
      <c r="P196" s="7">
        <v>134.82</v>
      </c>
      <c r="Q196" s="2"/>
      <c r="R196" s="6">
        <f t="shared" si="76"/>
        <v>3.830784241264053E-4</v>
      </c>
      <c r="S196" s="2"/>
      <c r="T196" s="7">
        <v>121.46</v>
      </c>
      <c r="U196" s="2"/>
      <c r="V196" s="6">
        <f t="shared" si="77"/>
        <v>3.1815761333277916E-4</v>
      </c>
      <c r="W196" s="2"/>
      <c r="X196" s="7">
        <f t="shared" si="78"/>
        <v>13.36</v>
      </c>
      <c r="Y196" s="2"/>
      <c r="Z196" s="6">
        <f t="shared" si="79"/>
        <v>0.10999506010209123</v>
      </c>
    </row>
    <row r="197" spans="1:26" s="24" customFormat="1" hidden="1" outlineLevel="2" x14ac:dyDescent="0.25">
      <c r="A197" s="29"/>
      <c r="B197" s="11" t="str">
        <f>CONCATENATE("          ", "6285", " - ", "JANITORIAL SERVICES")</f>
        <v xml:space="preserve">          6285 - JANITORIAL SERVICES</v>
      </c>
      <c r="C197" s="11"/>
      <c r="D197" s="7">
        <v>4047.1</v>
      </c>
      <c r="E197" s="2"/>
      <c r="F197" s="6">
        <f t="shared" si="72"/>
        <v>1.1499456240038383E-2</v>
      </c>
      <c r="G197" s="2"/>
      <c r="H197" s="7">
        <v>3881.32</v>
      </c>
      <c r="I197" s="2"/>
      <c r="J197" s="6">
        <f t="shared" si="73"/>
        <v>1.0166898631490059E-2</v>
      </c>
      <c r="K197" s="2"/>
      <c r="L197" s="7">
        <f t="shared" si="74"/>
        <v>165.77999999999975</v>
      </c>
      <c r="M197" s="2"/>
      <c r="N197" s="6">
        <f t="shared" si="75"/>
        <v>4.271227314418799E-2</v>
      </c>
      <c r="O197" s="11"/>
      <c r="P197" s="7">
        <v>4047.1</v>
      </c>
      <c r="Q197" s="2"/>
      <c r="R197" s="6">
        <f t="shared" si="76"/>
        <v>1.1499456240038383E-2</v>
      </c>
      <c r="S197" s="2"/>
      <c r="T197" s="7">
        <v>3881.32</v>
      </c>
      <c r="U197" s="2"/>
      <c r="V197" s="6">
        <f t="shared" si="77"/>
        <v>1.0166898631490059E-2</v>
      </c>
      <c r="W197" s="2"/>
      <c r="X197" s="7">
        <f t="shared" si="78"/>
        <v>165.77999999999975</v>
      </c>
      <c r="Y197" s="2"/>
      <c r="Z197" s="6">
        <f t="shared" si="79"/>
        <v>4.271227314418799E-2</v>
      </c>
    </row>
    <row r="198" spans="1:26" s="28" customFormat="1" outlineLevel="1" collapsed="1" x14ac:dyDescent="0.25">
      <c r="A198" s="27"/>
      <c r="B198" s="14" t="str">
        <f>CONCATENATE("     ","Subscriptions &amp; Dues                              ")</f>
        <v xml:space="preserve">     Subscriptions &amp; Dues                              </v>
      </c>
      <c r="C198" s="14"/>
      <c r="D198" s="1">
        <f>SUM(OSRRefD22_19x_0)</f>
        <v>462.25</v>
      </c>
      <c r="E198" s="1"/>
      <c r="F198" s="5">
        <f t="shared" ref="F198:F200" si="80">IF(D$12=0,0,D198/D$12)</f>
        <v>1.313440153926946E-3</v>
      </c>
      <c r="G198" s="1"/>
      <c r="H198" s="1">
        <f>SUM(OSRRefH22_19x_0)</f>
        <v>749.19</v>
      </c>
      <c r="I198" s="1"/>
      <c r="J198" s="5">
        <f t="shared" ref="J198:J200" si="81">IF(H$12=0,0,H198/H$12)</f>
        <v>1.962460911681087E-3</v>
      </c>
      <c r="K198" s="1"/>
      <c r="L198" s="1">
        <f t="shared" ref="L198:L200" si="82">+D198-H198</f>
        <v>-286.94000000000005</v>
      </c>
      <c r="M198" s="1"/>
      <c r="N198" s="5">
        <f t="shared" ref="N198:N200" si="83">IF(H198=0,0,L198/H198)</f>
        <v>-0.38300030699822479</v>
      </c>
      <c r="O198" s="14"/>
      <c r="P198" s="1">
        <f>SUM(OSRRefP22_19x_0)</f>
        <v>462.25</v>
      </c>
      <c r="Q198" s="1"/>
      <c r="R198" s="5">
        <f t="shared" ref="R198:R200" si="84">IF(P$12=0,0,P198/P$12)</f>
        <v>1.313440153926946E-3</v>
      </c>
      <c r="S198" s="1"/>
      <c r="T198" s="1">
        <f>SUM(OSRRefT22_19x_0)</f>
        <v>749.19</v>
      </c>
      <c r="U198" s="1"/>
      <c r="V198" s="5">
        <f t="shared" ref="V198:V200" si="85">IF(T$12=0,0,T198/T$12)</f>
        <v>1.962460911681087E-3</v>
      </c>
      <c r="W198" s="1"/>
      <c r="X198" s="1">
        <f t="shared" ref="X198:X200" si="86">+P198-T198</f>
        <v>-286.94000000000005</v>
      </c>
      <c r="Y198" s="1"/>
      <c r="Z198" s="5">
        <f t="shared" ref="Z198:Z200" si="87">IF(T198=0,0,X198/T198)</f>
        <v>-0.38300030699822479</v>
      </c>
    </row>
    <row r="199" spans="1:26" s="24" customFormat="1" hidden="1" outlineLevel="2" x14ac:dyDescent="0.25">
      <c r="A199" s="29"/>
      <c r="B199" s="11" t="str">
        <f>CONCATENATE("          ", "6258", " - ", "MEMBERSHIP DUES")</f>
        <v xml:space="preserve">          6258 - MEMBERSHIP DUES</v>
      </c>
      <c r="C199" s="11"/>
      <c r="D199" s="7">
        <v>288.85000000000002</v>
      </c>
      <c r="E199" s="2"/>
      <c r="F199" s="6">
        <f t="shared" si="80"/>
        <v>8.207402670888012E-4</v>
      </c>
      <c r="G199" s="2"/>
      <c r="H199" s="7">
        <v>250</v>
      </c>
      <c r="I199" s="2"/>
      <c r="J199" s="6">
        <f t="shared" si="81"/>
        <v>6.5486088698497283E-4</v>
      </c>
      <c r="K199" s="2"/>
      <c r="L199" s="7">
        <f t="shared" si="82"/>
        <v>38.850000000000023</v>
      </c>
      <c r="M199" s="2"/>
      <c r="N199" s="6">
        <f t="shared" si="83"/>
        <v>0.15540000000000009</v>
      </c>
      <c r="O199" s="11"/>
      <c r="P199" s="7">
        <v>288.85000000000002</v>
      </c>
      <c r="Q199" s="2"/>
      <c r="R199" s="6">
        <f t="shared" si="84"/>
        <v>8.207402670888012E-4</v>
      </c>
      <c r="S199" s="2"/>
      <c r="T199" s="7">
        <v>250</v>
      </c>
      <c r="U199" s="2"/>
      <c r="V199" s="6">
        <f t="shared" si="85"/>
        <v>6.5486088698497283E-4</v>
      </c>
      <c r="W199" s="2"/>
      <c r="X199" s="7">
        <f t="shared" si="86"/>
        <v>38.850000000000023</v>
      </c>
      <c r="Y199" s="2"/>
      <c r="Z199" s="6">
        <f t="shared" si="87"/>
        <v>0.15540000000000009</v>
      </c>
    </row>
    <row r="200" spans="1:26" s="24" customFormat="1" hidden="1" outlineLevel="2" x14ac:dyDescent="0.25">
      <c r="A200" s="29"/>
      <c r="B200" s="11" t="str">
        <f>CONCATENATE("          ", "6275", " - ", "SUBSCRIPTIONS")</f>
        <v xml:space="preserve">          6275 - SUBSCRIPTIONS</v>
      </c>
      <c r="C200" s="11"/>
      <c r="D200" s="7">
        <v>173.4</v>
      </c>
      <c r="E200" s="2"/>
      <c r="F200" s="6">
        <f t="shared" si="80"/>
        <v>4.9269988683814478E-4</v>
      </c>
      <c r="G200" s="2"/>
      <c r="H200" s="7">
        <v>499.19</v>
      </c>
      <c r="I200" s="2"/>
      <c r="J200" s="6">
        <f t="shared" si="81"/>
        <v>1.3076000246961142E-3</v>
      </c>
      <c r="K200" s="2"/>
      <c r="L200" s="7">
        <f t="shared" si="82"/>
        <v>-325.78999999999996</v>
      </c>
      <c r="M200" s="2"/>
      <c r="N200" s="6">
        <f t="shared" si="83"/>
        <v>-0.65263727238125757</v>
      </c>
      <c r="O200" s="11"/>
      <c r="P200" s="7">
        <v>173.4</v>
      </c>
      <c r="Q200" s="2"/>
      <c r="R200" s="6">
        <f t="shared" si="84"/>
        <v>4.9269988683814478E-4</v>
      </c>
      <c r="S200" s="2"/>
      <c r="T200" s="7">
        <v>499.19</v>
      </c>
      <c r="U200" s="2"/>
      <c r="V200" s="6">
        <f t="shared" si="85"/>
        <v>1.3076000246961142E-3</v>
      </c>
      <c r="W200" s="2"/>
      <c r="X200" s="7">
        <f t="shared" si="86"/>
        <v>-325.78999999999996</v>
      </c>
      <c r="Y200" s="2"/>
      <c r="Z200" s="6">
        <f t="shared" si="87"/>
        <v>-0.65263727238125757</v>
      </c>
    </row>
    <row r="201" spans="1:26" s="28" customFormat="1" outlineLevel="1" collapsed="1" x14ac:dyDescent="0.25">
      <c r="A201" s="27"/>
      <c r="B201" s="14" t="str">
        <f>CONCATENATE("     ","Supplies                                          ")</f>
        <v xml:space="preserve">     Supplies                                          </v>
      </c>
      <c r="C201" s="14"/>
      <c r="D201" s="1">
        <f>SUM(OSRRefD22_20x_0)</f>
        <v>6945.5300000000007</v>
      </c>
      <c r="E201" s="1"/>
      <c r="F201" s="5">
        <f t="shared" ref="F201:F207" si="88">IF(D$12=0,0,D201/D$12)</f>
        <v>1.9735074077456401E-2</v>
      </c>
      <c r="G201" s="1"/>
      <c r="H201" s="1">
        <f>SUM(OSRRefH22_20x_0)</f>
        <v>24154.67</v>
      </c>
      <c r="I201" s="1"/>
      <c r="J201" s="5">
        <f t="shared" ref="J201:J207" si="89">IF(H$12=0,0,H201/H$12)</f>
        <v>6.3271794484117252E-2</v>
      </c>
      <c r="K201" s="1"/>
      <c r="L201" s="1">
        <f t="shared" ref="L201:L207" si="90">+D201-H201</f>
        <v>-17209.14</v>
      </c>
      <c r="M201" s="1"/>
      <c r="N201" s="5">
        <f t="shared" ref="N201:N207" si="91">IF(H201=0,0,L201/H201)</f>
        <v>-0.71245601782181256</v>
      </c>
      <c r="O201" s="14"/>
      <c r="P201" s="1">
        <f>SUM(OSRRefP22_20x_0)</f>
        <v>6945.5300000000007</v>
      </c>
      <c r="Q201" s="1"/>
      <c r="R201" s="5">
        <f t="shared" ref="R201:R207" si="92">IF(P$12=0,0,P201/P$12)</f>
        <v>1.9735074077456401E-2</v>
      </c>
      <c r="S201" s="1"/>
      <c r="T201" s="1">
        <f>SUM(OSRRefT22_20x_0)</f>
        <v>24154.67</v>
      </c>
      <c r="U201" s="1"/>
      <c r="V201" s="5">
        <f t="shared" ref="V201:V207" si="93">IF(T$12=0,0,T201/T$12)</f>
        <v>6.3271794484117252E-2</v>
      </c>
      <c r="W201" s="1"/>
      <c r="X201" s="1">
        <f t="shared" ref="X201:X207" si="94">+P201-T201</f>
        <v>-17209.14</v>
      </c>
      <c r="Y201" s="1"/>
      <c r="Z201" s="5">
        <f t="shared" ref="Z201:Z207" si="95">IF(T201=0,0,X201/T201)</f>
        <v>-0.71245601782181256</v>
      </c>
    </row>
    <row r="202" spans="1:26" s="24" customFormat="1" hidden="1" outlineLevel="2" x14ac:dyDescent="0.25">
      <c r="A202" s="29"/>
      <c r="B202" s="11" t="str">
        <f>CONCATENATE("          ", "6234", " - ", "EXPENDABLE SUPPLIES &amp; EQUIPMEN")</f>
        <v xml:space="preserve">          6234 - EXPENDABLE SUPPLIES &amp; EQUIPMEN</v>
      </c>
      <c r="C202" s="11"/>
      <c r="D202" s="7">
        <v>702.08</v>
      </c>
      <c r="E202" s="2"/>
      <c r="F202" s="6">
        <f t="shared" si="88"/>
        <v>1.9948946744597733E-3</v>
      </c>
      <c r="G202" s="2"/>
      <c r="H202" s="7">
        <v>357.21</v>
      </c>
      <c r="I202" s="2"/>
      <c r="J202" s="6">
        <f t="shared" si="89"/>
        <v>9.3569142975960843E-4</v>
      </c>
      <c r="K202" s="2"/>
      <c r="L202" s="7">
        <f t="shared" si="90"/>
        <v>344.87000000000006</v>
      </c>
      <c r="M202" s="2"/>
      <c r="N202" s="6">
        <f t="shared" si="91"/>
        <v>0.96545449455502386</v>
      </c>
      <c r="O202" s="11"/>
      <c r="P202" s="7">
        <v>702.08</v>
      </c>
      <c r="Q202" s="2"/>
      <c r="R202" s="6">
        <f t="shared" si="92"/>
        <v>1.9948946744597733E-3</v>
      </c>
      <c r="S202" s="2"/>
      <c r="T202" s="7">
        <v>357.21</v>
      </c>
      <c r="U202" s="2"/>
      <c r="V202" s="6">
        <f t="shared" si="93"/>
        <v>9.3569142975960843E-4</v>
      </c>
      <c r="W202" s="2"/>
      <c r="X202" s="7">
        <f t="shared" si="94"/>
        <v>344.87000000000006</v>
      </c>
      <c r="Y202" s="2"/>
      <c r="Z202" s="6">
        <f t="shared" si="95"/>
        <v>0.96545449455502386</v>
      </c>
    </row>
    <row r="203" spans="1:26" s="24" customFormat="1" hidden="1" outlineLevel="2" x14ac:dyDescent="0.25">
      <c r="A203" s="29"/>
      <c r="B203" s="11" t="str">
        <f>CONCATENATE("          ", "6237", " - ", "JANITORIAL SUPPLIES")</f>
        <v xml:space="preserve">          6237 - JANITORIAL SUPPLIES</v>
      </c>
      <c r="C203" s="11"/>
      <c r="D203" s="7">
        <v>448.83</v>
      </c>
      <c r="E203" s="2"/>
      <c r="F203" s="6">
        <f t="shared" si="88"/>
        <v>1.2753084787172117E-3</v>
      </c>
      <c r="G203" s="2"/>
      <c r="H203" s="7">
        <v>722.7</v>
      </c>
      <c r="I203" s="2"/>
      <c r="J203" s="6">
        <f t="shared" si="89"/>
        <v>1.8930718520961596E-3</v>
      </c>
      <c r="K203" s="2"/>
      <c r="L203" s="7">
        <f t="shared" si="90"/>
        <v>-273.87000000000006</v>
      </c>
      <c r="M203" s="2"/>
      <c r="N203" s="6">
        <f t="shared" si="91"/>
        <v>-0.37895392278953927</v>
      </c>
      <c r="O203" s="11"/>
      <c r="P203" s="7">
        <v>448.83</v>
      </c>
      <c r="Q203" s="2"/>
      <c r="R203" s="6">
        <f t="shared" si="92"/>
        <v>1.2753084787172117E-3</v>
      </c>
      <c r="S203" s="2"/>
      <c r="T203" s="7">
        <v>722.7</v>
      </c>
      <c r="U203" s="2"/>
      <c r="V203" s="6">
        <f t="shared" si="93"/>
        <v>1.8930718520961596E-3</v>
      </c>
      <c r="W203" s="2"/>
      <c r="X203" s="7">
        <f t="shared" si="94"/>
        <v>-273.87000000000006</v>
      </c>
      <c r="Y203" s="2"/>
      <c r="Z203" s="6">
        <f t="shared" si="95"/>
        <v>-0.37895392278953927</v>
      </c>
    </row>
    <row r="204" spans="1:26" s="24" customFormat="1" hidden="1" outlineLevel="2" x14ac:dyDescent="0.25">
      <c r="A204" s="29"/>
      <c r="B204" s="11" t="str">
        <f>CONCATENATE("          ", "6241", " - ", "OFFICE EXPENSE")</f>
        <v xml:space="preserve">          6241 - OFFICE EXPENSE</v>
      </c>
      <c r="C204" s="11"/>
      <c r="D204" s="7">
        <v>2397.67</v>
      </c>
      <c r="E204" s="2"/>
      <c r="F204" s="6">
        <f t="shared" si="88"/>
        <v>6.8127551192342251E-3</v>
      </c>
      <c r="G204" s="2"/>
      <c r="H204" s="7">
        <v>3095.27</v>
      </c>
      <c r="I204" s="2"/>
      <c r="J204" s="6">
        <f t="shared" si="89"/>
        <v>8.1078850306319072E-3</v>
      </c>
      <c r="K204" s="2"/>
      <c r="L204" s="7">
        <f t="shared" si="90"/>
        <v>-697.59999999999991</v>
      </c>
      <c r="M204" s="2"/>
      <c r="N204" s="6">
        <f t="shared" si="91"/>
        <v>-0.22537613843057308</v>
      </c>
      <c r="O204" s="11"/>
      <c r="P204" s="7">
        <v>2397.67</v>
      </c>
      <c r="Q204" s="2"/>
      <c r="R204" s="6">
        <f t="shared" si="92"/>
        <v>6.8127551192342251E-3</v>
      </c>
      <c r="S204" s="2"/>
      <c r="T204" s="7">
        <v>3095.27</v>
      </c>
      <c r="U204" s="2"/>
      <c r="V204" s="6">
        <f t="shared" si="93"/>
        <v>8.1078850306319072E-3</v>
      </c>
      <c r="W204" s="2"/>
      <c r="X204" s="7">
        <f t="shared" si="94"/>
        <v>-697.59999999999991</v>
      </c>
      <c r="Y204" s="2"/>
      <c r="Z204" s="6">
        <f t="shared" si="95"/>
        <v>-0.22537613843057308</v>
      </c>
    </row>
    <row r="205" spans="1:26" s="24" customFormat="1" hidden="1" outlineLevel="2" x14ac:dyDescent="0.25">
      <c r="A205" s="29"/>
      <c r="B205" s="11" t="str">
        <f>CONCATENATE("          ", "6243", " - ", "PAPER SUPPLIES")</f>
        <v xml:space="preserve">          6243 - PAPER SUPPLIES</v>
      </c>
      <c r="C205" s="11"/>
      <c r="D205" s="7">
        <v>1161.3399999999999</v>
      </c>
      <c r="E205" s="2"/>
      <c r="F205" s="6">
        <f t="shared" si="88"/>
        <v>3.2998390229562343E-3</v>
      </c>
      <c r="G205" s="2"/>
      <c r="H205" s="7">
        <v>2437.0300000000002</v>
      </c>
      <c r="I205" s="2"/>
      <c r="J205" s="6">
        <f t="shared" si="89"/>
        <v>6.3836625096359532E-3</v>
      </c>
      <c r="K205" s="2"/>
      <c r="L205" s="7">
        <f t="shared" si="90"/>
        <v>-1275.6900000000003</v>
      </c>
      <c r="M205" s="2"/>
      <c r="N205" s="6">
        <f t="shared" si="91"/>
        <v>-0.52346093400573657</v>
      </c>
      <c r="O205" s="11"/>
      <c r="P205" s="7">
        <v>1161.3399999999999</v>
      </c>
      <c r="Q205" s="2"/>
      <c r="R205" s="6">
        <f t="shared" si="92"/>
        <v>3.2998390229562343E-3</v>
      </c>
      <c r="S205" s="2"/>
      <c r="T205" s="7">
        <v>2437.0300000000002</v>
      </c>
      <c r="U205" s="2"/>
      <c r="V205" s="6">
        <f t="shared" si="93"/>
        <v>6.3836625096359532E-3</v>
      </c>
      <c r="W205" s="2"/>
      <c r="X205" s="7">
        <f t="shared" si="94"/>
        <v>-1275.6900000000003</v>
      </c>
      <c r="Y205" s="2"/>
      <c r="Z205" s="6">
        <f t="shared" si="95"/>
        <v>-0.52346093400573657</v>
      </c>
    </row>
    <row r="206" spans="1:26" s="24" customFormat="1" hidden="1" outlineLevel="2" x14ac:dyDescent="0.25">
      <c r="A206" s="29"/>
      <c r="B206" s="11" t="str">
        <f>CONCATENATE("          ", "6245", " - ", "PRINTING")</f>
        <v xml:space="preserve">          6245 - PRINTING</v>
      </c>
      <c r="C206" s="11"/>
      <c r="D206" s="7"/>
      <c r="E206" s="2"/>
      <c r="F206" s="6">
        <f t="shared" si="88"/>
        <v>0</v>
      </c>
      <c r="G206" s="2"/>
      <c r="H206" s="7">
        <v>1258.24</v>
      </c>
      <c r="I206" s="2"/>
      <c r="J206" s="6">
        <f t="shared" si="89"/>
        <v>3.2958886497598885E-3</v>
      </c>
      <c r="K206" s="2"/>
      <c r="L206" s="7">
        <f t="shared" si="90"/>
        <v>-1258.24</v>
      </c>
      <c r="M206" s="2"/>
      <c r="N206" s="6">
        <f t="shared" si="91"/>
        <v>-1</v>
      </c>
      <c r="O206" s="11"/>
      <c r="P206" s="7"/>
      <c r="Q206" s="2"/>
      <c r="R206" s="6">
        <f t="shared" si="92"/>
        <v>0</v>
      </c>
      <c r="S206" s="2"/>
      <c r="T206" s="7">
        <v>1258.24</v>
      </c>
      <c r="U206" s="2"/>
      <c r="V206" s="6">
        <f t="shared" si="93"/>
        <v>3.2958886497598885E-3</v>
      </c>
      <c r="W206" s="2"/>
      <c r="X206" s="7">
        <f t="shared" si="94"/>
        <v>-1258.24</v>
      </c>
      <c r="Y206" s="2"/>
      <c r="Z206" s="6">
        <f t="shared" si="95"/>
        <v>-1</v>
      </c>
    </row>
    <row r="207" spans="1:26" s="24" customFormat="1" hidden="1" outlineLevel="2" x14ac:dyDescent="0.25">
      <c r="A207" s="29"/>
      <c r="B207" s="11" t="str">
        <f>CONCATENATE("          ", "6247", " - ", "STORE SUPPLIES")</f>
        <v xml:space="preserve">          6247 - STORE SUPPLIES</v>
      </c>
      <c r="C207" s="11"/>
      <c r="D207" s="7">
        <v>2235.61</v>
      </c>
      <c r="E207" s="2"/>
      <c r="F207" s="6">
        <f t="shared" si="88"/>
        <v>6.3522767820889557E-3</v>
      </c>
      <c r="G207" s="2"/>
      <c r="H207" s="7">
        <v>16284.22</v>
      </c>
      <c r="I207" s="2"/>
      <c r="J207" s="6">
        <f t="shared" si="89"/>
        <v>4.2655595012233732E-2</v>
      </c>
      <c r="K207" s="2"/>
      <c r="L207" s="7">
        <f t="shared" si="90"/>
        <v>-14048.609999999999</v>
      </c>
      <c r="M207" s="2"/>
      <c r="N207" s="6">
        <f t="shared" si="91"/>
        <v>-0.8627131050796415</v>
      </c>
      <c r="O207" s="11"/>
      <c r="P207" s="7">
        <v>2235.61</v>
      </c>
      <c r="Q207" s="2"/>
      <c r="R207" s="6">
        <f t="shared" si="92"/>
        <v>6.3522767820889557E-3</v>
      </c>
      <c r="S207" s="2"/>
      <c r="T207" s="7">
        <v>16284.22</v>
      </c>
      <c r="U207" s="2"/>
      <c r="V207" s="6">
        <f t="shared" si="93"/>
        <v>4.2655595012233732E-2</v>
      </c>
      <c r="W207" s="2"/>
      <c r="X207" s="7">
        <f t="shared" si="94"/>
        <v>-14048.609999999999</v>
      </c>
      <c r="Y207" s="2"/>
      <c r="Z207" s="6">
        <f t="shared" si="95"/>
        <v>-0.8627131050796415</v>
      </c>
    </row>
    <row r="208" spans="1:26" s="28" customFormat="1" outlineLevel="1" collapsed="1" x14ac:dyDescent="0.25">
      <c r="A208" s="27"/>
      <c r="B208" s="14" t="str">
        <f>CONCATENATE("     ","Telephone/Data Lines                              ")</f>
        <v xml:space="preserve">     Telephone/Data Lines                              </v>
      </c>
      <c r="C208" s="14"/>
      <c r="D208" s="1">
        <f>SUM(OSRRefD22_21x_0)</f>
        <v>1789.27</v>
      </c>
      <c r="E208" s="1"/>
      <c r="F208" s="5">
        <f t="shared" ref="F208:F210" si="96">IF(D$12=0,0,D208/D$12)</f>
        <v>5.0840434055529835E-3</v>
      </c>
      <c r="G208" s="1"/>
      <c r="H208" s="1">
        <f>SUM(OSRRefH22_21x_0)</f>
        <v>1929.77</v>
      </c>
      <c r="I208" s="1"/>
      <c r="J208" s="5">
        <f t="shared" ref="J208:J210" si="97">IF(H$12=0,0,H208/H$12)</f>
        <v>5.0549235755079636E-3</v>
      </c>
      <c r="K208" s="1"/>
      <c r="L208" s="1">
        <f t="shared" ref="L208:L210" si="98">+D208-H208</f>
        <v>-140.5</v>
      </c>
      <c r="M208" s="1"/>
      <c r="N208" s="5">
        <f t="shared" ref="N208:N210" si="99">IF(H208=0,0,L208/H208)</f>
        <v>-7.2806603895801056E-2</v>
      </c>
      <c r="O208" s="14"/>
      <c r="P208" s="1">
        <f>SUM(OSRRefP22_21x_0)</f>
        <v>1789.27</v>
      </c>
      <c r="Q208" s="1"/>
      <c r="R208" s="5">
        <f t="shared" ref="R208:R210" si="100">IF(P$12=0,0,P208/P$12)</f>
        <v>5.0840434055529835E-3</v>
      </c>
      <c r="S208" s="1"/>
      <c r="T208" s="1">
        <f>SUM(OSRRefT22_21x_0)</f>
        <v>1929.77</v>
      </c>
      <c r="U208" s="1"/>
      <c r="V208" s="5">
        <f t="shared" ref="V208:V210" si="101">IF(T$12=0,0,T208/T$12)</f>
        <v>5.0549235755079636E-3</v>
      </c>
      <c r="W208" s="1"/>
      <c r="X208" s="1">
        <f t="shared" ref="X208:X210" si="102">+P208-T208</f>
        <v>-140.5</v>
      </c>
      <c r="Y208" s="1"/>
      <c r="Z208" s="5">
        <f t="shared" ref="Z208:Z210" si="103">IF(T208=0,0,X208/T208)</f>
        <v>-7.2806603895801056E-2</v>
      </c>
    </row>
    <row r="209" spans="1:26" s="24" customFormat="1" hidden="1" outlineLevel="2" x14ac:dyDescent="0.25">
      <c r="A209" s="29"/>
      <c r="B209" s="11" t="str">
        <f>CONCATENATE("          ", "6303", " - ", "DATA PHONE LINES")</f>
        <v xml:space="preserve">          6303 - DATA PHONE LINES</v>
      </c>
      <c r="C209" s="11"/>
      <c r="D209" s="7">
        <v>295</v>
      </c>
      <c r="E209" s="2"/>
      <c r="F209" s="6">
        <f t="shared" si="96"/>
        <v>8.3821491705451392E-4</v>
      </c>
      <c r="G209" s="2"/>
      <c r="H209" s="7"/>
      <c r="I209" s="2"/>
      <c r="J209" s="6">
        <f t="shared" si="97"/>
        <v>0</v>
      </c>
      <c r="K209" s="2"/>
      <c r="L209" s="7">
        <f t="shared" si="98"/>
        <v>295</v>
      </c>
      <c r="M209" s="2"/>
      <c r="N209" s="6">
        <f t="shared" si="99"/>
        <v>0</v>
      </c>
      <c r="O209" s="11"/>
      <c r="P209" s="7">
        <v>295</v>
      </c>
      <c r="Q209" s="2"/>
      <c r="R209" s="6">
        <f t="shared" si="100"/>
        <v>8.3821491705451392E-4</v>
      </c>
      <c r="S209" s="2"/>
      <c r="T209" s="7"/>
      <c r="U209" s="2"/>
      <c r="V209" s="6">
        <f t="shared" si="101"/>
        <v>0</v>
      </c>
      <c r="W209" s="2"/>
      <c r="X209" s="7">
        <f t="shared" si="102"/>
        <v>295</v>
      </c>
      <c r="Y209" s="2"/>
      <c r="Z209" s="6">
        <f t="shared" si="103"/>
        <v>0</v>
      </c>
    </row>
    <row r="210" spans="1:26" s="24" customFormat="1" hidden="1" outlineLevel="2" x14ac:dyDescent="0.25">
      <c r="A210" s="29"/>
      <c r="B210" s="11" t="str">
        <f>CONCATENATE("          ", "6309", " - ", "TELEPHONE")</f>
        <v xml:space="preserve">          6309 - TELEPHONE</v>
      </c>
      <c r="C210" s="11"/>
      <c r="D210" s="7">
        <v>1494.27</v>
      </c>
      <c r="E210" s="2"/>
      <c r="F210" s="6">
        <f t="shared" si="96"/>
        <v>4.2458284884984692E-3</v>
      </c>
      <c r="G210" s="2"/>
      <c r="H210" s="7">
        <v>1929.77</v>
      </c>
      <c r="I210" s="2"/>
      <c r="J210" s="6">
        <f t="shared" si="97"/>
        <v>5.0549235755079636E-3</v>
      </c>
      <c r="K210" s="2"/>
      <c r="L210" s="7">
        <f t="shared" si="98"/>
        <v>-435.5</v>
      </c>
      <c r="M210" s="2"/>
      <c r="N210" s="6">
        <f t="shared" si="99"/>
        <v>-0.2256745622535328</v>
      </c>
      <c r="O210" s="11"/>
      <c r="P210" s="7">
        <v>1494.27</v>
      </c>
      <c r="Q210" s="2"/>
      <c r="R210" s="6">
        <f t="shared" si="100"/>
        <v>4.2458284884984692E-3</v>
      </c>
      <c r="S210" s="2"/>
      <c r="T210" s="7">
        <v>1929.77</v>
      </c>
      <c r="U210" s="2"/>
      <c r="V210" s="6">
        <f t="shared" si="101"/>
        <v>5.0549235755079636E-3</v>
      </c>
      <c r="W210" s="2"/>
      <c r="X210" s="7">
        <f t="shared" si="102"/>
        <v>-435.5</v>
      </c>
      <c r="Y210" s="2"/>
      <c r="Z210" s="6">
        <f t="shared" si="103"/>
        <v>-0.2256745622535328</v>
      </c>
    </row>
    <row r="211" spans="1:26" s="28" customFormat="1" outlineLevel="1" collapsed="1" x14ac:dyDescent="0.25">
      <c r="A211" s="27"/>
      <c r="B211" s="14" t="str">
        <f>CONCATENATE("     ","Training                                          ")</f>
        <v xml:space="preserve">     Training                                          </v>
      </c>
      <c r="C211" s="14"/>
      <c r="D211" s="1">
        <f>SUM(OSRRefD22_22x_0)</f>
        <v>791.67</v>
      </c>
      <c r="E211" s="1"/>
      <c r="F211" s="5">
        <f t="shared" ref="F211:F216" si="104">IF(D$12=0,0,D211/D$12)</f>
        <v>2.2494562826594813E-3</v>
      </c>
      <c r="G211" s="1"/>
      <c r="H211" s="1">
        <f>SUM(OSRRefH22_22x_0)</f>
        <v>-20.86</v>
      </c>
      <c r="I211" s="1"/>
      <c r="J211" s="5">
        <f t="shared" ref="J211:J216" si="105">IF(H$12=0,0,H211/H$12)</f>
        <v>-5.4641592410026126E-5</v>
      </c>
      <c r="K211" s="1"/>
      <c r="L211" s="1">
        <f t="shared" ref="L211:L216" si="106">+D211-H211</f>
        <v>812.53</v>
      </c>
      <c r="M211" s="1"/>
      <c r="N211" s="5">
        <f t="shared" ref="N211:N216" si="107">IF(H211=0,0,L211/H211)</f>
        <v>-38.95158197507191</v>
      </c>
      <c r="O211" s="14"/>
      <c r="P211" s="1">
        <f>SUM(OSRRefP22_22x_0)</f>
        <v>791.67</v>
      </c>
      <c r="Q211" s="1"/>
      <c r="R211" s="5">
        <f t="shared" ref="R211:R216" si="108">IF(P$12=0,0,P211/P$12)</f>
        <v>2.2494562826594813E-3</v>
      </c>
      <c r="S211" s="1"/>
      <c r="T211" s="1">
        <f>SUM(OSRRefT22_22x_0)</f>
        <v>-20.86</v>
      </c>
      <c r="U211" s="1"/>
      <c r="V211" s="5">
        <f t="shared" ref="V211:V216" si="109">IF(T$12=0,0,T211/T$12)</f>
        <v>-5.4641592410026126E-5</v>
      </c>
      <c r="W211" s="1"/>
      <c r="X211" s="1">
        <f t="shared" ref="X211:X216" si="110">+P211-T211</f>
        <v>812.53</v>
      </c>
      <c r="Y211" s="1"/>
      <c r="Z211" s="5">
        <f t="shared" ref="Z211:Z216" si="111">IF(T211=0,0,X211/T211)</f>
        <v>-38.95158197507191</v>
      </c>
    </row>
    <row r="212" spans="1:26" s="24" customFormat="1" hidden="1" outlineLevel="2" x14ac:dyDescent="0.25">
      <c r="A212" s="29"/>
      <c r="B212" s="11" t="str">
        <f>CONCATENATE("          ", "6376", " - ", "TRAINING")</f>
        <v xml:space="preserve">          6376 - TRAINING</v>
      </c>
      <c r="C212" s="11"/>
      <c r="D212" s="7">
        <v>791.67</v>
      </c>
      <c r="E212" s="2"/>
      <c r="F212" s="6">
        <f t="shared" si="104"/>
        <v>2.2494562826594813E-3</v>
      </c>
      <c r="G212" s="2"/>
      <c r="H212" s="7">
        <v>-20.86</v>
      </c>
      <c r="I212" s="2"/>
      <c r="J212" s="6">
        <f t="shared" si="105"/>
        <v>-5.4641592410026126E-5</v>
      </c>
      <c r="K212" s="2"/>
      <c r="L212" s="7">
        <f t="shared" si="106"/>
        <v>812.53</v>
      </c>
      <c r="M212" s="2"/>
      <c r="N212" s="6">
        <f t="shared" si="107"/>
        <v>-38.95158197507191</v>
      </c>
      <c r="O212" s="11"/>
      <c r="P212" s="7">
        <v>791.67</v>
      </c>
      <c r="Q212" s="2"/>
      <c r="R212" s="6">
        <f t="shared" si="108"/>
        <v>2.2494562826594813E-3</v>
      </c>
      <c r="S212" s="2"/>
      <c r="T212" s="7">
        <v>-20.86</v>
      </c>
      <c r="U212" s="2"/>
      <c r="V212" s="6">
        <f t="shared" si="109"/>
        <v>-5.4641592410026126E-5</v>
      </c>
      <c r="W212" s="2"/>
      <c r="X212" s="7">
        <f t="shared" si="110"/>
        <v>812.53</v>
      </c>
      <c r="Y212" s="2"/>
      <c r="Z212" s="6">
        <f t="shared" si="111"/>
        <v>-38.95158197507191</v>
      </c>
    </row>
    <row r="213" spans="1:26" s="28" customFormat="1" outlineLevel="1" collapsed="1" x14ac:dyDescent="0.25">
      <c r="A213" s="27"/>
      <c r="B213" s="14" t="str">
        <f>CONCATENATE("     ","Travel                                            ")</f>
        <v xml:space="preserve">     Travel                                            </v>
      </c>
      <c r="C213" s="14"/>
      <c r="D213" s="1">
        <f>SUM(OSRRefD22_23x_0)</f>
        <v>221.68</v>
      </c>
      <c r="E213" s="1"/>
      <c r="F213" s="5">
        <f t="shared" si="104"/>
        <v>6.2988299258523613E-4</v>
      </c>
      <c r="G213" s="1"/>
      <c r="H213" s="1">
        <f>SUM(OSRRefH22_23x_0)</f>
        <v>244.25</v>
      </c>
      <c r="I213" s="1"/>
      <c r="J213" s="5">
        <f t="shared" si="105"/>
        <v>6.3979908658431841E-4</v>
      </c>
      <c r="K213" s="1"/>
      <c r="L213" s="1">
        <f t="shared" si="106"/>
        <v>-22.569999999999993</v>
      </c>
      <c r="M213" s="1"/>
      <c r="N213" s="5">
        <f t="shared" si="107"/>
        <v>-9.2405322415557808E-2</v>
      </c>
      <c r="O213" s="14"/>
      <c r="P213" s="1">
        <f>SUM(OSRRefP22_23x_0)</f>
        <v>221.68</v>
      </c>
      <c r="Q213" s="1"/>
      <c r="R213" s="5">
        <f t="shared" si="108"/>
        <v>6.2988299258523613E-4</v>
      </c>
      <c r="S213" s="1"/>
      <c r="T213" s="1">
        <f>SUM(OSRRefT22_23x_0)</f>
        <v>244.25</v>
      </c>
      <c r="U213" s="1"/>
      <c r="V213" s="5">
        <f t="shared" si="109"/>
        <v>6.3979908658431841E-4</v>
      </c>
      <c r="W213" s="1"/>
      <c r="X213" s="1">
        <f t="shared" si="110"/>
        <v>-22.569999999999993</v>
      </c>
      <c r="Y213" s="1"/>
      <c r="Z213" s="5">
        <f t="shared" si="111"/>
        <v>-9.2405322415557808E-2</v>
      </c>
    </row>
    <row r="214" spans="1:26" s="24" customFormat="1" hidden="1" outlineLevel="2" x14ac:dyDescent="0.25">
      <c r="A214" s="29"/>
      <c r="B214" s="11" t="str">
        <f>CONCATENATE("          ", "6292", " - ", "TRAVEL/CONFERENCE")</f>
        <v xml:space="preserve">          6292 - TRAVEL/CONFERENCE</v>
      </c>
      <c r="C214" s="11"/>
      <c r="D214" s="7">
        <v>150.47999999999999</v>
      </c>
      <c r="E214" s="2"/>
      <c r="F214" s="6">
        <f t="shared" si="104"/>
        <v>4.2757484989275677E-4</v>
      </c>
      <c r="G214" s="2"/>
      <c r="H214" s="7">
        <v>123.84</v>
      </c>
      <c r="I214" s="2"/>
      <c r="J214" s="6">
        <f t="shared" si="105"/>
        <v>3.2439188897687615E-4</v>
      </c>
      <c r="K214" s="2"/>
      <c r="L214" s="7">
        <f t="shared" si="106"/>
        <v>26.639999999999986</v>
      </c>
      <c r="M214" s="2"/>
      <c r="N214" s="6">
        <f t="shared" si="107"/>
        <v>0.21511627906976732</v>
      </c>
      <c r="O214" s="11"/>
      <c r="P214" s="7">
        <v>150.47999999999999</v>
      </c>
      <c r="Q214" s="2"/>
      <c r="R214" s="6">
        <f t="shared" si="108"/>
        <v>4.2757484989275677E-4</v>
      </c>
      <c r="S214" s="2"/>
      <c r="T214" s="7">
        <v>123.84</v>
      </c>
      <c r="U214" s="2"/>
      <c r="V214" s="6">
        <f t="shared" si="109"/>
        <v>3.2439188897687615E-4</v>
      </c>
      <c r="W214" s="2"/>
      <c r="X214" s="7">
        <f t="shared" si="110"/>
        <v>26.639999999999986</v>
      </c>
      <c r="Y214" s="2"/>
      <c r="Z214" s="6">
        <f t="shared" si="111"/>
        <v>0.21511627906976732</v>
      </c>
    </row>
    <row r="215" spans="1:26" s="24" customFormat="1" hidden="1" outlineLevel="2" x14ac:dyDescent="0.25">
      <c r="A215" s="29"/>
      <c r="B215" s="11" t="str">
        <f>CONCATENATE("          ", "6294", " - ", "TRAVEL OPERATIONAL")</f>
        <v xml:space="preserve">          6294 - TRAVEL OPERATIONAL</v>
      </c>
      <c r="C215" s="11"/>
      <c r="D215" s="7"/>
      <c r="E215" s="2"/>
      <c r="F215" s="6">
        <f t="shared" si="104"/>
        <v>0</v>
      </c>
      <c r="G215" s="2"/>
      <c r="H215" s="7">
        <v>97.06</v>
      </c>
      <c r="I215" s="2"/>
      <c r="J215" s="6">
        <f t="shared" si="105"/>
        <v>2.5424319076304585E-4</v>
      </c>
      <c r="K215" s="2"/>
      <c r="L215" s="7">
        <f t="shared" si="106"/>
        <v>-97.06</v>
      </c>
      <c r="M215" s="2"/>
      <c r="N215" s="6">
        <f t="shared" si="107"/>
        <v>-1</v>
      </c>
      <c r="O215" s="11"/>
      <c r="P215" s="7"/>
      <c r="Q215" s="2"/>
      <c r="R215" s="6">
        <f t="shared" si="108"/>
        <v>0</v>
      </c>
      <c r="S215" s="2"/>
      <c r="T215" s="7">
        <v>97.06</v>
      </c>
      <c r="U215" s="2"/>
      <c r="V215" s="6">
        <f t="shared" si="109"/>
        <v>2.5424319076304585E-4</v>
      </c>
      <c r="W215" s="2"/>
      <c r="X215" s="7">
        <f t="shared" si="110"/>
        <v>-97.06</v>
      </c>
      <c r="Y215" s="2"/>
      <c r="Z215" s="6">
        <f t="shared" si="111"/>
        <v>-1</v>
      </c>
    </row>
    <row r="216" spans="1:26" s="24" customFormat="1" hidden="1" outlineLevel="2" x14ac:dyDescent="0.25">
      <c r="A216" s="29"/>
      <c r="B216" s="11" t="str">
        <f>CONCATENATE("          ", "6298", " - ", "VEHICLE MILEAGE")</f>
        <v xml:space="preserve">          6298 - VEHICLE MILEAGE</v>
      </c>
      <c r="C216" s="11"/>
      <c r="D216" s="7">
        <v>71.2</v>
      </c>
      <c r="E216" s="2"/>
      <c r="F216" s="6">
        <f t="shared" si="104"/>
        <v>2.0230814269247931E-4</v>
      </c>
      <c r="G216" s="2"/>
      <c r="H216" s="7">
        <v>23.35</v>
      </c>
      <c r="I216" s="2"/>
      <c r="J216" s="6">
        <f t="shared" si="105"/>
        <v>6.1164006844396468E-5</v>
      </c>
      <c r="K216" s="2"/>
      <c r="L216" s="7">
        <f t="shared" si="106"/>
        <v>47.85</v>
      </c>
      <c r="M216" s="2"/>
      <c r="N216" s="6">
        <f t="shared" si="107"/>
        <v>2.0492505353319057</v>
      </c>
      <c r="O216" s="11"/>
      <c r="P216" s="7">
        <v>71.2</v>
      </c>
      <c r="Q216" s="2"/>
      <c r="R216" s="6">
        <f t="shared" si="108"/>
        <v>2.0230814269247931E-4</v>
      </c>
      <c r="S216" s="2"/>
      <c r="T216" s="7">
        <v>23.35</v>
      </c>
      <c r="U216" s="2"/>
      <c r="V216" s="6">
        <f t="shared" si="109"/>
        <v>6.1164006844396468E-5</v>
      </c>
      <c r="W216" s="2"/>
      <c r="X216" s="7">
        <f t="shared" si="110"/>
        <v>47.85</v>
      </c>
      <c r="Y216" s="2"/>
      <c r="Z216" s="6">
        <f t="shared" si="111"/>
        <v>2.0492505353319057</v>
      </c>
    </row>
    <row r="217" spans="1:26" s="28" customFormat="1" outlineLevel="1" collapsed="1" x14ac:dyDescent="0.25">
      <c r="A217" s="27"/>
      <c r="B217" s="14" t="str">
        <f>CONCATENATE("     ","Utilities                                         ")</f>
        <v xml:space="preserve">     Utilities                                         </v>
      </c>
      <c r="C217" s="14"/>
      <c r="D217" s="1">
        <f>SUM(OSRRefD22_24x_0)</f>
        <v>5636</v>
      </c>
      <c r="E217" s="1"/>
      <c r="F217" s="5">
        <f t="shared" ref="F217:F218" si="112">IF(D$12=0,0,D217/D$12)</f>
        <v>1.6014167025488951E-2</v>
      </c>
      <c r="G217" s="1"/>
      <c r="H217" s="1">
        <f>SUM(OSRRefH22_24x_0)</f>
        <v>6015.25</v>
      </c>
      <c r="I217" s="1"/>
      <c r="J217" s="5">
        <f t="shared" ref="J217:J218" si="113">IF(H$12=0,0,H217/H$12)</f>
        <v>1.5756607801745429E-2</v>
      </c>
      <c r="K217" s="1"/>
      <c r="L217" s="1">
        <f t="shared" ref="L217:L218" si="114">+D217-H217</f>
        <v>-379.25</v>
      </c>
      <c r="M217" s="1"/>
      <c r="N217" s="5">
        <f t="shared" ref="N217:N218" si="115">IF(H217=0,0,L217/H217)</f>
        <v>-6.3048086114459084E-2</v>
      </c>
      <c r="O217" s="14"/>
      <c r="P217" s="1">
        <f>SUM(OSRRefP22_24x_0)</f>
        <v>5636</v>
      </c>
      <c r="Q217" s="1"/>
      <c r="R217" s="5">
        <f t="shared" ref="R217:R218" si="116">IF(P$12=0,0,P217/P$12)</f>
        <v>1.6014167025488951E-2</v>
      </c>
      <c r="S217" s="1"/>
      <c r="T217" s="1">
        <f>SUM(OSRRefT22_24x_0)</f>
        <v>6015.25</v>
      </c>
      <c r="U217" s="1"/>
      <c r="V217" s="5">
        <f t="shared" ref="V217:V218" si="117">IF(T$12=0,0,T217/T$12)</f>
        <v>1.5756607801745429E-2</v>
      </c>
      <c r="W217" s="1"/>
      <c r="X217" s="1">
        <f t="shared" ref="X217:X218" si="118">+P217-T217</f>
        <v>-379.25</v>
      </c>
      <c r="Y217" s="1"/>
      <c r="Z217" s="5">
        <f t="shared" ref="Z217:Z218" si="119">IF(T217=0,0,X217/T217)</f>
        <v>-6.3048086114459084E-2</v>
      </c>
    </row>
    <row r="218" spans="1:26" s="24" customFormat="1" hidden="1" outlineLevel="2" x14ac:dyDescent="0.25">
      <c r="A218" s="29"/>
      <c r="B218" s="11" t="str">
        <f>CONCATENATE("          ", "6274", " - ", "UTILITIES")</f>
        <v xml:space="preserve">          6274 - UTILITIES</v>
      </c>
      <c r="C218" s="11"/>
      <c r="D218" s="7">
        <v>5636</v>
      </c>
      <c r="E218" s="2"/>
      <c r="F218" s="6">
        <f t="shared" si="112"/>
        <v>1.6014167025488951E-2</v>
      </c>
      <c r="G218" s="2"/>
      <c r="H218" s="7">
        <v>6015.25</v>
      </c>
      <c r="I218" s="2"/>
      <c r="J218" s="6">
        <f t="shared" si="113"/>
        <v>1.5756607801745429E-2</v>
      </c>
      <c r="K218" s="2"/>
      <c r="L218" s="7">
        <f t="shared" si="114"/>
        <v>-379.25</v>
      </c>
      <c r="M218" s="2"/>
      <c r="N218" s="6">
        <f t="shared" si="115"/>
        <v>-6.3048086114459084E-2</v>
      </c>
      <c r="O218" s="11"/>
      <c r="P218" s="7">
        <v>5636</v>
      </c>
      <c r="Q218" s="2"/>
      <c r="R218" s="6">
        <f t="shared" si="116"/>
        <v>1.6014167025488951E-2</v>
      </c>
      <c r="S218" s="2"/>
      <c r="T218" s="7">
        <v>6015.25</v>
      </c>
      <c r="U218" s="2"/>
      <c r="V218" s="6">
        <f t="shared" si="117"/>
        <v>1.5756607801745429E-2</v>
      </c>
      <c r="W218" s="2"/>
      <c r="X218" s="7">
        <f t="shared" si="118"/>
        <v>-379.25</v>
      </c>
      <c r="Y218" s="2"/>
      <c r="Z218" s="6">
        <f t="shared" si="119"/>
        <v>-6.3048086114459084E-2</v>
      </c>
    </row>
    <row r="219" spans="1:26" s="54" customFormat="1" x14ac:dyDescent="0.25">
      <c r="A219" s="37"/>
      <c r="B219" s="37"/>
      <c r="C219" s="37"/>
      <c r="D219" s="1"/>
      <c r="E219" s="1"/>
      <c r="F219" s="5"/>
      <c r="G219" s="1"/>
      <c r="H219" s="1"/>
      <c r="I219" s="1"/>
      <c r="J219" s="5"/>
      <c r="K219" s="1"/>
      <c r="L219" s="1"/>
      <c r="M219" s="1"/>
      <c r="N219" s="5"/>
      <c r="O219" s="37"/>
      <c r="P219" s="1"/>
      <c r="Q219" s="1"/>
      <c r="R219" s="5"/>
      <c r="S219" s="1"/>
      <c r="T219" s="1"/>
      <c r="U219" s="1"/>
      <c r="V219" s="5"/>
      <c r="W219" s="1"/>
      <c r="X219" s="1"/>
      <c r="Y219" s="1"/>
      <c r="Z219" s="5"/>
    </row>
    <row r="220" spans="1:26" s="23" customFormat="1" collapsed="1" x14ac:dyDescent="0.25">
      <c r="A220" s="10"/>
      <c r="B220" s="26" t="s">
        <v>0</v>
      </c>
      <c r="C220" s="10"/>
      <c r="D220" s="4">
        <f>SUM(OSRRefD25x_0)</f>
        <v>70867.109999999986</v>
      </c>
      <c r="E220" s="4"/>
      <c r="F220" s="12">
        <f t="shared" ref="F220:F225" si="120">IF(D$12=0,0,D220/D$12)</f>
        <v>0.20136226688319694</v>
      </c>
      <c r="G220" s="4"/>
      <c r="H220" s="4">
        <f>SUM(OSRRefH25x_0)</f>
        <v>79962.559999999998</v>
      </c>
      <c r="I220" s="4"/>
      <c r="J220" s="12">
        <f t="shared" ref="J220:J225" si="121">IF(H$12=0,0,H220/H$12)</f>
        <v>0.20945741186875641</v>
      </c>
      <c r="K220" s="4"/>
      <c r="L220" s="4">
        <f t="shared" ref="L220:L225" si="122">+D220-H220</f>
        <v>-9095.4500000000116</v>
      </c>
      <c r="M220" s="4"/>
      <c r="N220" s="12">
        <f t="shared" ref="N220:N225" si="123">IF(H220=0,0,L220/H220)</f>
        <v>-0.11374635829568253</v>
      </c>
      <c r="O220" s="10"/>
      <c r="P220" s="4">
        <f>SUM(OSRRefP25x_0)</f>
        <v>70867.109999999986</v>
      </c>
      <c r="Q220" s="4"/>
      <c r="R220" s="12">
        <f t="shared" ref="R220:R225" si="124">IF(P$12=0,0,P220/P$12)</f>
        <v>0.20136226688319694</v>
      </c>
      <c r="S220" s="4"/>
      <c r="T220" s="4">
        <f>SUM(OSRRefT25x_0)</f>
        <v>79962.559999999998</v>
      </c>
      <c r="U220" s="4"/>
      <c r="V220" s="12">
        <f t="shared" ref="V220:V225" si="125">IF(T$12=0,0,T220/T$12)</f>
        <v>0.20945741186875641</v>
      </c>
      <c r="W220" s="4"/>
      <c r="X220" s="4">
        <f t="shared" ref="X220:X225" si="126">+P220-T220</f>
        <v>-9095.4500000000116</v>
      </c>
      <c r="Y220" s="4"/>
      <c r="Z220" s="12">
        <f t="shared" ref="Z220:Z225" si="127">IF(T220=0,0,X220/T220)</f>
        <v>-0.11374635829568253</v>
      </c>
    </row>
    <row r="221" spans="1:26" s="24" customFormat="1" hidden="1" outlineLevel="1" x14ac:dyDescent="0.25">
      <c r="A221" s="50"/>
      <c r="B221" s="11" t="str">
        <f>CONCATENATE("          ", "4098", " - ", "TAXABLE SALES-GRAD RENTALS")</f>
        <v xml:space="preserve">          4098 - TAXABLE SALES-GRAD RENTALS</v>
      </c>
      <c r="C221" s="11"/>
      <c r="D221" s="2">
        <f>--74.7</f>
        <v>74.7</v>
      </c>
      <c r="E221" s="2"/>
      <c r="F221" s="22">
        <f t="shared" si="120"/>
        <v>2.1225306543719386E-4</v>
      </c>
      <c r="G221" s="2"/>
      <c r="H221" s="2">
        <f>0</f>
        <v>0</v>
      </c>
      <c r="I221" s="2"/>
      <c r="J221" s="22">
        <f t="shared" si="121"/>
        <v>0</v>
      </c>
      <c r="K221" s="2"/>
      <c r="L221" s="2">
        <f t="shared" si="122"/>
        <v>74.7</v>
      </c>
      <c r="M221" s="2"/>
      <c r="N221" s="22">
        <f t="shared" si="123"/>
        <v>0</v>
      </c>
      <c r="O221" s="11"/>
      <c r="P221" s="2">
        <f>--74.7</f>
        <v>74.7</v>
      </c>
      <c r="Q221" s="2"/>
      <c r="R221" s="22">
        <f t="shared" si="124"/>
        <v>2.1225306543719386E-4</v>
      </c>
      <c r="S221" s="2"/>
      <c r="T221" s="2">
        <f>0</f>
        <v>0</v>
      </c>
      <c r="U221" s="2"/>
      <c r="V221" s="22">
        <f t="shared" si="125"/>
        <v>0</v>
      </c>
      <c r="W221" s="2"/>
      <c r="X221" s="2">
        <f t="shared" si="126"/>
        <v>74.7</v>
      </c>
      <c r="Y221" s="2"/>
      <c r="Z221" s="22">
        <f t="shared" si="127"/>
        <v>0</v>
      </c>
    </row>
    <row r="222" spans="1:26" s="24" customFormat="1" hidden="1" outlineLevel="1" x14ac:dyDescent="0.25">
      <c r="A222" s="50"/>
      <c r="B222" s="11" t="str">
        <f>CONCATENATE("          ", "4198", " - ", "NON-TAXABLE SALES-GRAD RENTALS")</f>
        <v xml:space="preserve">          4198 - NON-TAXABLE SALES-GRAD RENTALS</v>
      </c>
      <c r="C222" s="11"/>
      <c r="D222" s="2">
        <f>--255</f>
        <v>255</v>
      </c>
      <c r="E222" s="2"/>
      <c r="F222" s="22">
        <f t="shared" si="120"/>
        <v>7.2455865711491883E-4</v>
      </c>
      <c r="G222" s="2"/>
      <c r="H222" s="2">
        <f>--345</f>
        <v>345</v>
      </c>
      <c r="I222" s="2"/>
      <c r="J222" s="22">
        <f t="shared" si="121"/>
        <v>9.0370802403926247E-4</v>
      </c>
      <c r="K222" s="2"/>
      <c r="L222" s="2">
        <f t="shared" si="122"/>
        <v>-90</v>
      </c>
      <c r="M222" s="2"/>
      <c r="N222" s="22">
        <f t="shared" si="123"/>
        <v>-0.2608695652173913</v>
      </c>
      <c r="O222" s="11"/>
      <c r="P222" s="2">
        <f>--255</f>
        <v>255</v>
      </c>
      <c r="Q222" s="2"/>
      <c r="R222" s="22">
        <f t="shared" si="124"/>
        <v>7.2455865711491883E-4</v>
      </c>
      <c r="S222" s="2"/>
      <c r="T222" s="2">
        <f>--345</f>
        <v>345</v>
      </c>
      <c r="U222" s="2"/>
      <c r="V222" s="22">
        <f t="shared" si="125"/>
        <v>9.0370802403926247E-4</v>
      </c>
      <c r="W222" s="2"/>
      <c r="X222" s="2">
        <f t="shared" si="126"/>
        <v>-90</v>
      </c>
      <c r="Y222" s="2"/>
      <c r="Z222" s="22">
        <f t="shared" si="127"/>
        <v>-0.2608695652173913</v>
      </c>
    </row>
    <row r="223" spans="1:26" s="24" customFormat="1" hidden="1" outlineLevel="1" x14ac:dyDescent="0.25">
      <c r="A223" s="50"/>
      <c r="B223" s="11" t="str">
        <f>CONCATENATE("          ", "9150", " - ", "MISC. INCOME")</f>
        <v xml:space="preserve">          9150 - MISC. INCOME</v>
      </c>
      <c r="C223" s="11"/>
      <c r="D223" s="2">
        <f>--70631.9</f>
        <v>70631.899999999994</v>
      </c>
      <c r="E223" s="2"/>
      <c r="F223" s="22">
        <f t="shared" si="120"/>
        <v>0.20069393966068716</v>
      </c>
      <c r="G223" s="2"/>
      <c r="H223" s="2">
        <f>--78585.86</f>
        <v>78585.86</v>
      </c>
      <c r="I223" s="2"/>
      <c r="J223" s="22">
        <f t="shared" si="121"/>
        <v>0.20585122393630759</v>
      </c>
      <c r="K223" s="2"/>
      <c r="L223" s="2">
        <f t="shared" si="122"/>
        <v>-7953.9600000000064</v>
      </c>
      <c r="M223" s="2"/>
      <c r="N223" s="22">
        <f t="shared" si="123"/>
        <v>-0.10121362799872657</v>
      </c>
      <c r="O223" s="11"/>
      <c r="P223" s="2">
        <f>--70631.9</f>
        <v>70631.899999999994</v>
      </c>
      <c r="Q223" s="2"/>
      <c r="R223" s="22">
        <f t="shared" si="124"/>
        <v>0.20069393966068716</v>
      </c>
      <c r="S223" s="2"/>
      <c r="T223" s="2">
        <f>--78585.86</f>
        <v>78585.86</v>
      </c>
      <c r="U223" s="2"/>
      <c r="V223" s="22">
        <f t="shared" si="125"/>
        <v>0.20585122393630759</v>
      </c>
      <c r="W223" s="2"/>
      <c r="X223" s="2">
        <f t="shared" si="126"/>
        <v>-7953.9600000000064</v>
      </c>
      <c r="Y223" s="2"/>
      <c r="Z223" s="22">
        <f t="shared" si="127"/>
        <v>-0.10121362799872657</v>
      </c>
    </row>
    <row r="224" spans="1:26" s="24" customFormat="1" hidden="1" outlineLevel="1" x14ac:dyDescent="0.25">
      <c r="A224" s="50"/>
      <c r="B224" s="11" t="str">
        <f>CONCATENATE("          ", "9151", " - ", "MISC. INCOME")</f>
        <v xml:space="preserve">          9151 - MISC. INCOME</v>
      </c>
      <c r="C224" s="11"/>
      <c r="D224" s="2">
        <f>-94.49</f>
        <v>-94.49</v>
      </c>
      <c r="E224" s="2"/>
      <c r="F224" s="22">
        <f t="shared" si="120"/>
        <v>-2.6848450004230854E-4</v>
      </c>
      <c r="G224" s="2"/>
      <c r="H224" s="2">
        <f>--259.36</f>
        <v>259.36</v>
      </c>
      <c r="I224" s="2"/>
      <c r="J224" s="22">
        <f t="shared" si="121"/>
        <v>6.7937887859369022E-4</v>
      </c>
      <c r="K224" s="2"/>
      <c r="L224" s="2">
        <f t="shared" si="122"/>
        <v>-353.85</v>
      </c>
      <c r="M224" s="2"/>
      <c r="N224" s="22">
        <f t="shared" si="123"/>
        <v>-1.3643198642813079</v>
      </c>
      <c r="O224" s="11"/>
      <c r="P224" s="2">
        <f>-94.49</f>
        <v>-94.49</v>
      </c>
      <c r="Q224" s="2"/>
      <c r="R224" s="22">
        <f t="shared" si="124"/>
        <v>-2.6848450004230854E-4</v>
      </c>
      <c r="S224" s="2"/>
      <c r="T224" s="2">
        <f>--259.36</f>
        <v>259.36</v>
      </c>
      <c r="U224" s="2"/>
      <c r="V224" s="22">
        <f t="shared" si="125"/>
        <v>6.7937887859369022E-4</v>
      </c>
      <c r="W224" s="2"/>
      <c r="X224" s="2">
        <f t="shared" si="126"/>
        <v>-353.85</v>
      </c>
      <c r="Y224" s="2"/>
      <c r="Z224" s="22">
        <f t="shared" si="127"/>
        <v>-1.3643198642813079</v>
      </c>
    </row>
    <row r="225" spans="1:26" s="24" customFormat="1" hidden="1" outlineLevel="1" x14ac:dyDescent="0.25">
      <c r="A225" s="50"/>
      <c r="B225" s="11" t="str">
        <f>CONCATENATE("          ", "9152", " - ", "MISC. INCOME")</f>
        <v xml:space="preserve">          9152 - MISC. INCOME</v>
      </c>
      <c r="C225" s="11"/>
      <c r="D225" s="2">
        <f>0</f>
        <v>0</v>
      </c>
      <c r="E225" s="2"/>
      <c r="F225" s="22">
        <f t="shared" si="120"/>
        <v>0</v>
      </c>
      <c r="G225" s="2"/>
      <c r="H225" s="2">
        <f>--772.34</f>
        <v>772.34</v>
      </c>
      <c r="I225" s="2"/>
      <c r="J225" s="22">
        <f t="shared" si="121"/>
        <v>2.0231010298158957E-3</v>
      </c>
      <c r="K225" s="2"/>
      <c r="L225" s="2">
        <f t="shared" si="122"/>
        <v>-772.34</v>
      </c>
      <c r="M225" s="2"/>
      <c r="N225" s="22">
        <f t="shared" si="123"/>
        <v>-1</v>
      </c>
      <c r="O225" s="11"/>
      <c r="P225" s="2">
        <f>0</f>
        <v>0</v>
      </c>
      <c r="Q225" s="2"/>
      <c r="R225" s="22">
        <f t="shared" si="124"/>
        <v>0</v>
      </c>
      <c r="S225" s="2"/>
      <c r="T225" s="2">
        <f>--772.34</f>
        <v>772.34</v>
      </c>
      <c r="U225" s="2"/>
      <c r="V225" s="22">
        <f t="shared" si="125"/>
        <v>2.0231010298158957E-3</v>
      </c>
      <c r="W225" s="2"/>
      <c r="X225" s="2">
        <f t="shared" si="126"/>
        <v>-772.34</v>
      </c>
      <c r="Y225" s="2"/>
      <c r="Z225" s="22">
        <f t="shared" si="127"/>
        <v>-1</v>
      </c>
    </row>
    <row r="226" spans="1:26" x14ac:dyDescent="0.25">
      <c r="A226" s="9"/>
      <c r="B226" s="10"/>
      <c r="C226" s="10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O226" s="10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25">
      <c r="A227" s="10"/>
      <c r="B227" s="25" t="s">
        <v>3</v>
      </c>
      <c r="C227" s="25"/>
      <c r="D227" s="21">
        <f>+D133-D135+D220</f>
        <v>-126882.22999999989</v>
      </c>
      <c r="E227" s="13"/>
      <c r="F227" s="20">
        <f>IF(D$12=0,0,D227/D$12)</f>
        <v>-0.36052399286488701</v>
      </c>
      <c r="G227" s="13"/>
      <c r="H227" s="21">
        <f>+H133-H135+H220</f>
        <v>-163522.61000000019</v>
      </c>
      <c r="I227" s="13"/>
      <c r="J227" s="20">
        <f>IF(H$12=0,0,H227/H$12)</f>
        <v>-0.42833824570679163</v>
      </c>
      <c r="K227" s="16"/>
      <c r="L227" s="21">
        <f>+D227-H227</f>
        <v>36640.380000000296</v>
      </c>
      <c r="M227" s="16"/>
      <c r="N227" s="20">
        <f>IF(H227=0,0,L227/H227)</f>
        <v>-0.22406919752565257</v>
      </c>
      <c r="O227" s="26"/>
      <c r="P227" s="21">
        <f>+P133-P135+P220</f>
        <v>-126882.22999999989</v>
      </c>
      <c r="Q227" s="13"/>
      <c r="R227" s="20">
        <f>IF(P$12=0,0,P227/P$12)</f>
        <v>-0.36052399286488701</v>
      </c>
      <c r="S227" s="13"/>
      <c r="T227" s="21">
        <f>+T133-T135+T220</f>
        <v>-163522.61000000019</v>
      </c>
      <c r="U227" s="13"/>
      <c r="V227" s="20">
        <f>IF(T$12=0,0,T227/T$12)</f>
        <v>-0.42833824570679163</v>
      </c>
      <c r="W227" s="16"/>
      <c r="X227" s="21">
        <f>+P227-T227</f>
        <v>36640.380000000296</v>
      </c>
      <c r="Y227" s="16"/>
      <c r="Z227" s="20">
        <f>IF(T227=0,0,X227/T227)</f>
        <v>-0.22406919752565257</v>
      </c>
    </row>
    <row r="228" spans="1:26" x14ac:dyDescent="0.25">
      <c r="A228" s="9"/>
      <c r="B228" s="10"/>
      <c r="C228" s="9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x14ac:dyDescent="0.25">
      <c r="A229" s="51"/>
      <c r="B229" s="10" t="s">
        <v>13</v>
      </c>
      <c r="C229" s="10"/>
      <c r="D229" s="4">
        <v>73178.37000000001</v>
      </c>
      <c r="E229" s="4"/>
      <c r="F229" s="12">
        <f>IF(D$12=0,0,D229/D$12)</f>
        <v>0.20792949606689673</v>
      </c>
      <c r="G229" s="4"/>
      <c r="H229" s="4">
        <v>78375.67</v>
      </c>
      <c r="I229" s="4"/>
      <c r="J229" s="12">
        <f>IF(H$12=0,0,H229/H$12)</f>
        <v>0.20530064309696608</v>
      </c>
      <c r="K229" s="4"/>
      <c r="L229" s="4">
        <f>+D229-H229</f>
        <v>-5197.2999999999884</v>
      </c>
      <c r="M229" s="4"/>
      <c r="N229" s="12">
        <f>IF(H229=0,0,L229/H229)</f>
        <v>-6.6312670756115882E-2</v>
      </c>
      <c r="O229" s="10"/>
      <c r="P229" s="4">
        <v>73178.37000000001</v>
      </c>
      <c r="Q229" s="4"/>
      <c r="R229" s="12">
        <f>IF(P$12=0,0,P229/P$12)</f>
        <v>0.20792949606689673</v>
      </c>
      <c r="S229" s="4"/>
      <c r="T229" s="4">
        <v>78375.67</v>
      </c>
      <c r="U229" s="4"/>
      <c r="V229" s="12">
        <f>IF(T$12=0,0,T229/T$12)</f>
        <v>0.20530064309696608</v>
      </c>
      <c r="W229" s="4"/>
      <c r="X229" s="4">
        <f>+P229-T229</f>
        <v>-5197.2999999999884</v>
      </c>
      <c r="Y229" s="4"/>
      <c r="Z229" s="12">
        <f>IF(T229=0,0,X229/T229)</f>
        <v>-6.6312670756115882E-2</v>
      </c>
    </row>
    <row r="230" spans="1:26" x14ac:dyDescent="0.25">
      <c r="A230" s="9"/>
      <c r="B230" s="10"/>
      <c r="C230" s="10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O230" s="10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s="23" customFormat="1" ht="15.75" thickBot="1" x14ac:dyDescent="0.3">
      <c r="A231" s="10"/>
      <c r="B231" s="25" t="s">
        <v>4</v>
      </c>
      <c r="C231" s="25"/>
      <c r="D231" s="33">
        <f>+D227-D229</f>
        <v>-200060.59999999992</v>
      </c>
      <c r="E231" s="13"/>
      <c r="F231" s="34">
        <f>IF(D$12=0,0,D231/D$12)</f>
        <v>-0.56845348893178382</v>
      </c>
      <c r="G231" s="13"/>
      <c r="H231" s="33">
        <f>+H227-H229</f>
        <v>-241898.2800000002</v>
      </c>
      <c r="I231" s="13"/>
      <c r="J231" s="34">
        <f>IF(H$12=0,0,H231/H$12)</f>
        <v>-0.63363888880375774</v>
      </c>
      <c r="K231" s="16"/>
      <c r="L231" s="33">
        <f>D231-H231</f>
        <v>41837.680000000284</v>
      </c>
      <c r="M231" s="16"/>
      <c r="N231" s="34">
        <f>IF(H231=0,0,L231/H231)</f>
        <v>-0.17295567376502324</v>
      </c>
      <c r="O231" s="26"/>
      <c r="P231" s="33">
        <f>+P227-P229</f>
        <v>-200060.59999999992</v>
      </c>
      <c r="Q231" s="13"/>
      <c r="R231" s="34">
        <f>IF(P$12=0,0,P231/P$12)</f>
        <v>-0.56845348893178382</v>
      </c>
      <c r="S231" s="13"/>
      <c r="T231" s="33">
        <f>+T227-T229</f>
        <v>-241898.2800000002</v>
      </c>
      <c r="U231" s="13"/>
      <c r="V231" s="34">
        <f>IF(T$12=0,0,T231/T$12)</f>
        <v>-0.63363888880375774</v>
      </c>
      <c r="W231" s="16"/>
      <c r="X231" s="33">
        <f>P231-T231</f>
        <v>41837.680000000284</v>
      </c>
      <c r="Y231" s="16"/>
      <c r="Z231" s="34">
        <f>IF(T231=0,0,X231/T231)</f>
        <v>-0.17295567376502324</v>
      </c>
    </row>
    <row r="232" spans="1:26" ht="15.75" thickTop="1" x14ac:dyDescent="0.25">
      <c r="A232" s="9"/>
      <c r="B232" s="9"/>
      <c r="C232" s="9"/>
      <c r="D232" s="3"/>
      <c r="E232" s="3"/>
      <c r="F232" s="8"/>
      <c r="G232" s="3"/>
      <c r="H232" s="3"/>
      <c r="I232" s="3"/>
      <c r="J232" s="8"/>
      <c r="K232" s="3"/>
      <c r="L232" s="3"/>
      <c r="M232" s="3"/>
      <c r="N232" s="8"/>
      <c r="P232" s="3"/>
      <c r="Q232" s="3"/>
      <c r="R232" s="8"/>
      <c r="S232" s="3"/>
      <c r="T232" s="3"/>
      <c r="U232" s="3"/>
      <c r="V232" s="8"/>
      <c r="W232" s="3"/>
      <c r="X232" s="3"/>
      <c r="Y232" s="3"/>
      <c r="Z232" s="8"/>
    </row>
    <row r="233" spans="1:26" x14ac:dyDescent="0.25">
      <c r="A233" s="9"/>
      <c r="B233" s="9"/>
      <c r="C233" s="9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s="23" customFormat="1" ht="15.75" thickBot="1" x14ac:dyDescent="0.3">
      <c r="A234" s="10"/>
      <c r="B234" s="25" t="s">
        <v>5</v>
      </c>
      <c r="C234" s="25"/>
      <c r="D234" s="31">
        <f>SUM(D231:D233)</f>
        <v>-200060.59999999992</v>
      </c>
      <c r="E234" s="13"/>
      <c r="F234" s="30">
        <f>IF(D$12=0,0,D234/D$12)</f>
        <v>-0.56845348893178382</v>
      </c>
      <c r="G234" s="13"/>
      <c r="H234" s="31">
        <f>SUM(H231:H233)</f>
        <v>-241898.2800000002</v>
      </c>
      <c r="I234" s="13"/>
      <c r="J234" s="30">
        <f>IF(H$12=0,0,H234/H$12)</f>
        <v>-0.63363888880375774</v>
      </c>
      <c r="K234" s="16"/>
      <c r="L234" s="31">
        <f>+D234-H234</f>
        <v>41837.680000000284</v>
      </c>
      <c r="M234" s="16"/>
      <c r="N234" s="30">
        <f>IF(H234=0,0,L234/H234)</f>
        <v>-0.17295567376502324</v>
      </c>
      <c r="O234" s="26"/>
      <c r="P234" s="31">
        <f>SUM(P231:P233)</f>
        <v>-200060.59999999992</v>
      </c>
      <c r="Q234" s="13"/>
      <c r="R234" s="30">
        <f>IF(P$12=0,0,P234/P$12)</f>
        <v>-0.56845348893178382</v>
      </c>
      <c r="S234" s="13"/>
      <c r="T234" s="31">
        <f>SUM(T231:T233)</f>
        <v>-241898.2800000002</v>
      </c>
      <c r="U234" s="13"/>
      <c r="V234" s="30">
        <f>IF(T$12=0,0,T234/T$12)</f>
        <v>-0.63363888880375774</v>
      </c>
      <c r="W234" s="16"/>
      <c r="X234" s="31">
        <f>+P234-T234</f>
        <v>41837.680000000284</v>
      </c>
      <c r="Y234" s="16"/>
      <c r="Z234" s="30">
        <f>IF(T234=0,0,X234/T234)</f>
        <v>-0.17295567376502324</v>
      </c>
    </row>
    <row r="235" spans="1:26" ht="15.75" thickTop="1" x14ac:dyDescent="0.25">
      <c r="A235" s="9"/>
      <c r="C235" s="9"/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  <row r="236" spans="1:26" x14ac:dyDescent="0.25">
      <c r="A236" s="9"/>
      <c r="B236" s="56">
        <v>43726.681302511577</v>
      </c>
      <c r="D236" s="18"/>
      <c r="E236" s="18"/>
      <c r="G236" s="18"/>
      <c r="H236" s="18"/>
      <c r="I236" s="18"/>
      <c r="J236" s="43"/>
      <c r="K236" s="18"/>
      <c r="L236" s="18"/>
      <c r="M236" s="18"/>
      <c r="P236" s="18"/>
      <c r="Q236" s="18"/>
      <c r="R236" s="43"/>
      <c r="S236" s="18"/>
      <c r="T236" s="18"/>
      <c r="U236" s="18"/>
      <c r="V236" s="43"/>
      <c r="W236" s="18"/>
      <c r="X236" s="18"/>
    </row>
    <row r="237" spans="1:26" x14ac:dyDescent="0.25">
      <c r="A237" s="9"/>
      <c r="B237" s="53" t="s">
        <v>313</v>
      </c>
      <c r="D237" s="18"/>
      <c r="E237" s="18"/>
      <c r="G237" s="18"/>
      <c r="H237" s="18"/>
      <c r="I237" s="18"/>
      <c r="J237" s="43"/>
      <c r="K237" s="18"/>
      <c r="L237" s="18"/>
      <c r="M237" s="18"/>
      <c r="P237" s="18"/>
      <c r="Q237" s="18"/>
      <c r="R237" s="43"/>
      <c r="S237" s="18"/>
      <c r="T237" s="18"/>
      <c r="U237" s="18"/>
      <c r="V237" s="43"/>
      <c r="W237" s="18"/>
      <c r="X237" s="18"/>
    </row>
    <row r="238" spans="1:26" x14ac:dyDescent="0.25">
      <c r="A238" s="9"/>
      <c r="B238" s="59"/>
      <c r="D238" s="18"/>
      <c r="E238" s="18"/>
      <c r="G238" s="18"/>
      <c r="H238" s="18"/>
      <c r="I238" s="18"/>
      <c r="J238" s="43"/>
      <c r="K238" s="18"/>
      <c r="L238" s="18"/>
      <c r="M238" s="18"/>
      <c r="P238" s="18"/>
      <c r="Q238" s="18"/>
      <c r="R238" s="43"/>
      <c r="S238" s="18"/>
      <c r="T238" s="18"/>
      <c r="U238" s="18"/>
      <c r="V238" s="43"/>
      <c r="W238" s="18"/>
      <c r="X238" s="18"/>
    </row>
    <row r="239" spans="1:26" x14ac:dyDescent="0.25">
      <c r="D239" s="18"/>
      <c r="E239" s="18"/>
      <c r="G239" s="18"/>
      <c r="H239" s="18"/>
      <c r="I239" s="18"/>
      <c r="J239" s="43"/>
      <c r="K239" s="18"/>
      <c r="L239" s="18"/>
      <c r="M239" s="18"/>
      <c r="P239" s="18"/>
      <c r="Q239" s="18"/>
      <c r="R239" s="43"/>
      <c r="S239" s="18"/>
      <c r="T239" s="18"/>
      <c r="U239" s="18"/>
      <c r="V239" s="43"/>
      <c r="W239" s="18"/>
      <c r="X239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295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311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722275.75000000012</v>
      </c>
      <c r="E12" s="4"/>
      <c r="F12" s="12"/>
      <c r="G12" s="4"/>
      <c r="H12" s="4">
        <f>SUM(OSRRefH13x_0)</f>
        <v>807961.43000000017</v>
      </c>
      <c r="I12" s="4"/>
      <c r="J12" s="12"/>
      <c r="K12" s="4"/>
      <c r="L12" s="4">
        <f t="shared" ref="L12:L102" si="0">+D12-H12</f>
        <v>-85685.680000000051</v>
      </c>
      <c r="M12" s="4"/>
      <c r="N12" s="12">
        <f t="shared" ref="N12:N102" si="1">IF(H12=0,0,L12/H12)</f>
        <v>-0.1060516960568279</v>
      </c>
      <c r="O12" s="10"/>
      <c r="P12" s="4">
        <f>SUM(OSRRefP13x_0)</f>
        <v>722275.75000000012</v>
      </c>
      <c r="Q12" s="4"/>
      <c r="R12" s="12"/>
      <c r="S12" s="4"/>
      <c r="T12" s="4">
        <f>SUM(OSRRefT13x_0)</f>
        <v>807961.43000000017</v>
      </c>
      <c r="U12" s="4"/>
      <c r="V12" s="12"/>
      <c r="W12" s="4"/>
      <c r="X12" s="4">
        <f t="shared" ref="X12:X102" si="2">+P12-T12</f>
        <v>-85685.680000000051</v>
      </c>
      <c r="Y12" s="4"/>
      <c r="Z12" s="12">
        <f t="shared" ref="Z12:Z102" si="3">IF(T12=0,0,X12/T12)</f>
        <v>-0.1060516960568279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--36312.25</f>
        <v>36312.25</v>
      </c>
      <c r="E13" s="2"/>
      <c r="F13" s="22"/>
      <c r="G13" s="2"/>
      <c r="H13" s="2">
        <f>--73264.63</f>
        <v>73264.63</v>
      </c>
      <c r="I13" s="2"/>
      <c r="J13" s="22"/>
      <c r="K13" s="2"/>
      <c r="L13" s="2">
        <f t="shared" si="0"/>
        <v>-36952.380000000005</v>
      </c>
      <c r="M13" s="2"/>
      <c r="N13" s="22">
        <f t="shared" si="1"/>
        <v>-0.50436861552429868</v>
      </c>
      <c r="O13" s="11"/>
      <c r="P13" s="2">
        <f>--36312.25</f>
        <v>36312.25</v>
      </c>
      <c r="Q13" s="2"/>
      <c r="R13" s="22"/>
      <c r="S13" s="2"/>
      <c r="T13" s="2">
        <f>--73264.63</f>
        <v>73264.63</v>
      </c>
      <c r="U13" s="2"/>
      <c r="V13" s="22"/>
      <c r="W13" s="2"/>
      <c r="X13" s="2">
        <f t="shared" si="2"/>
        <v>-36952.380000000005</v>
      </c>
      <c r="Y13" s="2"/>
      <c r="Z13" s="22">
        <f t="shared" si="3"/>
        <v>-0.50436861552429868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--21794.81</f>
        <v>21794.81</v>
      </c>
      <c r="E14" s="2"/>
      <c r="F14" s="22"/>
      <c r="G14" s="2"/>
      <c r="H14" s="2">
        <f>--26581.58</f>
        <v>26581.58</v>
      </c>
      <c r="I14" s="2"/>
      <c r="J14" s="22"/>
      <c r="K14" s="2"/>
      <c r="L14" s="2">
        <f t="shared" si="0"/>
        <v>-4786.7700000000004</v>
      </c>
      <c r="M14" s="2"/>
      <c r="N14" s="22">
        <f t="shared" si="1"/>
        <v>-0.18007846034735331</v>
      </c>
      <c r="O14" s="11"/>
      <c r="P14" s="2">
        <f>--21794.81</f>
        <v>21794.81</v>
      </c>
      <c r="Q14" s="2"/>
      <c r="R14" s="22"/>
      <c r="S14" s="2"/>
      <c r="T14" s="2">
        <f>--26581.58</f>
        <v>26581.58</v>
      </c>
      <c r="U14" s="2"/>
      <c r="V14" s="22"/>
      <c r="W14" s="2"/>
      <c r="X14" s="2">
        <f t="shared" si="2"/>
        <v>-4786.7700000000004</v>
      </c>
      <c r="Y14" s="2"/>
      <c r="Z14" s="22">
        <f t="shared" si="3"/>
        <v>-0.18007846034735331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>
        <f>--484</f>
        <v>484</v>
      </c>
      <c r="I15" s="2"/>
      <c r="J15" s="22"/>
      <c r="K15" s="2"/>
      <c r="L15" s="2">
        <f t="shared" si="0"/>
        <v>-50.019999999999982</v>
      </c>
      <c r="M15" s="2"/>
      <c r="N15" s="22">
        <f t="shared" si="1"/>
        <v>-0.10334710743801649</v>
      </c>
      <c r="O15" s="11"/>
      <c r="P15" s="2">
        <f>--433.98</f>
        <v>433.98</v>
      </c>
      <c r="Q15" s="2"/>
      <c r="R15" s="22"/>
      <c r="S15" s="2"/>
      <c r="T15" s="2">
        <f>--484</f>
        <v>484</v>
      </c>
      <c r="U15" s="2"/>
      <c r="V15" s="22"/>
      <c r="W15" s="2"/>
      <c r="X15" s="2">
        <f t="shared" si="2"/>
        <v>-50.019999999999982</v>
      </c>
      <c r="Y15" s="2"/>
      <c r="Z15" s="22">
        <f t="shared" si="3"/>
        <v>-0.10334710743801649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>
        <f>--143</f>
        <v>143</v>
      </c>
      <c r="I16" s="2"/>
      <c r="J16" s="22"/>
      <c r="K16" s="2"/>
      <c r="L16" s="2">
        <f t="shared" si="0"/>
        <v>-9.6500000000000057</v>
      </c>
      <c r="M16" s="2"/>
      <c r="N16" s="22">
        <f t="shared" si="1"/>
        <v>-6.7482517482517518E-2</v>
      </c>
      <c r="O16" s="11"/>
      <c r="P16" s="2">
        <f>--133.35</f>
        <v>133.35</v>
      </c>
      <c r="Q16" s="2"/>
      <c r="R16" s="22"/>
      <c r="S16" s="2"/>
      <c r="T16" s="2">
        <f>--143</f>
        <v>143</v>
      </c>
      <c r="U16" s="2"/>
      <c r="V16" s="22"/>
      <c r="W16" s="2"/>
      <c r="X16" s="2">
        <f t="shared" si="2"/>
        <v>-9.6500000000000057</v>
      </c>
      <c r="Y16" s="2"/>
      <c r="Z16" s="22">
        <f t="shared" si="3"/>
        <v>-6.7482517482517518E-2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>
        <f>--53.96</f>
        <v>53.96</v>
      </c>
      <c r="I17" s="2"/>
      <c r="J17" s="22"/>
      <c r="K17" s="2"/>
      <c r="L17" s="2">
        <f t="shared" si="0"/>
        <v>-14.009999999999998</v>
      </c>
      <c r="M17" s="2"/>
      <c r="N17" s="22">
        <f t="shared" si="1"/>
        <v>-0.25963676797627866</v>
      </c>
      <c r="O17" s="11"/>
      <c r="P17" s="2">
        <f>--39.95</f>
        <v>39.950000000000003</v>
      </c>
      <c r="Q17" s="2"/>
      <c r="R17" s="22"/>
      <c r="S17" s="2"/>
      <c r="T17" s="2">
        <f>--53.96</f>
        <v>53.96</v>
      </c>
      <c r="U17" s="2"/>
      <c r="V17" s="22"/>
      <c r="W17" s="2"/>
      <c r="X17" s="2">
        <f t="shared" si="2"/>
        <v>-14.009999999999998</v>
      </c>
      <c r="Y17" s="2"/>
      <c r="Z17" s="22">
        <f t="shared" si="3"/>
        <v>-0.25963676797627866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>
        <f>--200.49</f>
        <v>200.49</v>
      </c>
      <c r="I18" s="2"/>
      <c r="J18" s="22"/>
      <c r="K18" s="2"/>
      <c r="L18" s="2">
        <f t="shared" si="0"/>
        <v>50.16</v>
      </c>
      <c r="M18" s="2"/>
      <c r="N18" s="22">
        <f t="shared" si="1"/>
        <v>0.25018704174771805</v>
      </c>
      <c r="O18" s="11"/>
      <c r="P18" s="2">
        <f>--250.65</f>
        <v>250.65</v>
      </c>
      <c r="Q18" s="2"/>
      <c r="R18" s="22"/>
      <c r="S18" s="2"/>
      <c r="T18" s="2">
        <f>--200.49</f>
        <v>200.49</v>
      </c>
      <c r="U18" s="2"/>
      <c r="V18" s="22"/>
      <c r="W18" s="2"/>
      <c r="X18" s="2">
        <f t="shared" si="2"/>
        <v>50.16</v>
      </c>
      <c r="Y18" s="2"/>
      <c r="Z18" s="22">
        <f t="shared" si="3"/>
        <v>0.25018704174771805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--4.47</f>
        <v>4.47</v>
      </c>
      <c r="E19" s="2"/>
      <c r="F19" s="22"/>
      <c r="G19" s="2"/>
      <c r="H19" s="2">
        <f>--264.61</f>
        <v>264.61</v>
      </c>
      <c r="I19" s="2"/>
      <c r="J19" s="22"/>
      <c r="K19" s="2"/>
      <c r="L19" s="2">
        <f t="shared" si="0"/>
        <v>-260.14</v>
      </c>
      <c r="M19" s="2"/>
      <c r="N19" s="22">
        <f t="shared" si="1"/>
        <v>-0.98310721439099036</v>
      </c>
      <c r="O19" s="11"/>
      <c r="P19" s="2">
        <f>--4.47</f>
        <v>4.47</v>
      </c>
      <c r="Q19" s="2"/>
      <c r="R19" s="22"/>
      <c r="S19" s="2"/>
      <c r="T19" s="2">
        <f>--264.61</f>
        <v>264.61</v>
      </c>
      <c r="U19" s="2"/>
      <c r="V19" s="22"/>
      <c r="W19" s="2"/>
      <c r="X19" s="2">
        <f t="shared" si="2"/>
        <v>-260.14</v>
      </c>
      <c r="Y19" s="2"/>
      <c r="Z19" s="22">
        <f t="shared" si="3"/>
        <v>-0.98310721439099036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--179.29</f>
        <v>179.29</v>
      </c>
      <c r="E20" s="2"/>
      <c r="F20" s="22"/>
      <c r="G20" s="2"/>
      <c r="H20" s="2">
        <f>--479.34</f>
        <v>479.34</v>
      </c>
      <c r="I20" s="2"/>
      <c r="J20" s="22"/>
      <c r="K20" s="2"/>
      <c r="L20" s="2">
        <f t="shared" si="0"/>
        <v>-300.04999999999995</v>
      </c>
      <c r="M20" s="2"/>
      <c r="N20" s="22">
        <f t="shared" si="1"/>
        <v>-0.62596486836066256</v>
      </c>
      <c r="O20" s="11"/>
      <c r="P20" s="2">
        <f>--179.29</f>
        <v>179.29</v>
      </c>
      <c r="Q20" s="2"/>
      <c r="R20" s="22"/>
      <c r="S20" s="2"/>
      <c r="T20" s="2">
        <f>--479.34</f>
        <v>479.34</v>
      </c>
      <c r="U20" s="2"/>
      <c r="V20" s="22"/>
      <c r="W20" s="2"/>
      <c r="X20" s="2">
        <f t="shared" si="2"/>
        <v>-300.04999999999995</v>
      </c>
      <c r="Y20" s="2"/>
      <c r="Z20" s="22">
        <f t="shared" si="3"/>
        <v>-0.62596486836066256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0</f>
        <v>0</v>
      </c>
      <c r="E21" s="2"/>
      <c r="F21" s="22"/>
      <c r="G21" s="2"/>
      <c r="H21" s="2">
        <f>--39.9</f>
        <v>39.9</v>
      </c>
      <c r="I21" s="2"/>
      <c r="J21" s="22"/>
      <c r="K21" s="2"/>
      <c r="L21" s="2">
        <f t="shared" si="0"/>
        <v>-39.9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f>--39.9</f>
        <v>39.9</v>
      </c>
      <c r="U21" s="2"/>
      <c r="V21" s="22"/>
      <c r="W21" s="2"/>
      <c r="X21" s="2">
        <f t="shared" si="2"/>
        <v>-39.9</v>
      </c>
      <c r="Y21" s="2"/>
      <c r="Z21" s="22">
        <f t="shared" si="3"/>
        <v>-1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>
        <f>--619.88</f>
        <v>619.88</v>
      </c>
      <c r="I22" s="2"/>
      <c r="J22" s="22"/>
      <c r="K22" s="2"/>
      <c r="L22" s="2">
        <f t="shared" si="0"/>
        <v>-227.58999999999997</v>
      </c>
      <c r="M22" s="2"/>
      <c r="N22" s="22">
        <f t="shared" si="1"/>
        <v>-0.36715170678195774</v>
      </c>
      <c r="O22" s="11"/>
      <c r="P22" s="2">
        <f>--392.29</f>
        <v>392.29</v>
      </c>
      <c r="Q22" s="2"/>
      <c r="R22" s="22"/>
      <c r="S22" s="2"/>
      <c r="T22" s="2">
        <f>--619.88</f>
        <v>619.88</v>
      </c>
      <c r="U22" s="2"/>
      <c r="V22" s="22"/>
      <c r="W22" s="2"/>
      <c r="X22" s="2">
        <f t="shared" si="2"/>
        <v>-227.58999999999997</v>
      </c>
      <c r="Y22" s="2"/>
      <c r="Z22" s="22">
        <f t="shared" si="3"/>
        <v>-0.36715170678195774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>
        <f>--2074.52</f>
        <v>2074.52</v>
      </c>
      <c r="I23" s="2"/>
      <c r="J23" s="22"/>
      <c r="K23" s="2"/>
      <c r="L23" s="2">
        <f t="shared" si="0"/>
        <v>-139.01</v>
      </c>
      <c r="M23" s="2"/>
      <c r="N23" s="22">
        <f t="shared" si="1"/>
        <v>-6.7008271792993068E-2</v>
      </c>
      <c r="O23" s="11"/>
      <c r="P23" s="2">
        <f>--1935.51</f>
        <v>1935.51</v>
      </c>
      <c r="Q23" s="2"/>
      <c r="R23" s="22"/>
      <c r="S23" s="2"/>
      <c r="T23" s="2">
        <f>--2074.52</f>
        <v>2074.52</v>
      </c>
      <c r="U23" s="2"/>
      <c r="V23" s="22"/>
      <c r="W23" s="2"/>
      <c r="X23" s="2">
        <f t="shared" si="2"/>
        <v>-139.01</v>
      </c>
      <c r="Y23" s="2"/>
      <c r="Z23" s="22">
        <f t="shared" si="3"/>
        <v>-6.7008271792993068E-2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>
        <f>--11922.5</f>
        <v>11922.5</v>
      </c>
      <c r="I24" s="2"/>
      <c r="J24" s="22"/>
      <c r="K24" s="2"/>
      <c r="L24" s="2">
        <f t="shared" si="0"/>
        <v>1227.5</v>
      </c>
      <c r="M24" s="2"/>
      <c r="N24" s="22">
        <f t="shared" si="1"/>
        <v>0.10295659467393584</v>
      </c>
      <c r="O24" s="11"/>
      <c r="P24" s="2">
        <f>--13150</f>
        <v>13150</v>
      </c>
      <c r="Q24" s="2"/>
      <c r="R24" s="22"/>
      <c r="S24" s="2"/>
      <c r="T24" s="2">
        <f>--11922.5</f>
        <v>11922.5</v>
      </c>
      <c r="U24" s="2"/>
      <c r="V24" s="22"/>
      <c r="W24" s="2"/>
      <c r="X24" s="2">
        <f t="shared" si="2"/>
        <v>1227.5</v>
      </c>
      <c r="Y24" s="2"/>
      <c r="Z24" s="22">
        <f t="shared" si="3"/>
        <v>0.10295659467393584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>
        <f>--2013.49</f>
        <v>2013.49</v>
      </c>
      <c r="I25" s="2"/>
      <c r="J25" s="22"/>
      <c r="K25" s="2"/>
      <c r="L25" s="2">
        <f t="shared" si="0"/>
        <v>270.66999999999985</v>
      </c>
      <c r="M25" s="2"/>
      <c r="N25" s="22">
        <f t="shared" si="1"/>
        <v>0.13442828124301578</v>
      </c>
      <c r="O25" s="11"/>
      <c r="P25" s="2">
        <f>--2284.16</f>
        <v>2284.16</v>
      </c>
      <c r="Q25" s="2"/>
      <c r="R25" s="22"/>
      <c r="S25" s="2"/>
      <c r="T25" s="2">
        <f>--2013.49</f>
        <v>2013.49</v>
      </c>
      <c r="U25" s="2"/>
      <c r="V25" s="22"/>
      <c r="W25" s="2"/>
      <c r="X25" s="2">
        <f t="shared" si="2"/>
        <v>270.66999999999985</v>
      </c>
      <c r="Y25" s="2"/>
      <c r="Z25" s="22">
        <f t="shared" si="3"/>
        <v>0.13442828124301578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>
        <f>--1.23</f>
        <v>1.23</v>
      </c>
      <c r="I26" s="2"/>
      <c r="J26" s="22"/>
      <c r="K26" s="2"/>
      <c r="L26" s="2">
        <f t="shared" si="0"/>
        <v>0.29000000000000004</v>
      </c>
      <c r="M26" s="2"/>
      <c r="N26" s="22">
        <f t="shared" si="1"/>
        <v>0.23577235772357727</v>
      </c>
      <c r="O26" s="11"/>
      <c r="P26" s="2">
        <f>--1.52</f>
        <v>1.52</v>
      </c>
      <c r="Q26" s="2"/>
      <c r="R26" s="22"/>
      <c r="S26" s="2"/>
      <c r="T26" s="2">
        <f>--1.23</f>
        <v>1.23</v>
      </c>
      <c r="U26" s="2"/>
      <c r="V26" s="22"/>
      <c r="W26" s="2"/>
      <c r="X26" s="2">
        <f t="shared" si="2"/>
        <v>0.29000000000000004</v>
      </c>
      <c r="Y26" s="2"/>
      <c r="Z26" s="22">
        <f t="shared" si="3"/>
        <v>0.23577235772357727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--1.47</f>
        <v>1.47</v>
      </c>
      <c r="E27" s="2"/>
      <c r="F27" s="22"/>
      <c r="G27" s="2"/>
      <c r="H27" s="2">
        <f>--0.22</f>
        <v>0.22</v>
      </c>
      <c r="I27" s="2"/>
      <c r="J27" s="22"/>
      <c r="K27" s="2"/>
      <c r="L27" s="2">
        <f t="shared" si="0"/>
        <v>1.25</v>
      </c>
      <c r="M27" s="2"/>
      <c r="N27" s="22">
        <f t="shared" si="1"/>
        <v>5.6818181818181817</v>
      </c>
      <c r="O27" s="11"/>
      <c r="P27" s="2">
        <f>--1.47</f>
        <v>1.47</v>
      </c>
      <c r="Q27" s="2"/>
      <c r="R27" s="22"/>
      <c r="S27" s="2"/>
      <c r="T27" s="2">
        <f>--0.22</f>
        <v>0.22</v>
      </c>
      <c r="U27" s="2"/>
      <c r="V27" s="22"/>
      <c r="W27" s="2"/>
      <c r="X27" s="2">
        <f t="shared" si="2"/>
        <v>1.25</v>
      </c>
      <c r="Y27" s="2"/>
      <c r="Z27" s="22">
        <f t="shared" si="3"/>
        <v>5.6818181818181817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>
        <f>--0.68</f>
        <v>0.68</v>
      </c>
      <c r="I28" s="2"/>
      <c r="J28" s="22"/>
      <c r="K28" s="2"/>
      <c r="L28" s="2">
        <f t="shared" si="0"/>
        <v>2.4899999999999998</v>
      </c>
      <c r="M28" s="2"/>
      <c r="N28" s="22">
        <f t="shared" si="1"/>
        <v>3.6617647058823524</v>
      </c>
      <c r="O28" s="11"/>
      <c r="P28" s="2">
        <f>--3.17</f>
        <v>3.17</v>
      </c>
      <c r="Q28" s="2"/>
      <c r="R28" s="22"/>
      <c r="S28" s="2"/>
      <c r="T28" s="2">
        <f>--0.68</f>
        <v>0.68</v>
      </c>
      <c r="U28" s="2"/>
      <c r="V28" s="22"/>
      <c r="W28" s="2"/>
      <c r="X28" s="2">
        <f t="shared" si="2"/>
        <v>2.4899999999999998</v>
      </c>
      <c r="Y28" s="2"/>
      <c r="Z28" s="22">
        <f t="shared" si="3"/>
        <v>3.6617647058823524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--34.74</f>
        <v>34.74</v>
      </c>
      <c r="E29" s="2"/>
      <c r="F29" s="22"/>
      <c r="G29" s="2"/>
      <c r="H29" s="2">
        <f>--41.76</f>
        <v>41.76</v>
      </c>
      <c r="I29" s="2"/>
      <c r="J29" s="22"/>
      <c r="K29" s="2"/>
      <c r="L29" s="2">
        <f t="shared" si="0"/>
        <v>-7.019999999999996</v>
      </c>
      <c r="M29" s="2"/>
      <c r="N29" s="22">
        <f t="shared" si="1"/>
        <v>-0.16810344827586199</v>
      </c>
      <c r="O29" s="11"/>
      <c r="P29" s="2">
        <f>--34.74</f>
        <v>34.74</v>
      </c>
      <c r="Q29" s="2"/>
      <c r="R29" s="22"/>
      <c r="S29" s="2"/>
      <c r="T29" s="2">
        <f>--41.76</f>
        <v>41.76</v>
      </c>
      <c r="U29" s="2"/>
      <c r="V29" s="22"/>
      <c r="W29" s="2"/>
      <c r="X29" s="2">
        <f t="shared" si="2"/>
        <v>-7.019999999999996</v>
      </c>
      <c r="Y29" s="2"/>
      <c r="Z29" s="22">
        <f t="shared" si="3"/>
        <v>-0.16810344827586199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>
        <f>--48.05</f>
        <v>48.05</v>
      </c>
      <c r="I30" s="2"/>
      <c r="J30" s="22"/>
      <c r="K30" s="2"/>
      <c r="L30" s="2">
        <f t="shared" si="0"/>
        <v>-42.08</v>
      </c>
      <c r="M30" s="2"/>
      <c r="N30" s="22">
        <f t="shared" si="1"/>
        <v>-0.87575442247658686</v>
      </c>
      <c r="O30" s="11"/>
      <c r="P30" s="2">
        <f>--5.97</f>
        <v>5.97</v>
      </c>
      <c r="Q30" s="2"/>
      <c r="R30" s="22"/>
      <c r="S30" s="2"/>
      <c r="T30" s="2">
        <f>--48.05</f>
        <v>48.05</v>
      </c>
      <c r="U30" s="2"/>
      <c r="V30" s="22"/>
      <c r="W30" s="2"/>
      <c r="X30" s="2">
        <f t="shared" si="2"/>
        <v>-42.08</v>
      </c>
      <c r="Y30" s="2"/>
      <c r="Z30" s="22">
        <f t="shared" si="3"/>
        <v>-0.87575442247658686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>
        <f>--5.31</f>
        <v>5.31</v>
      </c>
      <c r="I31" s="2"/>
      <c r="J31" s="22"/>
      <c r="K31" s="2"/>
      <c r="L31" s="2">
        <f t="shared" si="0"/>
        <v>-1.9999999999999574E-2</v>
      </c>
      <c r="M31" s="2"/>
      <c r="N31" s="22">
        <f t="shared" si="1"/>
        <v>-3.7664783427494492E-3</v>
      </c>
      <c r="O31" s="11"/>
      <c r="P31" s="2">
        <f>--5.29</f>
        <v>5.29</v>
      </c>
      <c r="Q31" s="2"/>
      <c r="R31" s="22"/>
      <c r="S31" s="2"/>
      <c r="T31" s="2">
        <f>--5.31</f>
        <v>5.31</v>
      </c>
      <c r="U31" s="2"/>
      <c r="V31" s="22"/>
      <c r="W31" s="2"/>
      <c r="X31" s="2">
        <f t="shared" si="2"/>
        <v>-1.9999999999999574E-2</v>
      </c>
      <c r="Y31" s="2"/>
      <c r="Z31" s="22">
        <f t="shared" si="3"/>
        <v>-3.7664783427494492E-3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>
        <f>--145971.66</f>
        <v>145971.66</v>
      </c>
      <c r="I32" s="2"/>
      <c r="J32" s="22"/>
      <c r="K32" s="2"/>
      <c r="L32" s="2">
        <f t="shared" si="0"/>
        <v>24340.359999999986</v>
      </c>
      <c r="M32" s="2"/>
      <c r="N32" s="22">
        <f t="shared" si="1"/>
        <v>0.16674716174358767</v>
      </c>
      <c r="O32" s="11"/>
      <c r="P32" s="2">
        <f>--170312.02</f>
        <v>170312.02</v>
      </c>
      <c r="Q32" s="2"/>
      <c r="R32" s="22"/>
      <c r="S32" s="2"/>
      <c r="T32" s="2">
        <f>--145971.66</f>
        <v>145971.66</v>
      </c>
      <c r="U32" s="2"/>
      <c r="V32" s="22"/>
      <c r="W32" s="2"/>
      <c r="X32" s="2">
        <f t="shared" si="2"/>
        <v>24340.359999999986</v>
      </c>
      <c r="Y32" s="2"/>
      <c r="Z32" s="22">
        <f t="shared" si="3"/>
        <v>0.16674716174358767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>
        <f>--35178.08</f>
        <v>35178.080000000002</v>
      </c>
      <c r="I33" s="2"/>
      <c r="J33" s="22"/>
      <c r="K33" s="2"/>
      <c r="L33" s="2">
        <f t="shared" si="0"/>
        <v>-4136.4900000000016</v>
      </c>
      <c r="M33" s="2"/>
      <c r="N33" s="22">
        <f t="shared" si="1"/>
        <v>-0.11758714517676921</v>
      </c>
      <c r="O33" s="11"/>
      <c r="P33" s="2">
        <f>--31041.59</f>
        <v>31041.59</v>
      </c>
      <c r="Q33" s="2"/>
      <c r="R33" s="22"/>
      <c r="S33" s="2"/>
      <c r="T33" s="2">
        <f>--35178.08</f>
        <v>35178.080000000002</v>
      </c>
      <c r="U33" s="2"/>
      <c r="V33" s="22"/>
      <c r="W33" s="2"/>
      <c r="X33" s="2">
        <f t="shared" si="2"/>
        <v>-4136.4900000000016</v>
      </c>
      <c r="Y33" s="2"/>
      <c r="Z33" s="22">
        <f t="shared" si="3"/>
        <v>-0.11758714517676921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>
        <f>--13180.4</f>
        <v>13180.4</v>
      </c>
      <c r="I34" s="2"/>
      <c r="J34" s="22"/>
      <c r="K34" s="2"/>
      <c r="L34" s="2">
        <f t="shared" si="0"/>
        <v>2412.6499999999996</v>
      </c>
      <c r="M34" s="2"/>
      <c r="N34" s="22">
        <f t="shared" si="1"/>
        <v>0.1830483141634548</v>
      </c>
      <c r="O34" s="11"/>
      <c r="P34" s="2">
        <f>--15593.05</f>
        <v>15593.05</v>
      </c>
      <c r="Q34" s="2"/>
      <c r="R34" s="22"/>
      <c r="S34" s="2"/>
      <c r="T34" s="2">
        <f>--13180.4</f>
        <v>13180.4</v>
      </c>
      <c r="U34" s="2"/>
      <c r="V34" s="22"/>
      <c r="W34" s="2"/>
      <c r="X34" s="2">
        <f t="shared" si="2"/>
        <v>2412.6499999999996</v>
      </c>
      <c r="Y34" s="2"/>
      <c r="Z34" s="22">
        <f t="shared" si="3"/>
        <v>0.1830483141634548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>
        <f>--210.22</f>
        <v>210.22</v>
      </c>
      <c r="I35" s="2"/>
      <c r="J35" s="22"/>
      <c r="K35" s="2"/>
      <c r="L35" s="2">
        <f t="shared" si="0"/>
        <v>-153.82</v>
      </c>
      <c r="M35" s="2"/>
      <c r="N35" s="22">
        <f t="shared" si="1"/>
        <v>-0.73170963752259532</v>
      </c>
      <c r="O35" s="11"/>
      <c r="P35" s="2">
        <f>--56.4</f>
        <v>56.4</v>
      </c>
      <c r="Q35" s="2"/>
      <c r="R35" s="22"/>
      <c r="S35" s="2"/>
      <c r="T35" s="2">
        <f>--210.22</f>
        <v>210.22</v>
      </c>
      <c r="U35" s="2"/>
      <c r="V35" s="22"/>
      <c r="W35" s="2"/>
      <c r="X35" s="2">
        <f t="shared" si="2"/>
        <v>-153.82</v>
      </c>
      <c r="Y35" s="2"/>
      <c r="Z35" s="22">
        <f t="shared" si="3"/>
        <v>-0.73170963752259532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>
        <f>--3757.84</f>
        <v>3757.84</v>
      </c>
      <c r="I36" s="2"/>
      <c r="J36" s="22"/>
      <c r="K36" s="2"/>
      <c r="L36" s="2">
        <f t="shared" si="0"/>
        <v>-1415.19</v>
      </c>
      <c r="M36" s="2"/>
      <c r="N36" s="22">
        <f t="shared" si="1"/>
        <v>-0.37659666191216229</v>
      </c>
      <c r="O36" s="11"/>
      <c r="P36" s="2">
        <f>--2342.65</f>
        <v>2342.65</v>
      </c>
      <c r="Q36" s="2"/>
      <c r="R36" s="22"/>
      <c r="S36" s="2"/>
      <c r="T36" s="2">
        <f>--3757.84</f>
        <v>3757.84</v>
      </c>
      <c r="U36" s="2"/>
      <c r="V36" s="22"/>
      <c r="W36" s="2"/>
      <c r="X36" s="2">
        <f t="shared" si="2"/>
        <v>-1415.19</v>
      </c>
      <c r="Y36" s="2"/>
      <c r="Z36" s="22">
        <f t="shared" si="3"/>
        <v>-0.37659666191216229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>
        <f>--25309.57</f>
        <v>25309.57</v>
      </c>
      <c r="I37" s="2"/>
      <c r="J37" s="22"/>
      <c r="K37" s="2"/>
      <c r="L37" s="2">
        <f t="shared" si="0"/>
        <v>-5888.8499999999985</v>
      </c>
      <c r="M37" s="2"/>
      <c r="N37" s="22">
        <f t="shared" si="1"/>
        <v>-0.23267285852742653</v>
      </c>
      <c r="O37" s="11"/>
      <c r="P37" s="2">
        <f>--19420.72</f>
        <v>19420.72</v>
      </c>
      <c r="Q37" s="2"/>
      <c r="R37" s="22"/>
      <c r="S37" s="2"/>
      <c r="T37" s="2">
        <f>--25309.57</f>
        <v>25309.57</v>
      </c>
      <c r="U37" s="2"/>
      <c r="V37" s="22"/>
      <c r="W37" s="2"/>
      <c r="X37" s="2">
        <f t="shared" si="2"/>
        <v>-5888.8499999999985</v>
      </c>
      <c r="Y37" s="2"/>
      <c r="Z37" s="22">
        <f t="shared" si="3"/>
        <v>-0.23267285852742653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>
        <f>--49.99</f>
        <v>49.99</v>
      </c>
      <c r="I38" s="2"/>
      <c r="J38" s="22"/>
      <c r="K38" s="2"/>
      <c r="L38" s="2">
        <f t="shared" si="0"/>
        <v>-9.990000000000002</v>
      </c>
      <c r="M38" s="2"/>
      <c r="N38" s="22">
        <f t="shared" si="1"/>
        <v>-0.19983996799359874</v>
      </c>
      <c r="O38" s="11"/>
      <c r="P38" s="2">
        <f>--40</f>
        <v>40</v>
      </c>
      <c r="Q38" s="2"/>
      <c r="R38" s="22"/>
      <c r="S38" s="2"/>
      <c r="T38" s="2">
        <f>--49.99</f>
        <v>49.99</v>
      </c>
      <c r="U38" s="2"/>
      <c r="V38" s="22"/>
      <c r="W38" s="2"/>
      <c r="X38" s="2">
        <f t="shared" si="2"/>
        <v>-9.990000000000002</v>
      </c>
      <c r="Y38" s="2"/>
      <c r="Z38" s="22">
        <f t="shared" si="3"/>
        <v>-0.19983996799359874</v>
      </c>
    </row>
    <row r="39" spans="1:26" s="24" customFormat="1" hidden="1" outlineLevel="1" x14ac:dyDescent="0.25">
      <c r="A39" s="50"/>
      <c r="B39" s="11" t="str">
        <f>CONCATENATE("          ", "4081", " - ", "TAXABLE SALES-ELECTRONICS")</f>
        <v xml:space="preserve">          4081 - TAXABLE SALES-ELECTRONICS</v>
      </c>
      <c r="C39" s="11"/>
      <c r="D39" s="2">
        <f>--20952.57</f>
        <v>20952.57</v>
      </c>
      <c r="E39" s="2"/>
      <c r="F39" s="22"/>
      <c r="G39" s="2"/>
      <c r="H39" s="2">
        <f>--17056.88</f>
        <v>17056.88</v>
      </c>
      <c r="I39" s="2"/>
      <c r="J39" s="22"/>
      <c r="K39" s="2"/>
      <c r="L39" s="2">
        <f t="shared" si="0"/>
        <v>3895.6899999999987</v>
      </c>
      <c r="M39" s="2"/>
      <c r="N39" s="22">
        <f t="shared" si="1"/>
        <v>0.22839405565378887</v>
      </c>
      <c r="O39" s="11"/>
      <c r="P39" s="2">
        <f>--20952.57</f>
        <v>20952.57</v>
      </c>
      <c r="Q39" s="2"/>
      <c r="R39" s="22"/>
      <c r="S39" s="2"/>
      <c r="T39" s="2">
        <f>--17056.88</f>
        <v>17056.88</v>
      </c>
      <c r="U39" s="2"/>
      <c r="V39" s="22"/>
      <c r="W39" s="2"/>
      <c r="X39" s="2">
        <f t="shared" si="2"/>
        <v>3895.6899999999987</v>
      </c>
      <c r="Y39" s="2"/>
      <c r="Z39" s="22">
        <f t="shared" si="3"/>
        <v>0.22839405565378887</v>
      </c>
    </row>
    <row r="40" spans="1:26" s="24" customFormat="1" hidden="1" outlineLevel="1" x14ac:dyDescent="0.25">
      <c r="A40" s="50"/>
      <c r="B40" s="11" t="str">
        <f>CONCATENATE("          ", "4082", " - ", "TAXABLE SALES-COMPUTER HARDWAR")</f>
        <v xml:space="preserve">          4082 - TAXABLE SALES-COMPUTER HARDWAR</v>
      </c>
      <c r="C40" s="11"/>
      <c r="D40" s="2">
        <f>--398788.74</f>
        <v>398788.74</v>
      </c>
      <c r="E40" s="2"/>
      <c r="F40" s="22"/>
      <c r="G40" s="2"/>
      <c r="H40" s="2">
        <f>--371248.83</f>
        <v>371248.83</v>
      </c>
      <c r="I40" s="2"/>
      <c r="J40" s="22"/>
      <c r="K40" s="2"/>
      <c r="L40" s="2">
        <f t="shared" si="0"/>
        <v>27539.909999999974</v>
      </c>
      <c r="M40" s="2"/>
      <c r="N40" s="22">
        <f t="shared" si="1"/>
        <v>7.4181809542672422E-2</v>
      </c>
      <c r="O40" s="11"/>
      <c r="P40" s="2">
        <f>--398788.74</f>
        <v>398788.74</v>
      </c>
      <c r="Q40" s="2"/>
      <c r="R40" s="22"/>
      <c r="S40" s="2"/>
      <c r="T40" s="2">
        <f>--371248.83</f>
        <v>371248.83</v>
      </c>
      <c r="U40" s="2"/>
      <c r="V40" s="22"/>
      <c r="W40" s="2"/>
      <c r="X40" s="2">
        <f t="shared" si="2"/>
        <v>27539.909999999974</v>
      </c>
      <c r="Y40" s="2"/>
      <c r="Z40" s="22">
        <f t="shared" si="3"/>
        <v>7.4181809542672422E-2</v>
      </c>
    </row>
    <row r="41" spans="1:26" s="24" customFormat="1" hidden="1" outlineLevel="1" x14ac:dyDescent="0.25">
      <c r="A41" s="50"/>
      <c r="B41" s="11" t="str">
        <f>CONCATENATE("          ", "4083", " - ", "TAXABLE SALES-COMPUTER EQUIPME")</f>
        <v xml:space="preserve">          4083 - TAXABLE SALES-COMPUTER EQUIPME</v>
      </c>
      <c r="C41" s="11"/>
      <c r="D41" s="2">
        <f>--7906.1</f>
        <v>7906.1</v>
      </c>
      <c r="E41" s="2"/>
      <c r="F41" s="22"/>
      <c r="G41" s="2"/>
      <c r="H41" s="2">
        <f>--7437.48</f>
        <v>7437.48</v>
      </c>
      <c r="I41" s="2"/>
      <c r="J41" s="22"/>
      <c r="K41" s="2"/>
      <c r="L41" s="2">
        <f t="shared" si="0"/>
        <v>468.6200000000008</v>
      </c>
      <c r="M41" s="2"/>
      <c r="N41" s="22">
        <f t="shared" si="1"/>
        <v>6.30079005254469E-2</v>
      </c>
      <c r="O41" s="11"/>
      <c r="P41" s="2">
        <f>--7906.1</f>
        <v>7906.1</v>
      </c>
      <c r="Q41" s="2"/>
      <c r="R41" s="22"/>
      <c r="S41" s="2"/>
      <c r="T41" s="2">
        <f>--7437.48</f>
        <v>7437.48</v>
      </c>
      <c r="U41" s="2"/>
      <c r="V41" s="22"/>
      <c r="W41" s="2"/>
      <c r="X41" s="2">
        <f t="shared" si="2"/>
        <v>468.6200000000008</v>
      </c>
      <c r="Y41" s="2"/>
      <c r="Z41" s="22">
        <f t="shared" si="3"/>
        <v>6.30079005254469E-2</v>
      </c>
    </row>
    <row r="42" spans="1:26" s="24" customFormat="1" hidden="1" outlineLevel="1" x14ac:dyDescent="0.25">
      <c r="A42" s="50"/>
      <c r="B42" s="11" t="str">
        <f>CONCATENATE("          ", "4084", " - ", "TAXABLE SALES-SOFTWARE LICENSE")</f>
        <v xml:space="preserve">          4084 - TAXABLE SALES-SOFTWARE LICENSE</v>
      </c>
      <c r="C42" s="11"/>
      <c r="D42" s="2">
        <f>--129</f>
        <v>129</v>
      </c>
      <c r="E42" s="2"/>
      <c r="F42" s="22"/>
      <c r="G42" s="2"/>
      <c r="H42" s="2">
        <f>--278.99</f>
        <v>278.99</v>
      </c>
      <c r="I42" s="2"/>
      <c r="J42" s="22"/>
      <c r="K42" s="2"/>
      <c r="L42" s="2">
        <f t="shared" si="0"/>
        <v>-149.99</v>
      </c>
      <c r="M42" s="2"/>
      <c r="N42" s="22">
        <f t="shared" si="1"/>
        <v>-0.53761783576472277</v>
      </c>
      <c r="O42" s="11"/>
      <c r="P42" s="2">
        <f>--129</f>
        <v>129</v>
      </c>
      <c r="Q42" s="2"/>
      <c r="R42" s="22"/>
      <c r="S42" s="2"/>
      <c r="T42" s="2">
        <f>--278.99</f>
        <v>278.99</v>
      </c>
      <c r="U42" s="2"/>
      <c r="V42" s="22"/>
      <c r="W42" s="2"/>
      <c r="X42" s="2">
        <f t="shared" si="2"/>
        <v>-149.99</v>
      </c>
      <c r="Y42" s="2"/>
      <c r="Z42" s="22">
        <f t="shared" si="3"/>
        <v>-0.53761783576472277</v>
      </c>
    </row>
    <row r="43" spans="1:26" s="24" customFormat="1" hidden="1" outlineLevel="1" x14ac:dyDescent="0.25">
      <c r="A43" s="50"/>
      <c r="B43" s="11" t="str">
        <f>CONCATENATE("          ", "4085", " - ", "TAXABLE SALES-SOFTWARE")</f>
        <v xml:space="preserve">          4085 - TAXABLE SALES-SOFTWARE</v>
      </c>
      <c r="C43" s="11"/>
      <c r="D43" s="2">
        <f>--493.95</f>
        <v>493.95</v>
      </c>
      <c r="E43" s="2"/>
      <c r="F43" s="22"/>
      <c r="G43" s="2"/>
      <c r="H43" s="2">
        <f>--816</f>
        <v>816</v>
      </c>
      <c r="I43" s="2"/>
      <c r="J43" s="22"/>
      <c r="K43" s="2"/>
      <c r="L43" s="2">
        <f t="shared" si="0"/>
        <v>-322.05</v>
      </c>
      <c r="M43" s="2"/>
      <c r="N43" s="22">
        <f t="shared" si="1"/>
        <v>-0.39466911764705886</v>
      </c>
      <c r="O43" s="11"/>
      <c r="P43" s="2">
        <f>--493.95</f>
        <v>493.95</v>
      </c>
      <c r="Q43" s="2"/>
      <c r="R43" s="22"/>
      <c r="S43" s="2"/>
      <c r="T43" s="2">
        <f>--816</f>
        <v>816</v>
      </c>
      <c r="U43" s="2"/>
      <c r="V43" s="22"/>
      <c r="W43" s="2"/>
      <c r="X43" s="2">
        <f t="shared" si="2"/>
        <v>-322.05</v>
      </c>
      <c r="Y43" s="2"/>
      <c r="Z43" s="22">
        <f t="shared" si="3"/>
        <v>-0.39466911764705886</v>
      </c>
    </row>
    <row r="44" spans="1:26" s="24" customFormat="1" hidden="1" outlineLevel="1" x14ac:dyDescent="0.25">
      <c r="A44" s="50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--1995.32</f>
        <v>1995.32</v>
      </c>
      <c r="E44" s="2"/>
      <c r="F44" s="22"/>
      <c r="G44" s="2"/>
      <c r="H44" s="2">
        <f>--4495.41</f>
        <v>4495.41</v>
      </c>
      <c r="I44" s="2"/>
      <c r="J44" s="22"/>
      <c r="K44" s="2"/>
      <c r="L44" s="2">
        <f t="shared" si="0"/>
        <v>-2500.09</v>
      </c>
      <c r="M44" s="2"/>
      <c r="N44" s="22">
        <f t="shared" si="1"/>
        <v>-0.55614282123321346</v>
      </c>
      <c r="O44" s="11"/>
      <c r="P44" s="2">
        <f>--1995.32</f>
        <v>1995.32</v>
      </c>
      <c r="Q44" s="2"/>
      <c r="R44" s="22"/>
      <c r="S44" s="2"/>
      <c r="T44" s="2">
        <f>--4495.41</f>
        <v>4495.41</v>
      </c>
      <c r="U44" s="2"/>
      <c r="V44" s="22"/>
      <c r="W44" s="2"/>
      <c r="X44" s="2">
        <f t="shared" si="2"/>
        <v>-2500.09</v>
      </c>
      <c r="Y44" s="2"/>
      <c r="Z44" s="22">
        <f t="shared" si="3"/>
        <v>-0.55614282123321346</v>
      </c>
    </row>
    <row r="45" spans="1:26" s="24" customFormat="1" hidden="1" outlineLevel="1" x14ac:dyDescent="0.25">
      <c r="A45" s="50"/>
      <c r="B45" s="11" t="str">
        <f>CONCATENATE("          ", "4088", " - ", "TAXABLE SALES-MUSIC")</f>
        <v xml:space="preserve">          4088 - TAXABLE SALES-MUSIC</v>
      </c>
      <c r="C45" s="11"/>
      <c r="D45" s="2">
        <f>--258.99</f>
        <v>258.99</v>
      </c>
      <c r="E45" s="2"/>
      <c r="F45" s="22"/>
      <c r="G45" s="2"/>
      <c r="H45" s="2">
        <f>--330.99</f>
        <v>330.99</v>
      </c>
      <c r="I45" s="2"/>
      <c r="J45" s="22"/>
      <c r="K45" s="2"/>
      <c r="L45" s="2">
        <f t="shared" si="0"/>
        <v>-72</v>
      </c>
      <c r="M45" s="2"/>
      <c r="N45" s="22">
        <f t="shared" si="1"/>
        <v>-0.21752923049034714</v>
      </c>
      <c r="O45" s="11"/>
      <c r="P45" s="2">
        <f>--258.99</f>
        <v>258.99</v>
      </c>
      <c r="Q45" s="2"/>
      <c r="R45" s="22"/>
      <c r="S45" s="2"/>
      <c r="T45" s="2">
        <f>--330.99</f>
        <v>330.99</v>
      </c>
      <c r="U45" s="2"/>
      <c r="V45" s="22"/>
      <c r="W45" s="2"/>
      <c r="X45" s="2">
        <f t="shared" si="2"/>
        <v>-72</v>
      </c>
      <c r="Y45" s="2"/>
      <c r="Z45" s="22">
        <f t="shared" si="3"/>
        <v>-0.21752923049034714</v>
      </c>
    </row>
    <row r="46" spans="1:26" s="24" customFormat="1" hidden="1" outlineLevel="1" x14ac:dyDescent="0.25">
      <c r="A46" s="50"/>
      <c r="B46" s="11" t="str">
        <f>CONCATENATE("          ", "4092", " - ", "TAXABLE SALES-GRAD MERCH")</f>
        <v xml:space="preserve">          4092 - TAXABLE SALES-GRAD MERCH</v>
      </c>
      <c r="C46" s="11"/>
      <c r="D46" s="2">
        <f>--2128.63</f>
        <v>2128.63</v>
      </c>
      <c r="E46" s="2"/>
      <c r="F46" s="22"/>
      <c r="G46" s="2"/>
      <c r="H46" s="2">
        <f>--3338.5</f>
        <v>3338.5</v>
      </c>
      <c r="I46" s="2"/>
      <c r="J46" s="22"/>
      <c r="K46" s="2"/>
      <c r="L46" s="2">
        <f t="shared" si="0"/>
        <v>-1209.8699999999999</v>
      </c>
      <c r="M46" s="2"/>
      <c r="N46" s="22">
        <f t="shared" si="1"/>
        <v>-0.36239928111427283</v>
      </c>
      <c r="O46" s="11"/>
      <c r="P46" s="2">
        <f>--2128.63</f>
        <v>2128.63</v>
      </c>
      <c r="Q46" s="2"/>
      <c r="R46" s="22"/>
      <c r="S46" s="2"/>
      <c r="T46" s="2">
        <f>--3338.5</f>
        <v>3338.5</v>
      </c>
      <c r="U46" s="2"/>
      <c r="V46" s="22"/>
      <c r="W46" s="2"/>
      <c r="X46" s="2">
        <f t="shared" si="2"/>
        <v>-1209.8699999999999</v>
      </c>
      <c r="Y46" s="2"/>
      <c r="Z46" s="22">
        <f t="shared" si="3"/>
        <v>-0.36239928111427283</v>
      </c>
    </row>
    <row r="47" spans="1:26" s="24" customFormat="1" hidden="1" outlineLevel="1" x14ac:dyDescent="0.25">
      <c r="A47" s="50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--46.53</f>
        <v>46.53</v>
      </c>
      <c r="E47" s="2"/>
      <c r="F47" s="22"/>
      <c r="G47" s="2"/>
      <c r="H47" s="2">
        <f>--187.11</f>
        <v>187.11</v>
      </c>
      <c r="I47" s="2"/>
      <c r="J47" s="22"/>
      <c r="K47" s="2"/>
      <c r="L47" s="2">
        <f t="shared" si="0"/>
        <v>-140.58000000000001</v>
      </c>
      <c r="M47" s="2"/>
      <c r="N47" s="22">
        <f t="shared" si="1"/>
        <v>-0.75132275132275128</v>
      </c>
      <c r="O47" s="11"/>
      <c r="P47" s="2">
        <f>--46.53</f>
        <v>46.53</v>
      </c>
      <c r="Q47" s="2"/>
      <c r="R47" s="22"/>
      <c r="S47" s="2"/>
      <c r="T47" s="2">
        <f>--187.11</f>
        <v>187.11</v>
      </c>
      <c r="U47" s="2"/>
      <c r="V47" s="22"/>
      <c r="W47" s="2"/>
      <c r="X47" s="2">
        <f t="shared" si="2"/>
        <v>-140.58000000000001</v>
      </c>
      <c r="Y47" s="2"/>
      <c r="Z47" s="22">
        <f t="shared" si="3"/>
        <v>-0.75132275132275128</v>
      </c>
    </row>
    <row r="48" spans="1:26" s="24" customFormat="1" hidden="1" outlineLevel="1" x14ac:dyDescent="0.25">
      <c r="A48" s="50"/>
      <c r="B48" s="11" t="str">
        <f>CONCATENATE("          ", "4100", " - ", "NON-TAXABLE SALES")</f>
        <v xml:space="preserve">          4100 - NON-TAXABLE SALES</v>
      </c>
      <c r="C48" s="11"/>
      <c r="D48" s="2">
        <f>--4262.2</f>
        <v>4262.2</v>
      </c>
      <c r="E48" s="2"/>
      <c r="F48" s="22"/>
      <c r="G48" s="2"/>
      <c r="H48" s="2">
        <f>--10860.85</f>
        <v>10860.85</v>
      </c>
      <c r="I48" s="2"/>
      <c r="J48" s="22"/>
      <c r="K48" s="2"/>
      <c r="L48" s="2">
        <f t="shared" si="0"/>
        <v>-6598.6500000000005</v>
      </c>
      <c r="M48" s="2"/>
      <c r="N48" s="22">
        <f t="shared" si="1"/>
        <v>-0.60756294396847399</v>
      </c>
      <c r="O48" s="11"/>
      <c r="P48" s="2">
        <f>--4262.2</f>
        <v>4262.2</v>
      </c>
      <c r="Q48" s="2"/>
      <c r="R48" s="22"/>
      <c r="S48" s="2"/>
      <c r="T48" s="2">
        <f>--10860.85</f>
        <v>10860.85</v>
      </c>
      <c r="U48" s="2"/>
      <c r="V48" s="22"/>
      <c r="W48" s="2"/>
      <c r="X48" s="2">
        <f t="shared" si="2"/>
        <v>-6598.6500000000005</v>
      </c>
      <c r="Y48" s="2"/>
      <c r="Z48" s="22">
        <f t="shared" si="3"/>
        <v>-0.60756294396847399</v>
      </c>
    </row>
    <row r="49" spans="1:26" s="24" customFormat="1" hidden="1" outlineLevel="1" x14ac:dyDescent="0.25">
      <c r="A49" s="50"/>
      <c r="B49" s="11" t="str">
        <f>CONCATENATE("          ", "4101", " - ", "NON-TAXABLE SALES-NEW TEXT")</f>
        <v xml:space="preserve">          4101 - NON-TAXABLE SALES-NEW TEXT</v>
      </c>
      <c r="C49" s="11"/>
      <c r="D49" s="2">
        <f>--7736.58</f>
        <v>7736.58</v>
      </c>
      <c r="E49" s="2"/>
      <c r="F49" s="22"/>
      <c r="G49" s="2"/>
      <c r="H49" s="2">
        <f>--16833.23</f>
        <v>16833.23</v>
      </c>
      <c r="I49" s="2"/>
      <c r="J49" s="22"/>
      <c r="K49" s="2"/>
      <c r="L49" s="2">
        <f t="shared" si="0"/>
        <v>-9096.65</v>
      </c>
      <c r="M49" s="2"/>
      <c r="N49" s="22">
        <f t="shared" si="1"/>
        <v>-0.5403983668018556</v>
      </c>
      <c r="O49" s="11"/>
      <c r="P49" s="2">
        <f>--7736.58</f>
        <v>7736.58</v>
      </c>
      <c r="Q49" s="2"/>
      <c r="R49" s="22"/>
      <c r="S49" s="2"/>
      <c r="T49" s="2">
        <f>--16833.23</f>
        <v>16833.23</v>
      </c>
      <c r="U49" s="2"/>
      <c r="V49" s="22"/>
      <c r="W49" s="2"/>
      <c r="X49" s="2">
        <f t="shared" si="2"/>
        <v>-9096.65</v>
      </c>
      <c r="Y49" s="2"/>
      <c r="Z49" s="22">
        <f t="shared" si="3"/>
        <v>-0.5403983668018556</v>
      </c>
    </row>
    <row r="50" spans="1:26" s="24" customFormat="1" hidden="1" outlineLevel="1" x14ac:dyDescent="0.25">
      <c r="A50" s="50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--5359.24</f>
        <v>5359.24</v>
      </c>
      <c r="E50" s="2"/>
      <c r="F50" s="22"/>
      <c r="G50" s="2"/>
      <c r="H50" s="2">
        <f>--2616.94</f>
        <v>2616.94</v>
      </c>
      <c r="I50" s="2"/>
      <c r="J50" s="22"/>
      <c r="K50" s="2"/>
      <c r="L50" s="2">
        <f t="shared" si="0"/>
        <v>2742.2999999999997</v>
      </c>
      <c r="M50" s="2"/>
      <c r="N50" s="22">
        <f t="shared" si="1"/>
        <v>1.0479032763456555</v>
      </c>
      <c r="O50" s="11"/>
      <c r="P50" s="2">
        <f>--5359.24</f>
        <v>5359.24</v>
      </c>
      <c r="Q50" s="2"/>
      <c r="R50" s="22"/>
      <c r="S50" s="2"/>
      <c r="T50" s="2">
        <f>--2616.94</f>
        <v>2616.94</v>
      </c>
      <c r="U50" s="2"/>
      <c r="V50" s="22"/>
      <c r="W50" s="2"/>
      <c r="X50" s="2">
        <f t="shared" si="2"/>
        <v>2742.2999999999997</v>
      </c>
      <c r="Y50" s="2"/>
      <c r="Z50" s="22">
        <f t="shared" si="3"/>
        <v>1.0479032763456555</v>
      </c>
    </row>
    <row r="51" spans="1:26" s="24" customFormat="1" hidden="1" outlineLevel="1" x14ac:dyDescent="0.25">
      <c r="A51" s="50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--13424.17</f>
        <v>13424.17</v>
      </c>
      <c r="E51" s="2"/>
      <c r="F51" s="22"/>
      <c r="G51" s="2"/>
      <c r="H51" s="2">
        <f>--7347.66</f>
        <v>7347.66</v>
      </c>
      <c r="I51" s="2"/>
      <c r="J51" s="22"/>
      <c r="K51" s="2"/>
      <c r="L51" s="2">
        <f t="shared" si="0"/>
        <v>6076.51</v>
      </c>
      <c r="M51" s="2"/>
      <c r="N51" s="22">
        <f t="shared" si="1"/>
        <v>0.82699934400884101</v>
      </c>
      <c r="O51" s="11"/>
      <c r="P51" s="2">
        <f>--13424.17</f>
        <v>13424.17</v>
      </c>
      <c r="Q51" s="2"/>
      <c r="R51" s="22"/>
      <c r="S51" s="2"/>
      <c r="T51" s="2">
        <f>--7347.66</f>
        <v>7347.66</v>
      </c>
      <c r="U51" s="2"/>
      <c r="V51" s="22"/>
      <c r="W51" s="2"/>
      <c r="X51" s="2">
        <f t="shared" si="2"/>
        <v>6076.51</v>
      </c>
      <c r="Y51" s="2"/>
      <c r="Z51" s="22">
        <f t="shared" si="3"/>
        <v>0.82699934400884101</v>
      </c>
    </row>
    <row r="52" spans="1:26" s="24" customFormat="1" hidden="1" outlineLevel="1" x14ac:dyDescent="0.25">
      <c r="A52" s="50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--2680.95</f>
        <v>2680.95</v>
      </c>
      <c r="E52" s="2"/>
      <c r="F52" s="22"/>
      <c r="G52" s="2"/>
      <c r="H52" s="2">
        <f>--2828.58</f>
        <v>2828.58</v>
      </c>
      <c r="I52" s="2"/>
      <c r="J52" s="22"/>
      <c r="K52" s="2"/>
      <c r="L52" s="2">
        <f t="shared" si="0"/>
        <v>-147.63000000000011</v>
      </c>
      <c r="M52" s="2"/>
      <c r="N52" s="22">
        <f t="shared" si="1"/>
        <v>-5.2192266084042212E-2</v>
      </c>
      <c r="O52" s="11"/>
      <c r="P52" s="2">
        <f>--2680.95</f>
        <v>2680.95</v>
      </c>
      <c r="Q52" s="2"/>
      <c r="R52" s="22"/>
      <c r="S52" s="2"/>
      <c r="T52" s="2">
        <f>--2828.58</f>
        <v>2828.58</v>
      </c>
      <c r="U52" s="2"/>
      <c r="V52" s="22"/>
      <c r="W52" s="2"/>
      <c r="X52" s="2">
        <f t="shared" si="2"/>
        <v>-147.63000000000011</v>
      </c>
      <c r="Y52" s="2"/>
      <c r="Z52" s="22">
        <f t="shared" si="3"/>
        <v>-5.2192266084042212E-2</v>
      </c>
    </row>
    <row r="53" spans="1:26" s="24" customFormat="1" hidden="1" outlineLevel="1" x14ac:dyDescent="0.25">
      <c r="A53" s="50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--1134</f>
        <v>1134</v>
      </c>
      <c r="E53" s="2"/>
      <c r="F53" s="22"/>
      <c r="G53" s="2"/>
      <c r="H53" s="2">
        <f>--7.06</f>
        <v>7.06</v>
      </c>
      <c r="I53" s="2"/>
      <c r="J53" s="22"/>
      <c r="K53" s="2"/>
      <c r="L53" s="2">
        <f t="shared" si="0"/>
        <v>1126.94</v>
      </c>
      <c r="M53" s="2"/>
      <c r="N53" s="22">
        <f t="shared" si="1"/>
        <v>159.62322946175638</v>
      </c>
      <c r="O53" s="11"/>
      <c r="P53" s="2">
        <f>--1134</f>
        <v>1134</v>
      </c>
      <c r="Q53" s="2"/>
      <c r="R53" s="22"/>
      <c r="S53" s="2"/>
      <c r="T53" s="2">
        <f>--7.06</f>
        <v>7.06</v>
      </c>
      <c r="U53" s="2"/>
      <c r="V53" s="22"/>
      <c r="W53" s="2"/>
      <c r="X53" s="2">
        <f t="shared" si="2"/>
        <v>1126.94</v>
      </c>
      <c r="Y53" s="2"/>
      <c r="Z53" s="22">
        <f t="shared" si="3"/>
        <v>159.62322946175638</v>
      </c>
    </row>
    <row r="54" spans="1:26" s="24" customFormat="1" hidden="1" outlineLevel="1" x14ac:dyDescent="0.25">
      <c r="A54" s="50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--6.95</f>
        <v>6.95</v>
      </c>
      <c r="E54" s="2"/>
      <c r="F54" s="22"/>
      <c r="G54" s="2"/>
      <c r="H54" s="2">
        <f>--35.93</f>
        <v>35.93</v>
      </c>
      <c r="I54" s="2"/>
      <c r="J54" s="22"/>
      <c r="K54" s="2"/>
      <c r="L54" s="2">
        <f t="shared" si="0"/>
        <v>-28.98</v>
      </c>
      <c r="M54" s="2"/>
      <c r="N54" s="22">
        <f t="shared" si="1"/>
        <v>-0.80656832730308936</v>
      </c>
      <c r="O54" s="11"/>
      <c r="P54" s="2">
        <f>--6.95</f>
        <v>6.95</v>
      </c>
      <c r="Q54" s="2"/>
      <c r="R54" s="22"/>
      <c r="S54" s="2"/>
      <c r="T54" s="2">
        <f>--35.93</f>
        <v>35.93</v>
      </c>
      <c r="U54" s="2"/>
      <c r="V54" s="22"/>
      <c r="W54" s="2"/>
      <c r="X54" s="2">
        <f t="shared" si="2"/>
        <v>-28.98</v>
      </c>
      <c r="Y54" s="2"/>
      <c r="Z54" s="22">
        <f t="shared" si="3"/>
        <v>-0.80656832730308936</v>
      </c>
    </row>
    <row r="55" spans="1:26" s="24" customFormat="1" hidden="1" outlineLevel="1" x14ac:dyDescent="0.25">
      <c r="A55" s="50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--4.98</f>
        <v>4.9800000000000004</v>
      </c>
      <c r="E55" s="2"/>
      <c r="F55" s="22"/>
      <c r="G55" s="2"/>
      <c r="H55" s="2">
        <f>--6.12</f>
        <v>6.12</v>
      </c>
      <c r="I55" s="2"/>
      <c r="J55" s="22"/>
      <c r="K55" s="2"/>
      <c r="L55" s="2">
        <f t="shared" si="0"/>
        <v>-1.1399999999999997</v>
      </c>
      <c r="M55" s="2"/>
      <c r="N55" s="22">
        <f t="shared" si="1"/>
        <v>-0.18627450980392152</v>
      </c>
      <c r="O55" s="11"/>
      <c r="P55" s="2">
        <f>--4.98</f>
        <v>4.9800000000000004</v>
      </c>
      <c r="Q55" s="2"/>
      <c r="R55" s="22"/>
      <c r="S55" s="2"/>
      <c r="T55" s="2">
        <f>--6.12</f>
        <v>6.12</v>
      </c>
      <c r="U55" s="2"/>
      <c r="V55" s="22"/>
      <c r="W55" s="2"/>
      <c r="X55" s="2">
        <f t="shared" si="2"/>
        <v>-1.1399999999999997</v>
      </c>
      <c r="Y55" s="2"/>
      <c r="Z55" s="22">
        <f t="shared" si="3"/>
        <v>-0.18627450980392152</v>
      </c>
    </row>
    <row r="56" spans="1:26" s="24" customFormat="1" hidden="1" outlineLevel="1" x14ac:dyDescent="0.25">
      <c r="A56" s="50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--167.03</f>
        <v>167.03</v>
      </c>
      <c r="E56" s="2"/>
      <c r="F56" s="22"/>
      <c r="G56" s="2"/>
      <c r="H56" s="2">
        <f>--264.9</f>
        <v>264.89999999999998</v>
      </c>
      <c r="I56" s="2"/>
      <c r="J56" s="22"/>
      <c r="K56" s="2"/>
      <c r="L56" s="2">
        <f t="shared" si="0"/>
        <v>-97.869999999999976</v>
      </c>
      <c r="M56" s="2"/>
      <c r="N56" s="22">
        <f t="shared" si="1"/>
        <v>-0.36946017365043404</v>
      </c>
      <c r="O56" s="11"/>
      <c r="P56" s="2">
        <f>--167.03</f>
        <v>167.03</v>
      </c>
      <c r="Q56" s="2"/>
      <c r="R56" s="22"/>
      <c r="S56" s="2"/>
      <c r="T56" s="2">
        <f>--264.9</f>
        <v>264.89999999999998</v>
      </c>
      <c r="U56" s="2"/>
      <c r="V56" s="22"/>
      <c r="W56" s="2"/>
      <c r="X56" s="2">
        <f t="shared" si="2"/>
        <v>-97.869999999999976</v>
      </c>
      <c r="Y56" s="2"/>
      <c r="Z56" s="22">
        <f t="shared" si="3"/>
        <v>-0.36946017365043404</v>
      </c>
    </row>
    <row r="57" spans="1:26" s="24" customFormat="1" hidden="1" outlineLevel="1" x14ac:dyDescent="0.25">
      <c r="A57" s="50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--177.89</f>
        <v>177.89</v>
      </c>
      <c r="E57" s="2"/>
      <c r="F57" s="22"/>
      <c r="G57" s="2"/>
      <c r="H57" s="2">
        <f>--135.16</f>
        <v>135.16</v>
      </c>
      <c r="I57" s="2"/>
      <c r="J57" s="22"/>
      <c r="K57" s="2"/>
      <c r="L57" s="2">
        <f t="shared" si="0"/>
        <v>42.72999999999999</v>
      </c>
      <c r="M57" s="2"/>
      <c r="N57" s="22">
        <f t="shared" si="1"/>
        <v>0.31614382953536541</v>
      </c>
      <c r="O57" s="11"/>
      <c r="P57" s="2">
        <f>--177.89</f>
        <v>177.89</v>
      </c>
      <c r="Q57" s="2"/>
      <c r="R57" s="22"/>
      <c r="S57" s="2"/>
      <c r="T57" s="2">
        <f>--135.16</f>
        <v>135.16</v>
      </c>
      <c r="U57" s="2"/>
      <c r="V57" s="22"/>
      <c r="W57" s="2"/>
      <c r="X57" s="2">
        <f t="shared" si="2"/>
        <v>42.72999999999999</v>
      </c>
      <c r="Y57" s="2"/>
      <c r="Z57" s="22">
        <f t="shared" si="3"/>
        <v>0.31614382953536541</v>
      </c>
    </row>
    <row r="58" spans="1:26" s="24" customFormat="1" hidden="1" outlineLevel="1" x14ac:dyDescent="0.25">
      <c r="A58" s="50"/>
      <c r="B58" s="11" t="str">
        <f>CONCATENATE("          ", "4128", " - ", "NON-TAXABLE SALES-ART/TECH")</f>
        <v xml:space="preserve">          4128 - NON-TAXABLE SALES-ART/TECH</v>
      </c>
      <c r="C58" s="11"/>
      <c r="D58" s="2">
        <f>--1.49</f>
        <v>1.49</v>
      </c>
      <c r="E58" s="2"/>
      <c r="F58" s="22"/>
      <c r="G58" s="2"/>
      <c r="H58" s="2">
        <f>--30.69</f>
        <v>30.69</v>
      </c>
      <c r="I58" s="2"/>
      <c r="J58" s="22"/>
      <c r="K58" s="2"/>
      <c r="L58" s="2">
        <f t="shared" si="0"/>
        <v>-29.200000000000003</v>
      </c>
      <c r="M58" s="2"/>
      <c r="N58" s="22">
        <f t="shared" si="1"/>
        <v>-0.95144998370804823</v>
      </c>
      <c r="O58" s="11"/>
      <c r="P58" s="2">
        <f>--1.49</f>
        <v>1.49</v>
      </c>
      <c r="Q58" s="2"/>
      <c r="R58" s="22"/>
      <c r="S58" s="2"/>
      <c r="T58" s="2">
        <f>--30.69</f>
        <v>30.69</v>
      </c>
      <c r="U58" s="2"/>
      <c r="V58" s="22"/>
      <c r="W58" s="2"/>
      <c r="X58" s="2">
        <f t="shared" si="2"/>
        <v>-29.200000000000003</v>
      </c>
      <c r="Y58" s="2"/>
      <c r="Z58" s="22">
        <f t="shared" si="3"/>
        <v>-0.95144998370804823</v>
      </c>
    </row>
    <row r="59" spans="1:26" s="24" customFormat="1" hidden="1" outlineLevel="1" x14ac:dyDescent="0.25">
      <c r="A59" s="50"/>
      <c r="B59" s="11" t="str">
        <f>CONCATENATE("          ", "4131", " - ", "NON-TAXABLE SALES-FOOD")</f>
        <v xml:space="preserve">          4131 - NON-TAXABLE SALES-FOOD</v>
      </c>
      <c r="C59" s="11"/>
      <c r="D59" s="2">
        <f>--269.62</f>
        <v>269.62</v>
      </c>
      <c r="E59" s="2"/>
      <c r="F59" s="22"/>
      <c r="G59" s="2"/>
      <c r="H59" s="2">
        <f>--329.56</f>
        <v>329.56</v>
      </c>
      <c r="I59" s="2"/>
      <c r="J59" s="22"/>
      <c r="K59" s="2"/>
      <c r="L59" s="2">
        <f t="shared" si="0"/>
        <v>-59.94</v>
      </c>
      <c r="M59" s="2"/>
      <c r="N59" s="22">
        <f t="shared" si="1"/>
        <v>-0.18187886879475665</v>
      </c>
      <c r="O59" s="11"/>
      <c r="P59" s="2">
        <f>--269.62</f>
        <v>269.62</v>
      </c>
      <c r="Q59" s="2"/>
      <c r="R59" s="22"/>
      <c r="S59" s="2"/>
      <c r="T59" s="2">
        <f>--329.56</f>
        <v>329.56</v>
      </c>
      <c r="U59" s="2"/>
      <c r="V59" s="22"/>
      <c r="W59" s="2"/>
      <c r="X59" s="2">
        <f t="shared" si="2"/>
        <v>-59.94</v>
      </c>
      <c r="Y59" s="2"/>
      <c r="Z59" s="22">
        <f t="shared" si="3"/>
        <v>-0.18187886879475665</v>
      </c>
    </row>
    <row r="60" spans="1:26" s="24" customFormat="1" hidden="1" outlineLevel="1" x14ac:dyDescent="0.25">
      <c r="A60" s="50"/>
      <c r="B60" s="11" t="str">
        <f>CONCATENATE("          ", "4132", " - ", "NON-TAXABLE SALES-JUICE")</f>
        <v xml:space="preserve">          4132 - NON-TAXABLE SALES-JUICE</v>
      </c>
      <c r="C60" s="11"/>
      <c r="D60" s="2">
        <f>--45.31</f>
        <v>45.31</v>
      </c>
      <c r="E60" s="2"/>
      <c r="F60" s="22"/>
      <c r="G60" s="2"/>
      <c r="H60" s="2">
        <f>--70.91</f>
        <v>70.91</v>
      </c>
      <c r="I60" s="2"/>
      <c r="J60" s="22"/>
      <c r="K60" s="2"/>
      <c r="L60" s="2">
        <f t="shared" si="0"/>
        <v>-25.599999999999994</v>
      </c>
      <c r="M60" s="2"/>
      <c r="N60" s="22">
        <f t="shared" si="1"/>
        <v>-0.36102101255112107</v>
      </c>
      <c r="O60" s="11"/>
      <c r="P60" s="2">
        <f>--45.31</f>
        <v>45.31</v>
      </c>
      <c r="Q60" s="2"/>
      <c r="R60" s="22"/>
      <c r="S60" s="2"/>
      <c r="T60" s="2">
        <f>--70.91</f>
        <v>70.91</v>
      </c>
      <c r="U60" s="2"/>
      <c r="V60" s="22"/>
      <c r="W60" s="2"/>
      <c r="X60" s="2">
        <f t="shared" si="2"/>
        <v>-25.599999999999994</v>
      </c>
      <c r="Y60" s="2"/>
      <c r="Z60" s="22">
        <f t="shared" si="3"/>
        <v>-0.36102101255112107</v>
      </c>
    </row>
    <row r="61" spans="1:26" s="24" customFormat="1" hidden="1" outlineLevel="1" x14ac:dyDescent="0.25">
      <c r="A61" s="50"/>
      <c r="B61" s="11" t="str">
        <f>CONCATENATE("          ", "4133", " - ", "NON-TAXABLE SALES-CANDY")</f>
        <v xml:space="preserve">          4133 - NON-TAXABLE SALES-CANDY</v>
      </c>
      <c r="C61" s="11"/>
      <c r="D61" s="2">
        <f>--472.22</f>
        <v>472.22</v>
      </c>
      <c r="E61" s="2"/>
      <c r="F61" s="22"/>
      <c r="G61" s="2"/>
      <c r="H61" s="2">
        <f>--368.55</f>
        <v>368.55</v>
      </c>
      <c r="I61" s="2"/>
      <c r="J61" s="22"/>
      <c r="K61" s="2"/>
      <c r="L61" s="2">
        <f t="shared" si="0"/>
        <v>103.67000000000002</v>
      </c>
      <c r="M61" s="2"/>
      <c r="N61" s="22">
        <f t="shared" si="1"/>
        <v>0.28129154795821465</v>
      </c>
      <c r="O61" s="11"/>
      <c r="P61" s="2">
        <f>--472.22</f>
        <v>472.22</v>
      </c>
      <c r="Q61" s="2"/>
      <c r="R61" s="22"/>
      <c r="S61" s="2"/>
      <c r="T61" s="2">
        <f>--368.55</f>
        <v>368.55</v>
      </c>
      <c r="U61" s="2"/>
      <c r="V61" s="22"/>
      <c r="W61" s="2"/>
      <c r="X61" s="2">
        <f t="shared" si="2"/>
        <v>103.67000000000002</v>
      </c>
      <c r="Y61" s="2"/>
      <c r="Z61" s="22">
        <f t="shared" si="3"/>
        <v>0.28129154795821465</v>
      </c>
    </row>
    <row r="62" spans="1:26" s="24" customFormat="1" hidden="1" outlineLevel="1" x14ac:dyDescent="0.25">
      <c r="A62" s="50"/>
      <c r="B62" s="11" t="str">
        <f>CONCATENATE("          ", "4134", " - ", "NON-TAXABLE SALES-SODA")</f>
        <v xml:space="preserve">          4134 - NON-TAXABLE SALES-SODA</v>
      </c>
      <c r="C62" s="11"/>
      <c r="D62" s="2">
        <f>0</f>
        <v>0</v>
      </c>
      <c r="E62" s="2"/>
      <c r="F62" s="22"/>
      <c r="G62" s="2"/>
      <c r="H62" s="2">
        <f>--5.25</f>
        <v>5.25</v>
      </c>
      <c r="I62" s="2"/>
      <c r="J62" s="22"/>
      <c r="K62" s="2"/>
      <c r="L62" s="2">
        <f t="shared" si="0"/>
        <v>-5.25</v>
      </c>
      <c r="M62" s="2"/>
      <c r="N62" s="22">
        <f t="shared" si="1"/>
        <v>-1</v>
      </c>
      <c r="O62" s="11"/>
      <c r="P62" s="2">
        <f>0</f>
        <v>0</v>
      </c>
      <c r="Q62" s="2"/>
      <c r="R62" s="22"/>
      <c r="S62" s="2"/>
      <c r="T62" s="2">
        <f>--5.25</f>
        <v>5.25</v>
      </c>
      <c r="U62" s="2"/>
      <c r="V62" s="22"/>
      <c r="W62" s="2"/>
      <c r="X62" s="2">
        <f t="shared" si="2"/>
        <v>-5.25</v>
      </c>
      <c r="Y62" s="2"/>
      <c r="Z62" s="22">
        <f t="shared" si="3"/>
        <v>-1</v>
      </c>
    </row>
    <row r="63" spans="1:26" s="24" customFormat="1" hidden="1" outlineLevel="1" x14ac:dyDescent="0.25">
      <c r="A63" s="50"/>
      <c r="B63" s="11" t="str">
        <f>CONCATENATE("          ", "4135", " - ", "NON-TAXABLE SALES")</f>
        <v xml:space="preserve">          4135 - NON-TAXABLE SALES</v>
      </c>
      <c r="C63" s="11"/>
      <c r="D63" s="2">
        <f>--21.54</f>
        <v>21.54</v>
      </c>
      <c r="E63" s="2"/>
      <c r="F63" s="22"/>
      <c r="G63" s="2"/>
      <c r="H63" s="2">
        <f>--7.18</f>
        <v>7.18</v>
      </c>
      <c r="I63" s="2"/>
      <c r="J63" s="22"/>
      <c r="K63" s="2"/>
      <c r="L63" s="2">
        <f t="shared" si="0"/>
        <v>14.36</v>
      </c>
      <c r="M63" s="2"/>
      <c r="N63" s="22">
        <f t="shared" si="1"/>
        <v>2</v>
      </c>
      <c r="O63" s="11"/>
      <c r="P63" s="2">
        <f>--21.54</f>
        <v>21.54</v>
      </c>
      <c r="Q63" s="2"/>
      <c r="R63" s="22"/>
      <c r="S63" s="2"/>
      <c r="T63" s="2">
        <f>--7.18</f>
        <v>7.18</v>
      </c>
      <c r="U63" s="2"/>
      <c r="V63" s="22"/>
      <c r="W63" s="2"/>
      <c r="X63" s="2">
        <f t="shared" si="2"/>
        <v>14.36</v>
      </c>
      <c r="Y63" s="2"/>
      <c r="Z63" s="22">
        <f t="shared" si="3"/>
        <v>2</v>
      </c>
    </row>
    <row r="64" spans="1:26" s="24" customFormat="1" hidden="1" outlineLevel="1" x14ac:dyDescent="0.25">
      <c r="A64" s="50"/>
      <c r="B64" s="11" t="str">
        <f>CONCATENATE("          ", "4137", " - ", "NON-TAXABLE SALES-WATER")</f>
        <v xml:space="preserve">          4137 - NON-TAXABLE SALES-WATER</v>
      </c>
      <c r="C64" s="11"/>
      <c r="D64" s="2">
        <f>--53.02</f>
        <v>53.02</v>
      </c>
      <c r="E64" s="2"/>
      <c r="F64" s="22"/>
      <c r="G64" s="2"/>
      <c r="H64" s="2">
        <f>--58.38</f>
        <v>58.38</v>
      </c>
      <c r="I64" s="2"/>
      <c r="J64" s="22"/>
      <c r="K64" s="2"/>
      <c r="L64" s="2">
        <f t="shared" si="0"/>
        <v>-5.3599999999999994</v>
      </c>
      <c r="M64" s="2"/>
      <c r="N64" s="22">
        <f t="shared" si="1"/>
        <v>-9.1812264474134958E-2</v>
      </c>
      <c r="O64" s="11"/>
      <c r="P64" s="2">
        <f>--53.02</f>
        <v>53.02</v>
      </c>
      <c r="Q64" s="2"/>
      <c r="R64" s="22"/>
      <c r="S64" s="2"/>
      <c r="T64" s="2">
        <f>--58.38</f>
        <v>58.38</v>
      </c>
      <c r="U64" s="2"/>
      <c r="V64" s="22"/>
      <c r="W64" s="2"/>
      <c r="X64" s="2">
        <f t="shared" si="2"/>
        <v>-5.3599999999999994</v>
      </c>
      <c r="Y64" s="2"/>
      <c r="Z64" s="22">
        <f t="shared" si="3"/>
        <v>-9.1812264474134958E-2</v>
      </c>
    </row>
    <row r="65" spans="1:26" s="24" customFormat="1" hidden="1" outlineLevel="1" x14ac:dyDescent="0.25">
      <c r="A65" s="50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--3163.67</f>
        <v>3163.67</v>
      </c>
      <c r="E65" s="2"/>
      <c r="F65" s="22"/>
      <c r="G65" s="2"/>
      <c r="H65" s="2">
        <f>--1813.55</f>
        <v>1813.55</v>
      </c>
      <c r="I65" s="2"/>
      <c r="J65" s="22"/>
      <c r="K65" s="2"/>
      <c r="L65" s="2">
        <f t="shared" si="0"/>
        <v>1350.1200000000001</v>
      </c>
      <c r="M65" s="2"/>
      <c r="N65" s="22">
        <f t="shared" si="1"/>
        <v>0.74446251826528087</v>
      </c>
      <c r="O65" s="11"/>
      <c r="P65" s="2">
        <f>--3163.67</f>
        <v>3163.67</v>
      </c>
      <c r="Q65" s="2"/>
      <c r="R65" s="22"/>
      <c r="S65" s="2"/>
      <c r="T65" s="2">
        <f>--1813.55</f>
        <v>1813.55</v>
      </c>
      <c r="U65" s="2"/>
      <c r="V65" s="22"/>
      <c r="W65" s="2"/>
      <c r="X65" s="2">
        <f t="shared" si="2"/>
        <v>1350.1200000000001</v>
      </c>
      <c r="Y65" s="2"/>
      <c r="Z65" s="22">
        <f t="shared" si="3"/>
        <v>0.74446251826528087</v>
      </c>
    </row>
    <row r="66" spans="1:26" s="24" customFormat="1" hidden="1" outlineLevel="1" x14ac:dyDescent="0.25">
      <c r="A66" s="50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--262.15</f>
        <v>262.14999999999998</v>
      </c>
      <c r="E66" s="2"/>
      <c r="F66" s="22"/>
      <c r="G66" s="2"/>
      <c r="H66" s="2">
        <f>--193.6</f>
        <v>193.6</v>
      </c>
      <c r="I66" s="2"/>
      <c r="J66" s="22"/>
      <c r="K66" s="2"/>
      <c r="L66" s="2">
        <f t="shared" si="0"/>
        <v>68.549999999999983</v>
      </c>
      <c r="M66" s="2"/>
      <c r="N66" s="22">
        <f t="shared" si="1"/>
        <v>0.3540805785123966</v>
      </c>
      <c r="O66" s="11"/>
      <c r="P66" s="2">
        <f>--262.15</f>
        <v>262.14999999999998</v>
      </c>
      <c r="Q66" s="2"/>
      <c r="R66" s="22"/>
      <c r="S66" s="2"/>
      <c r="T66" s="2">
        <f>--193.6</f>
        <v>193.6</v>
      </c>
      <c r="U66" s="2"/>
      <c r="V66" s="22"/>
      <c r="W66" s="2"/>
      <c r="X66" s="2">
        <f t="shared" si="2"/>
        <v>68.549999999999983</v>
      </c>
      <c r="Y66" s="2"/>
      <c r="Z66" s="22">
        <f t="shared" si="3"/>
        <v>0.3540805785123966</v>
      </c>
    </row>
    <row r="67" spans="1:26" s="24" customFormat="1" hidden="1" outlineLevel="1" x14ac:dyDescent="0.25">
      <c r="A67" s="50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--342.44</f>
        <v>342.44</v>
      </c>
      <c r="E67" s="2"/>
      <c r="F67" s="22"/>
      <c r="G67" s="2"/>
      <c r="H67" s="2">
        <f>--148.95</f>
        <v>148.94999999999999</v>
      </c>
      <c r="I67" s="2"/>
      <c r="J67" s="22"/>
      <c r="K67" s="2"/>
      <c r="L67" s="2">
        <f t="shared" si="0"/>
        <v>193.49</v>
      </c>
      <c r="M67" s="2"/>
      <c r="N67" s="22">
        <f t="shared" si="1"/>
        <v>1.2990265189660961</v>
      </c>
      <c r="O67" s="11"/>
      <c r="P67" s="2">
        <f>--342.44</f>
        <v>342.44</v>
      </c>
      <c r="Q67" s="2"/>
      <c r="R67" s="22"/>
      <c r="S67" s="2"/>
      <c r="T67" s="2">
        <f>--148.95</f>
        <v>148.94999999999999</v>
      </c>
      <c r="U67" s="2"/>
      <c r="V67" s="22"/>
      <c r="W67" s="2"/>
      <c r="X67" s="2">
        <f t="shared" si="2"/>
        <v>193.49</v>
      </c>
      <c r="Y67" s="2"/>
      <c r="Z67" s="22">
        <f t="shared" si="3"/>
        <v>1.2990265189660961</v>
      </c>
    </row>
    <row r="68" spans="1:26" s="24" customFormat="1" hidden="1" outlineLevel="1" x14ac:dyDescent="0.25">
      <c r="A68" s="50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--21.9</f>
        <v>21.9</v>
      </c>
      <c r="E68" s="2"/>
      <c r="F68" s="22"/>
      <c r="G68" s="2"/>
      <c r="H68" s="2">
        <f>--44.95</f>
        <v>44.95</v>
      </c>
      <c r="I68" s="2"/>
      <c r="J68" s="22"/>
      <c r="K68" s="2"/>
      <c r="L68" s="2">
        <f t="shared" si="0"/>
        <v>-23.050000000000004</v>
      </c>
      <c r="M68" s="2"/>
      <c r="N68" s="22">
        <f t="shared" si="1"/>
        <v>-0.51279199110122364</v>
      </c>
      <c r="O68" s="11"/>
      <c r="P68" s="2">
        <f>--21.9</f>
        <v>21.9</v>
      </c>
      <c r="Q68" s="2"/>
      <c r="R68" s="22"/>
      <c r="S68" s="2"/>
      <c r="T68" s="2">
        <f>--44.95</f>
        <v>44.95</v>
      </c>
      <c r="U68" s="2"/>
      <c r="V68" s="22"/>
      <c r="W68" s="2"/>
      <c r="X68" s="2">
        <f t="shared" si="2"/>
        <v>-23.050000000000004</v>
      </c>
      <c r="Y68" s="2"/>
      <c r="Z68" s="22">
        <f t="shared" si="3"/>
        <v>-0.51279199110122364</v>
      </c>
    </row>
    <row r="69" spans="1:26" s="24" customFormat="1" hidden="1" outlineLevel="1" x14ac:dyDescent="0.25">
      <c r="A69" s="50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0</f>
        <v>0</v>
      </c>
      <c r="E69" s="2"/>
      <c r="F69" s="22"/>
      <c r="G69" s="2"/>
      <c r="H69" s="2">
        <f>--59.85</f>
        <v>59.85</v>
      </c>
      <c r="I69" s="2"/>
      <c r="J69" s="22"/>
      <c r="K69" s="2"/>
      <c r="L69" s="2">
        <f t="shared" si="0"/>
        <v>-59.85</v>
      </c>
      <c r="M69" s="2"/>
      <c r="N69" s="22">
        <f t="shared" si="1"/>
        <v>-1</v>
      </c>
      <c r="O69" s="11"/>
      <c r="P69" s="2">
        <f>0</f>
        <v>0</v>
      </c>
      <c r="Q69" s="2"/>
      <c r="R69" s="22"/>
      <c r="S69" s="2"/>
      <c r="T69" s="2">
        <f>--59.85</f>
        <v>59.85</v>
      </c>
      <c r="U69" s="2"/>
      <c r="V69" s="22"/>
      <c r="W69" s="2"/>
      <c r="X69" s="2">
        <f t="shared" si="2"/>
        <v>-59.85</v>
      </c>
      <c r="Y69" s="2"/>
      <c r="Z69" s="22">
        <f t="shared" si="3"/>
        <v>-1</v>
      </c>
    </row>
    <row r="70" spans="1:26" s="24" customFormat="1" hidden="1" outlineLevel="1" x14ac:dyDescent="0.25">
      <c r="A70" s="50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--2067.1</f>
        <v>2067.1</v>
      </c>
      <c r="E70" s="2"/>
      <c r="F70" s="22"/>
      <c r="G70" s="2"/>
      <c r="H70" s="2">
        <f>--2380.65</f>
        <v>2380.65</v>
      </c>
      <c r="I70" s="2"/>
      <c r="J70" s="22"/>
      <c r="K70" s="2"/>
      <c r="L70" s="2">
        <f t="shared" si="0"/>
        <v>-313.55000000000018</v>
      </c>
      <c r="M70" s="2"/>
      <c r="N70" s="22">
        <f t="shared" si="1"/>
        <v>-0.13170772688131399</v>
      </c>
      <c r="O70" s="11"/>
      <c r="P70" s="2">
        <f>--2067.1</f>
        <v>2067.1</v>
      </c>
      <c r="Q70" s="2"/>
      <c r="R70" s="22"/>
      <c r="S70" s="2"/>
      <c r="T70" s="2">
        <f>--2380.65</f>
        <v>2380.65</v>
      </c>
      <c r="U70" s="2"/>
      <c r="V70" s="22"/>
      <c r="W70" s="2"/>
      <c r="X70" s="2">
        <f t="shared" si="2"/>
        <v>-313.55000000000018</v>
      </c>
      <c r="Y70" s="2"/>
      <c r="Z70" s="22">
        <f t="shared" si="3"/>
        <v>-0.13170772688131399</v>
      </c>
    </row>
    <row r="71" spans="1:26" s="24" customFormat="1" hidden="1" outlineLevel="1" x14ac:dyDescent="0.25">
      <c r="A71" s="50"/>
      <c r="B71" s="11" t="str">
        <f>CONCATENATE("          ", "4147", " - ", "NON-TAXABLE SALES-MISC")</f>
        <v xml:space="preserve">          4147 - NON-TAXABLE SALES-MISC</v>
      </c>
      <c r="C71" s="11"/>
      <c r="D71" s="2">
        <f>--16.5</f>
        <v>16.5</v>
      </c>
      <c r="E71" s="2"/>
      <c r="F71" s="22"/>
      <c r="G71" s="2"/>
      <c r="H71" s="2">
        <f>--18</f>
        <v>18</v>
      </c>
      <c r="I71" s="2"/>
      <c r="J71" s="22"/>
      <c r="K71" s="2"/>
      <c r="L71" s="2">
        <f t="shared" si="0"/>
        <v>-1.5</v>
      </c>
      <c r="M71" s="2"/>
      <c r="N71" s="22">
        <f t="shared" si="1"/>
        <v>-8.3333333333333329E-2</v>
      </c>
      <c r="O71" s="11"/>
      <c r="P71" s="2">
        <f>--16.5</f>
        <v>16.5</v>
      </c>
      <c r="Q71" s="2"/>
      <c r="R71" s="22"/>
      <c r="S71" s="2"/>
      <c r="T71" s="2">
        <f>--18</f>
        <v>18</v>
      </c>
      <c r="U71" s="2"/>
      <c r="V71" s="22"/>
      <c r="W71" s="2"/>
      <c r="X71" s="2">
        <f t="shared" si="2"/>
        <v>-1.5</v>
      </c>
      <c r="Y71" s="2"/>
      <c r="Z71" s="22">
        <f t="shared" si="3"/>
        <v>-8.3333333333333329E-2</v>
      </c>
    </row>
    <row r="72" spans="1:26" s="24" customFormat="1" hidden="1" outlineLevel="1" x14ac:dyDescent="0.25">
      <c r="A72" s="50"/>
      <c r="B72" s="11" t="str">
        <f>CONCATENATE("          ", "4181", " - ", "NON-TAXABLE SALES-ELECTRONICS")</f>
        <v xml:space="preserve">          4181 - NON-TAXABLE SALES-ELECTRONICS</v>
      </c>
      <c r="C72" s="11"/>
      <c r="D72" s="2">
        <f>--1302.61</f>
        <v>1302.6099999999999</v>
      </c>
      <c r="E72" s="2"/>
      <c r="F72" s="22"/>
      <c r="G72" s="2"/>
      <c r="H72" s="2">
        <f>--194.02</f>
        <v>194.02</v>
      </c>
      <c r="I72" s="2"/>
      <c r="J72" s="22"/>
      <c r="K72" s="2"/>
      <c r="L72" s="2">
        <f t="shared" si="0"/>
        <v>1108.5899999999999</v>
      </c>
      <c r="M72" s="2"/>
      <c r="N72" s="22">
        <f t="shared" si="1"/>
        <v>5.7137923925368508</v>
      </c>
      <c r="O72" s="11"/>
      <c r="P72" s="2">
        <f>--1302.61</f>
        <v>1302.6099999999999</v>
      </c>
      <c r="Q72" s="2"/>
      <c r="R72" s="22"/>
      <c r="S72" s="2"/>
      <c r="T72" s="2">
        <f>--194.02</f>
        <v>194.02</v>
      </c>
      <c r="U72" s="2"/>
      <c r="V72" s="22"/>
      <c r="W72" s="2"/>
      <c r="X72" s="2">
        <f t="shared" si="2"/>
        <v>1108.5899999999999</v>
      </c>
      <c r="Y72" s="2"/>
      <c r="Z72" s="22">
        <f t="shared" si="3"/>
        <v>5.7137923925368508</v>
      </c>
    </row>
    <row r="73" spans="1:26" s="24" customFormat="1" hidden="1" outlineLevel="1" x14ac:dyDescent="0.25">
      <c r="A73" s="50"/>
      <c r="B73" s="11" t="str">
        <f>CONCATENATE("          ", "4182", " - ", "NON-TAXABLE SALES-COMPUTER HAR")</f>
        <v xml:space="preserve">          4182 - NON-TAXABLE SALES-COMPUTER HAR</v>
      </c>
      <c r="C73" s="11"/>
      <c r="D73" s="2">
        <f>--10618</f>
        <v>10618</v>
      </c>
      <c r="E73" s="2"/>
      <c r="F73" s="22"/>
      <c r="G73" s="2"/>
      <c r="H73" s="2">
        <f>--31126.98</f>
        <v>31126.98</v>
      </c>
      <c r="I73" s="2"/>
      <c r="J73" s="22"/>
      <c r="K73" s="2"/>
      <c r="L73" s="2">
        <f t="shared" si="0"/>
        <v>-20508.98</v>
      </c>
      <c r="M73" s="2"/>
      <c r="N73" s="22">
        <f t="shared" si="1"/>
        <v>-0.65888113784247615</v>
      </c>
      <c r="O73" s="11"/>
      <c r="P73" s="2">
        <f>--10618</f>
        <v>10618</v>
      </c>
      <c r="Q73" s="2"/>
      <c r="R73" s="22"/>
      <c r="S73" s="2"/>
      <c r="T73" s="2">
        <f>--31126.98</f>
        <v>31126.98</v>
      </c>
      <c r="U73" s="2"/>
      <c r="V73" s="22"/>
      <c r="W73" s="2"/>
      <c r="X73" s="2">
        <f t="shared" si="2"/>
        <v>-20508.98</v>
      </c>
      <c r="Y73" s="2"/>
      <c r="Z73" s="22">
        <f t="shared" si="3"/>
        <v>-0.65888113784247615</v>
      </c>
    </row>
    <row r="74" spans="1:26" s="24" customFormat="1" hidden="1" outlineLevel="1" x14ac:dyDescent="0.25">
      <c r="A74" s="50"/>
      <c r="B74" s="11" t="str">
        <f>CONCATENATE("          ", "4183", " - ", "NON-TAXABLE SALES-COMPUTER EQU")</f>
        <v xml:space="preserve">          4183 - NON-TAXABLE SALES-COMPUTER EQU</v>
      </c>
      <c r="C74" s="11"/>
      <c r="D74" s="2">
        <f>--181.9</f>
        <v>181.9</v>
      </c>
      <c r="E74" s="2"/>
      <c r="F74" s="22"/>
      <c r="G74" s="2"/>
      <c r="H74" s="2">
        <f>--188.95</f>
        <v>188.95</v>
      </c>
      <c r="I74" s="2"/>
      <c r="J74" s="22"/>
      <c r="K74" s="2"/>
      <c r="L74" s="2">
        <f t="shared" si="0"/>
        <v>-7.0499999999999829</v>
      </c>
      <c r="M74" s="2"/>
      <c r="N74" s="22">
        <f t="shared" si="1"/>
        <v>-3.7311458057687132E-2</v>
      </c>
      <c r="O74" s="11"/>
      <c r="P74" s="2">
        <f>--181.9</f>
        <v>181.9</v>
      </c>
      <c r="Q74" s="2"/>
      <c r="R74" s="22"/>
      <c r="S74" s="2"/>
      <c r="T74" s="2">
        <f>--188.95</f>
        <v>188.95</v>
      </c>
      <c r="U74" s="2"/>
      <c r="V74" s="22"/>
      <c r="W74" s="2"/>
      <c r="X74" s="2">
        <f t="shared" si="2"/>
        <v>-7.0499999999999829</v>
      </c>
      <c r="Y74" s="2"/>
      <c r="Z74" s="22">
        <f t="shared" si="3"/>
        <v>-3.7311458057687132E-2</v>
      </c>
    </row>
    <row r="75" spans="1:26" s="24" customFormat="1" hidden="1" outlineLevel="1" x14ac:dyDescent="0.25">
      <c r="A75" s="50"/>
      <c r="B75" s="11" t="str">
        <f>CONCATENATE("          ", "4185", " - ", "NON-TAXABLE SALES-SOFTWARE")</f>
        <v xml:space="preserve">          4185 - NON-TAXABLE SALES-SOFTWARE</v>
      </c>
      <c r="C75" s="11"/>
      <c r="D75" s="2">
        <f>--752</f>
        <v>752</v>
      </c>
      <c r="E75" s="2"/>
      <c r="F75" s="22"/>
      <c r="G75" s="2"/>
      <c r="H75" s="2">
        <f>--768.98</f>
        <v>768.98</v>
      </c>
      <c r="I75" s="2"/>
      <c r="J75" s="22"/>
      <c r="K75" s="2"/>
      <c r="L75" s="2">
        <f t="shared" si="0"/>
        <v>-16.980000000000018</v>
      </c>
      <c r="M75" s="2"/>
      <c r="N75" s="22">
        <f t="shared" si="1"/>
        <v>-2.2081198470701471E-2</v>
      </c>
      <c r="O75" s="11"/>
      <c r="P75" s="2">
        <f>--752</f>
        <v>752</v>
      </c>
      <c r="Q75" s="2"/>
      <c r="R75" s="22"/>
      <c r="S75" s="2"/>
      <c r="T75" s="2">
        <f>--768.98</f>
        <v>768.98</v>
      </c>
      <c r="U75" s="2"/>
      <c r="V75" s="22"/>
      <c r="W75" s="2"/>
      <c r="X75" s="2">
        <f t="shared" si="2"/>
        <v>-16.980000000000018</v>
      </c>
      <c r="Y75" s="2"/>
      <c r="Z75" s="22">
        <f t="shared" si="3"/>
        <v>-2.2081198470701471E-2</v>
      </c>
    </row>
    <row r="76" spans="1:26" s="24" customFormat="1" hidden="1" outlineLevel="1" x14ac:dyDescent="0.25">
      <c r="A76" s="50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>--79.97</f>
        <v>79.97</v>
      </c>
      <c r="E76" s="2"/>
      <c r="F76" s="22"/>
      <c r="G76" s="2"/>
      <c r="H76" s="2">
        <f>--824.24</f>
        <v>824.24</v>
      </c>
      <c r="I76" s="2"/>
      <c r="J76" s="22"/>
      <c r="K76" s="2"/>
      <c r="L76" s="2">
        <f t="shared" si="0"/>
        <v>-744.27</v>
      </c>
      <c r="M76" s="2"/>
      <c r="N76" s="22">
        <f t="shared" si="1"/>
        <v>-0.90297728816849454</v>
      </c>
      <c r="O76" s="11"/>
      <c r="P76" s="2">
        <f>--79.97</f>
        <v>79.97</v>
      </c>
      <c r="Q76" s="2"/>
      <c r="R76" s="22"/>
      <c r="S76" s="2"/>
      <c r="T76" s="2">
        <f>--824.24</f>
        <v>824.24</v>
      </c>
      <c r="U76" s="2"/>
      <c r="V76" s="22"/>
      <c r="W76" s="2"/>
      <c r="X76" s="2">
        <f t="shared" si="2"/>
        <v>-744.27</v>
      </c>
      <c r="Y76" s="2"/>
      <c r="Z76" s="22">
        <f t="shared" si="3"/>
        <v>-0.90297728816849454</v>
      </c>
    </row>
    <row r="77" spans="1:26" s="24" customFormat="1" hidden="1" outlineLevel="1" x14ac:dyDescent="0.25">
      <c r="A77" s="50"/>
      <c r="B77" s="11" t="str">
        <f>CONCATENATE("          ", "4188", " - ", "NON-TAXABLE SALES-MUSIC")</f>
        <v xml:space="preserve">          4188 - NON-TAXABLE SALES-MUSIC</v>
      </c>
      <c r="C77" s="11"/>
      <c r="D77" s="2">
        <f>--99.98</f>
        <v>99.98</v>
      </c>
      <c r="E77" s="2"/>
      <c r="F77" s="22"/>
      <c r="G77" s="2"/>
      <c r="H77" s="2">
        <f>--199.98</f>
        <v>199.98</v>
      </c>
      <c r="I77" s="2"/>
      <c r="J77" s="22"/>
      <c r="K77" s="2"/>
      <c r="L77" s="2">
        <f t="shared" si="0"/>
        <v>-99.999999999999986</v>
      </c>
      <c r="M77" s="2"/>
      <c r="N77" s="22">
        <f t="shared" si="1"/>
        <v>-0.50005000500050001</v>
      </c>
      <c r="O77" s="11"/>
      <c r="P77" s="2">
        <f>--99.98</f>
        <v>99.98</v>
      </c>
      <c r="Q77" s="2"/>
      <c r="R77" s="22"/>
      <c r="S77" s="2"/>
      <c r="T77" s="2">
        <f>--199.98</f>
        <v>199.98</v>
      </c>
      <c r="U77" s="2"/>
      <c r="V77" s="22"/>
      <c r="W77" s="2"/>
      <c r="X77" s="2">
        <f t="shared" si="2"/>
        <v>-99.999999999999986</v>
      </c>
      <c r="Y77" s="2"/>
      <c r="Z77" s="22">
        <f t="shared" si="3"/>
        <v>-0.50005000500050001</v>
      </c>
    </row>
    <row r="78" spans="1:26" s="24" customFormat="1" hidden="1" outlineLevel="1" x14ac:dyDescent="0.25">
      <c r="A78" s="50"/>
      <c r="B78" s="11" t="str">
        <f>CONCATENATE("          ", "4201", " - ", "SALES RETURN TAXABLE-NEW TEXT")</f>
        <v xml:space="preserve">          4201 - SALES RETURN TAXABLE-NEW TEXT</v>
      </c>
      <c r="C78" s="11"/>
      <c r="D78" s="2">
        <f>-607.15</f>
        <v>-607.15</v>
      </c>
      <c r="E78" s="2"/>
      <c r="F78" s="22"/>
      <c r="G78" s="2"/>
      <c r="H78" s="2">
        <f>-1507.5</f>
        <v>-1507.5</v>
      </c>
      <c r="I78" s="2"/>
      <c r="J78" s="22"/>
      <c r="K78" s="2"/>
      <c r="L78" s="2">
        <f t="shared" si="0"/>
        <v>900.35</v>
      </c>
      <c r="M78" s="2"/>
      <c r="N78" s="22">
        <f t="shared" si="1"/>
        <v>-0.59724709784411278</v>
      </c>
      <c r="O78" s="11"/>
      <c r="P78" s="2">
        <f>-607.15</f>
        <v>-607.15</v>
      </c>
      <c r="Q78" s="2"/>
      <c r="R78" s="22"/>
      <c r="S78" s="2"/>
      <c r="T78" s="2">
        <f>-1507.5</f>
        <v>-1507.5</v>
      </c>
      <c r="U78" s="2"/>
      <c r="V78" s="22"/>
      <c r="W78" s="2"/>
      <c r="X78" s="2">
        <f t="shared" si="2"/>
        <v>900.35</v>
      </c>
      <c r="Y78" s="2"/>
      <c r="Z78" s="22">
        <f t="shared" si="3"/>
        <v>-0.59724709784411278</v>
      </c>
    </row>
    <row r="79" spans="1:26" s="24" customFormat="1" hidden="1" outlineLevel="1" x14ac:dyDescent="0.25">
      <c r="A79" s="50"/>
      <c r="B79" s="11" t="str">
        <f>CONCATENATE("          ", "4202", " - ", "SALES RETURN TAXABLE-USED TEXT")</f>
        <v xml:space="preserve">          4202 - SALES RETURN TAXABLE-USED TEXT</v>
      </c>
      <c r="C79" s="11"/>
      <c r="D79" s="2">
        <f>-721.45</f>
        <v>-721.45</v>
      </c>
      <c r="E79" s="2"/>
      <c r="F79" s="22"/>
      <c r="G79" s="2"/>
      <c r="H79" s="2">
        <f>-579.25</f>
        <v>-579.25</v>
      </c>
      <c r="I79" s="2"/>
      <c r="J79" s="22"/>
      <c r="K79" s="2"/>
      <c r="L79" s="2">
        <f t="shared" si="0"/>
        <v>-142.20000000000005</v>
      </c>
      <c r="M79" s="2"/>
      <c r="N79" s="22">
        <f t="shared" si="1"/>
        <v>0.2454898575744498</v>
      </c>
      <c r="O79" s="11"/>
      <c r="P79" s="2">
        <f>-721.45</f>
        <v>-721.45</v>
      </c>
      <c r="Q79" s="2"/>
      <c r="R79" s="22"/>
      <c r="S79" s="2"/>
      <c r="T79" s="2">
        <f>-579.25</f>
        <v>-579.25</v>
      </c>
      <c r="U79" s="2"/>
      <c r="V79" s="22"/>
      <c r="W79" s="2"/>
      <c r="X79" s="2">
        <f t="shared" si="2"/>
        <v>-142.20000000000005</v>
      </c>
      <c r="Y79" s="2"/>
      <c r="Z79" s="22">
        <f t="shared" si="3"/>
        <v>0.2454898575744498</v>
      </c>
    </row>
    <row r="80" spans="1:26" s="24" customFormat="1" hidden="1" outlineLevel="1" x14ac:dyDescent="0.25">
      <c r="A80" s="50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ref="D80:D81" si="4">0</f>
        <v>0</v>
      </c>
      <c r="E80" s="2"/>
      <c r="F80" s="22"/>
      <c r="G80" s="2"/>
      <c r="H80" s="2">
        <f>-85</f>
        <v>-85</v>
      </c>
      <c r="I80" s="2"/>
      <c r="J80" s="22"/>
      <c r="K80" s="2"/>
      <c r="L80" s="2">
        <f t="shared" si="0"/>
        <v>85</v>
      </c>
      <c r="M80" s="2"/>
      <c r="N80" s="22">
        <f t="shared" si="1"/>
        <v>-1</v>
      </c>
      <c r="O80" s="11"/>
      <c r="P80" s="2">
        <f t="shared" ref="P80:P81" si="5">0</f>
        <v>0</v>
      </c>
      <c r="Q80" s="2"/>
      <c r="R80" s="22"/>
      <c r="S80" s="2"/>
      <c r="T80" s="2">
        <f>-85</f>
        <v>-85</v>
      </c>
      <c r="U80" s="2"/>
      <c r="V80" s="22"/>
      <c r="W80" s="2"/>
      <c r="X80" s="2">
        <f t="shared" si="2"/>
        <v>85</v>
      </c>
      <c r="Y80" s="2"/>
      <c r="Z80" s="22">
        <f t="shared" si="3"/>
        <v>-1</v>
      </c>
    </row>
    <row r="81" spans="1:26" s="24" customFormat="1" hidden="1" outlineLevel="1" x14ac:dyDescent="0.25">
      <c r="A81" s="50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4"/>
        <v>0</v>
      </c>
      <c r="E81" s="2"/>
      <c r="F81" s="22"/>
      <c r="G81" s="2"/>
      <c r="H81" s="2">
        <f>-15.95</f>
        <v>-15.95</v>
      </c>
      <c r="I81" s="2"/>
      <c r="J81" s="22"/>
      <c r="K81" s="2"/>
      <c r="L81" s="2">
        <f t="shared" si="0"/>
        <v>15.95</v>
      </c>
      <c r="M81" s="2"/>
      <c r="N81" s="22">
        <f t="shared" si="1"/>
        <v>-1</v>
      </c>
      <c r="O81" s="11"/>
      <c r="P81" s="2">
        <f t="shared" si="5"/>
        <v>0</v>
      </c>
      <c r="Q81" s="2"/>
      <c r="R81" s="22"/>
      <c r="S81" s="2"/>
      <c r="T81" s="2">
        <f>-15.95</f>
        <v>-15.95</v>
      </c>
      <c r="U81" s="2"/>
      <c r="V81" s="22"/>
      <c r="W81" s="2"/>
      <c r="X81" s="2">
        <f t="shared" si="2"/>
        <v>15.95</v>
      </c>
      <c r="Y81" s="2"/>
      <c r="Z81" s="22">
        <f t="shared" si="3"/>
        <v>-1</v>
      </c>
    </row>
    <row r="82" spans="1:26" s="24" customFormat="1" hidden="1" outlineLevel="1" x14ac:dyDescent="0.25">
      <c r="A82" s="50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>-4.08</f>
        <v>-4.08</v>
      </c>
      <c r="E82" s="2"/>
      <c r="F82" s="22"/>
      <c r="G82" s="2"/>
      <c r="H82" s="2">
        <f>-6.78</f>
        <v>-6.78</v>
      </c>
      <c r="I82" s="2"/>
      <c r="J82" s="22"/>
      <c r="K82" s="2"/>
      <c r="L82" s="2">
        <f t="shared" si="0"/>
        <v>2.7</v>
      </c>
      <c r="M82" s="2"/>
      <c r="N82" s="22">
        <f t="shared" si="1"/>
        <v>-0.39823008849557523</v>
      </c>
      <c r="O82" s="11"/>
      <c r="P82" s="2">
        <f>-4.08</f>
        <v>-4.08</v>
      </c>
      <c r="Q82" s="2"/>
      <c r="R82" s="22"/>
      <c r="S82" s="2"/>
      <c r="T82" s="2">
        <f>-6.78</f>
        <v>-6.78</v>
      </c>
      <c r="U82" s="2"/>
      <c r="V82" s="22"/>
      <c r="W82" s="2"/>
      <c r="X82" s="2">
        <f t="shared" si="2"/>
        <v>2.7</v>
      </c>
      <c r="Y82" s="2"/>
      <c r="Z82" s="22">
        <f t="shared" si="3"/>
        <v>-0.39823008849557523</v>
      </c>
    </row>
    <row r="83" spans="1:26" s="24" customFormat="1" hidden="1" outlineLevel="1" x14ac:dyDescent="0.25">
      <c r="A83" s="50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-63.93</f>
        <v>-63.93</v>
      </c>
      <c r="E83" s="2"/>
      <c r="F83" s="22"/>
      <c r="G83" s="2"/>
      <c r="H83" s="2">
        <f>-11.17</f>
        <v>-11.17</v>
      </c>
      <c r="I83" s="2"/>
      <c r="J83" s="22"/>
      <c r="K83" s="2"/>
      <c r="L83" s="2">
        <f t="shared" si="0"/>
        <v>-52.76</v>
      </c>
      <c r="M83" s="2"/>
      <c r="N83" s="22">
        <f t="shared" si="1"/>
        <v>4.7233661593554164</v>
      </c>
      <c r="O83" s="11"/>
      <c r="P83" s="2">
        <f>-63.93</f>
        <v>-63.93</v>
      </c>
      <c r="Q83" s="2"/>
      <c r="R83" s="22"/>
      <c r="S83" s="2"/>
      <c r="T83" s="2">
        <f>-11.17</f>
        <v>-11.17</v>
      </c>
      <c r="U83" s="2"/>
      <c r="V83" s="22"/>
      <c r="W83" s="2"/>
      <c r="X83" s="2">
        <f t="shared" si="2"/>
        <v>-52.76</v>
      </c>
      <c r="Y83" s="2"/>
      <c r="Z83" s="22">
        <f t="shared" si="3"/>
        <v>4.7233661593554164</v>
      </c>
    </row>
    <row r="84" spans="1:26" s="24" customFormat="1" hidden="1" outlineLevel="1" x14ac:dyDescent="0.25">
      <c r="A84" s="50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-165.44</f>
        <v>-165.44</v>
      </c>
      <c r="E84" s="2"/>
      <c r="F84" s="22"/>
      <c r="G84" s="2"/>
      <c r="H84" s="2">
        <f>-121.97</f>
        <v>-121.97</v>
      </c>
      <c r="I84" s="2"/>
      <c r="J84" s="22"/>
      <c r="K84" s="2"/>
      <c r="L84" s="2">
        <f t="shared" si="0"/>
        <v>-43.47</v>
      </c>
      <c r="M84" s="2"/>
      <c r="N84" s="22">
        <f t="shared" si="1"/>
        <v>0.35639911453636142</v>
      </c>
      <c r="O84" s="11"/>
      <c r="P84" s="2">
        <f>-165.44</f>
        <v>-165.44</v>
      </c>
      <c r="Q84" s="2"/>
      <c r="R84" s="22"/>
      <c r="S84" s="2"/>
      <c r="T84" s="2">
        <f>-121.97</f>
        <v>-121.97</v>
      </c>
      <c r="U84" s="2"/>
      <c r="V84" s="22"/>
      <c r="W84" s="2"/>
      <c r="X84" s="2">
        <f t="shared" si="2"/>
        <v>-43.47</v>
      </c>
      <c r="Y84" s="2"/>
      <c r="Z84" s="22">
        <f t="shared" si="3"/>
        <v>0.35639911453636142</v>
      </c>
    </row>
    <row r="85" spans="1:26" s="24" customFormat="1" hidden="1" outlineLevel="1" x14ac:dyDescent="0.25">
      <c r="A85" s="50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-10.37</f>
        <v>-10.37</v>
      </c>
      <c r="E85" s="2"/>
      <c r="F85" s="22"/>
      <c r="G85" s="2"/>
      <c r="H85" s="2">
        <f>-149.44</f>
        <v>-149.44</v>
      </c>
      <c r="I85" s="2"/>
      <c r="J85" s="22"/>
      <c r="K85" s="2"/>
      <c r="L85" s="2">
        <f t="shared" si="0"/>
        <v>139.07</v>
      </c>
      <c r="M85" s="2"/>
      <c r="N85" s="22">
        <f t="shared" si="1"/>
        <v>-0.93060760171306212</v>
      </c>
      <c r="O85" s="11"/>
      <c r="P85" s="2">
        <f>-10.37</f>
        <v>-10.37</v>
      </c>
      <c r="Q85" s="2"/>
      <c r="R85" s="22"/>
      <c r="S85" s="2"/>
      <c r="T85" s="2">
        <f>-149.44</f>
        <v>-149.44</v>
      </c>
      <c r="U85" s="2"/>
      <c r="V85" s="22"/>
      <c r="W85" s="2"/>
      <c r="X85" s="2">
        <f t="shared" si="2"/>
        <v>139.07</v>
      </c>
      <c r="Y85" s="2"/>
      <c r="Z85" s="22">
        <f t="shared" si="3"/>
        <v>-0.93060760171306212</v>
      </c>
    </row>
    <row r="86" spans="1:26" s="24" customFormat="1" hidden="1" outlineLevel="1" x14ac:dyDescent="0.25">
      <c r="A86" s="50"/>
      <c r="B86" s="11" t="str">
        <f>CONCATENATE("          ", "4240", " - ", "SALES RETURN TAXABLE-LOGO CLOT")</f>
        <v xml:space="preserve">          4240 - SALES RETURN TAXABLE-LOGO CLOT</v>
      </c>
      <c r="C86" s="11"/>
      <c r="D86" s="2">
        <f>-4446.84</f>
        <v>-4446.84</v>
      </c>
      <c r="E86" s="2"/>
      <c r="F86" s="22"/>
      <c r="G86" s="2"/>
      <c r="H86" s="2">
        <f>-5229.95</f>
        <v>-5229.95</v>
      </c>
      <c r="I86" s="2"/>
      <c r="J86" s="22"/>
      <c r="K86" s="2"/>
      <c r="L86" s="2">
        <f t="shared" si="0"/>
        <v>783.10999999999967</v>
      </c>
      <c r="M86" s="2"/>
      <c r="N86" s="22">
        <f t="shared" si="1"/>
        <v>-0.14973565712865319</v>
      </c>
      <c r="O86" s="11"/>
      <c r="P86" s="2">
        <f>-4446.84</f>
        <v>-4446.84</v>
      </c>
      <c r="Q86" s="2"/>
      <c r="R86" s="22"/>
      <c r="S86" s="2"/>
      <c r="T86" s="2">
        <f>-5229.95</f>
        <v>-5229.95</v>
      </c>
      <c r="U86" s="2"/>
      <c r="V86" s="22"/>
      <c r="W86" s="2"/>
      <c r="X86" s="2">
        <f t="shared" si="2"/>
        <v>783.10999999999967</v>
      </c>
      <c r="Y86" s="2"/>
      <c r="Z86" s="22">
        <f t="shared" si="3"/>
        <v>-0.14973565712865319</v>
      </c>
    </row>
    <row r="87" spans="1:26" s="24" customFormat="1" hidden="1" outlineLevel="1" x14ac:dyDescent="0.25">
      <c r="A87" s="50"/>
      <c r="B87" s="11" t="str">
        <f>CONCATENATE("          ", "4241", " - ", "SALES RETURN TAXABLE-LOGO GIFT")</f>
        <v xml:space="preserve">          4241 - SALES RETURN TAXABLE-LOGO GIFT</v>
      </c>
      <c r="C87" s="11"/>
      <c r="D87" s="2">
        <f>-718.9</f>
        <v>-718.9</v>
      </c>
      <c r="E87" s="2"/>
      <c r="F87" s="22"/>
      <c r="G87" s="2"/>
      <c r="H87" s="2">
        <f>-475.06</f>
        <v>-475.06</v>
      </c>
      <c r="I87" s="2"/>
      <c r="J87" s="22"/>
      <c r="K87" s="2"/>
      <c r="L87" s="2">
        <f t="shared" si="0"/>
        <v>-243.83999999999997</v>
      </c>
      <c r="M87" s="2"/>
      <c r="N87" s="22">
        <f t="shared" si="1"/>
        <v>0.51328253273270741</v>
      </c>
      <c r="O87" s="11"/>
      <c r="P87" s="2">
        <f>-718.9</f>
        <v>-718.9</v>
      </c>
      <c r="Q87" s="2"/>
      <c r="R87" s="22"/>
      <c r="S87" s="2"/>
      <c r="T87" s="2">
        <f>-475.06</f>
        <v>-475.06</v>
      </c>
      <c r="U87" s="2"/>
      <c r="V87" s="22"/>
      <c r="W87" s="2"/>
      <c r="X87" s="2">
        <f t="shared" si="2"/>
        <v>-243.83999999999997</v>
      </c>
      <c r="Y87" s="2"/>
      <c r="Z87" s="22">
        <f t="shared" si="3"/>
        <v>0.51328253273270741</v>
      </c>
    </row>
    <row r="88" spans="1:26" s="24" customFormat="1" hidden="1" outlineLevel="1" x14ac:dyDescent="0.25">
      <c r="A88" s="50"/>
      <c r="B88" s="11" t="str">
        <f>CONCATENATE("          ", "4242", " - ", "SALES RETURN TAXABLE-EVERYDAY")</f>
        <v xml:space="preserve">          4242 - SALES RETURN TAXABLE-EVERYDAY</v>
      </c>
      <c r="C88" s="11"/>
      <c r="D88" s="2">
        <f>-373.98</f>
        <v>-373.98</v>
      </c>
      <c r="E88" s="2"/>
      <c r="F88" s="22"/>
      <c r="G88" s="2"/>
      <c r="H88" s="2">
        <f>-160.74</f>
        <v>-160.74</v>
      </c>
      <c r="I88" s="2"/>
      <c r="J88" s="22"/>
      <c r="K88" s="2"/>
      <c r="L88" s="2">
        <f t="shared" si="0"/>
        <v>-213.24</v>
      </c>
      <c r="M88" s="2"/>
      <c r="N88" s="22">
        <f t="shared" si="1"/>
        <v>1.3266144083613289</v>
      </c>
      <c r="O88" s="11"/>
      <c r="P88" s="2">
        <f>-373.98</f>
        <v>-373.98</v>
      </c>
      <c r="Q88" s="2"/>
      <c r="R88" s="22"/>
      <c r="S88" s="2"/>
      <c r="T88" s="2">
        <f>-160.74</f>
        <v>-160.74</v>
      </c>
      <c r="U88" s="2"/>
      <c r="V88" s="22"/>
      <c r="W88" s="2"/>
      <c r="X88" s="2">
        <f t="shared" si="2"/>
        <v>-213.24</v>
      </c>
      <c r="Y88" s="2"/>
      <c r="Z88" s="22">
        <f t="shared" si="3"/>
        <v>1.3266144083613289</v>
      </c>
    </row>
    <row r="89" spans="1:26" s="24" customFormat="1" hidden="1" outlineLevel="1" x14ac:dyDescent="0.25">
      <c r="A89" s="50"/>
      <c r="B89" s="11" t="str">
        <f>CONCATENATE("          ", "4244", " - ", "SALES RETURN TAXABLE-ACCESSORI")</f>
        <v xml:space="preserve">          4244 - SALES RETURN TAXABLE-ACCESSORI</v>
      </c>
      <c r="C89" s="11"/>
      <c r="D89" s="2">
        <f>-106.79</f>
        <v>-106.79</v>
      </c>
      <c r="E89" s="2"/>
      <c r="F89" s="22"/>
      <c r="G89" s="2"/>
      <c r="H89" s="2">
        <f>-144.9</f>
        <v>-144.9</v>
      </c>
      <c r="I89" s="2"/>
      <c r="J89" s="22"/>
      <c r="K89" s="2"/>
      <c r="L89" s="2">
        <f t="shared" si="0"/>
        <v>38.11</v>
      </c>
      <c r="M89" s="2"/>
      <c r="N89" s="22">
        <f t="shared" si="1"/>
        <v>-0.26300897170462384</v>
      </c>
      <c r="O89" s="11"/>
      <c r="P89" s="2">
        <f>-106.79</f>
        <v>-106.79</v>
      </c>
      <c r="Q89" s="2"/>
      <c r="R89" s="22"/>
      <c r="S89" s="2"/>
      <c r="T89" s="2">
        <f>-144.9</f>
        <v>-144.9</v>
      </c>
      <c r="U89" s="2"/>
      <c r="V89" s="22"/>
      <c r="W89" s="2"/>
      <c r="X89" s="2">
        <f t="shared" si="2"/>
        <v>38.11</v>
      </c>
      <c r="Y89" s="2"/>
      <c r="Z89" s="22">
        <f t="shared" si="3"/>
        <v>-0.26300897170462384</v>
      </c>
    </row>
    <row r="90" spans="1:26" s="24" customFormat="1" hidden="1" outlineLevel="1" x14ac:dyDescent="0.25">
      <c r="A90" s="50"/>
      <c r="B90" s="11" t="str">
        <f>CONCATENATE("          ", "4245", " - ", "SALES RETURN TAXABLE-SPECIAL O")</f>
        <v xml:space="preserve">          4245 - SALES RETURN TAXABLE-SPECIAL O</v>
      </c>
      <c r="C90" s="11"/>
      <c r="D90" s="2">
        <f>0</f>
        <v>0</v>
      </c>
      <c r="E90" s="2"/>
      <c r="F90" s="22"/>
      <c r="G90" s="2"/>
      <c r="H90" s="2">
        <f>-19.95</f>
        <v>-19.95</v>
      </c>
      <c r="I90" s="2"/>
      <c r="J90" s="22"/>
      <c r="K90" s="2"/>
      <c r="L90" s="2">
        <f t="shared" si="0"/>
        <v>19.95</v>
      </c>
      <c r="M90" s="2"/>
      <c r="N90" s="22">
        <f t="shared" si="1"/>
        <v>-1</v>
      </c>
      <c r="O90" s="11"/>
      <c r="P90" s="2">
        <f>0</f>
        <v>0</v>
      </c>
      <c r="Q90" s="2"/>
      <c r="R90" s="22"/>
      <c r="S90" s="2"/>
      <c r="T90" s="2">
        <f>-19.95</f>
        <v>-19.95</v>
      </c>
      <c r="U90" s="2"/>
      <c r="V90" s="22"/>
      <c r="W90" s="2"/>
      <c r="X90" s="2">
        <f t="shared" si="2"/>
        <v>19.95</v>
      </c>
      <c r="Y90" s="2"/>
      <c r="Z90" s="22">
        <f t="shared" si="3"/>
        <v>-1</v>
      </c>
    </row>
    <row r="91" spans="1:26" s="24" customFormat="1" hidden="1" outlineLevel="1" x14ac:dyDescent="0.25">
      <c r="A91" s="50"/>
      <c r="B91" s="11" t="str">
        <f>CONCATENATE("          ", "4281", " - ", "SALES RETURN TAXABLE-ELECTRONI")</f>
        <v xml:space="preserve">          4281 - SALES RETURN TAXABLE-ELECTRONI</v>
      </c>
      <c r="C91" s="11"/>
      <c r="D91" s="2">
        <f>-1658.99</f>
        <v>-1658.99</v>
      </c>
      <c r="E91" s="2"/>
      <c r="F91" s="22"/>
      <c r="G91" s="2"/>
      <c r="H91" s="2">
        <f>-329.94</f>
        <v>-329.94</v>
      </c>
      <c r="I91" s="2"/>
      <c r="J91" s="22"/>
      <c r="K91" s="2"/>
      <c r="L91" s="2">
        <f t="shared" si="0"/>
        <v>-1329.05</v>
      </c>
      <c r="M91" s="2"/>
      <c r="N91" s="22">
        <f t="shared" si="1"/>
        <v>4.0281566345396129</v>
      </c>
      <c r="O91" s="11"/>
      <c r="P91" s="2">
        <f>-1658.99</f>
        <v>-1658.99</v>
      </c>
      <c r="Q91" s="2"/>
      <c r="R91" s="22"/>
      <c r="S91" s="2"/>
      <c r="T91" s="2">
        <f>-329.94</f>
        <v>-329.94</v>
      </c>
      <c r="U91" s="2"/>
      <c r="V91" s="22"/>
      <c r="W91" s="2"/>
      <c r="X91" s="2">
        <f t="shared" si="2"/>
        <v>-1329.05</v>
      </c>
      <c r="Y91" s="2"/>
      <c r="Z91" s="22">
        <f t="shared" si="3"/>
        <v>4.0281566345396129</v>
      </c>
    </row>
    <row r="92" spans="1:26" s="24" customFormat="1" hidden="1" outlineLevel="1" x14ac:dyDescent="0.25">
      <c r="A92" s="50"/>
      <c r="B92" s="11" t="str">
        <f>CONCATENATE("          ", "4282", " - ", "SALES RETURN TAXABLE-COMPUTER")</f>
        <v xml:space="preserve">          4282 - SALES RETURN TAXABLE-COMPUTER</v>
      </c>
      <c r="C92" s="11"/>
      <c r="D92" s="2">
        <f>-70341.06</f>
        <v>-70341.06</v>
      </c>
      <c r="E92" s="2"/>
      <c r="F92" s="22"/>
      <c r="G92" s="2"/>
      <c r="H92" s="2">
        <f>-8151</f>
        <v>-8151</v>
      </c>
      <c r="I92" s="2"/>
      <c r="J92" s="22"/>
      <c r="K92" s="2"/>
      <c r="L92" s="2">
        <f t="shared" si="0"/>
        <v>-62190.06</v>
      </c>
      <c r="M92" s="2"/>
      <c r="N92" s="22">
        <f t="shared" si="1"/>
        <v>7.629746043430254</v>
      </c>
      <c r="O92" s="11"/>
      <c r="P92" s="2">
        <f>-70341.06</f>
        <v>-70341.06</v>
      </c>
      <c r="Q92" s="2"/>
      <c r="R92" s="22"/>
      <c r="S92" s="2"/>
      <c r="T92" s="2">
        <f>-8151</f>
        <v>-8151</v>
      </c>
      <c r="U92" s="2"/>
      <c r="V92" s="22"/>
      <c r="W92" s="2"/>
      <c r="X92" s="2">
        <f t="shared" si="2"/>
        <v>-62190.06</v>
      </c>
      <c r="Y92" s="2"/>
      <c r="Z92" s="22">
        <f t="shared" si="3"/>
        <v>7.629746043430254</v>
      </c>
    </row>
    <row r="93" spans="1:26" s="24" customFormat="1" hidden="1" outlineLevel="1" x14ac:dyDescent="0.25">
      <c r="A93" s="50"/>
      <c r="B93" s="11" t="str">
        <f>CONCATENATE("          ", "4283", " - ", "SALES RETURN TAXABLE-COMPUTER")</f>
        <v xml:space="preserve">          4283 - SALES RETURN TAXABLE-COMPUTER</v>
      </c>
      <c r="C93" s="11"/>
      <c r="D93" s="2">
        <f>-226.8</f>
        <v>-226.8</v>
      </c>
      <c r="E93" s="2"/>
      <c r="F93" s="22"/>
      <c r="G93" s="2"/>
      <c r="H93" s="2">
        <f>-207.9</f>
        <v>-207.9</v>
      </c>
      <c r="I93" s="2"/>
      <c r="J93" s="22"/>
      <c r="K93" s="2"/>
      <c r="L93" s="2">
        <f t="shared" si="0"/>
        <v>-18.900000000000006</v>
      </c>
      <c r="M93" s="2"/>
      <c r="N93" s="22">
        <f t="shared" si="1"/>
        <v>9.0909090909090939E-2</v>
      </c>
      <c r="O93" s="11"/>
      <c r="P93" s="2">
        <f>-226.8</f>
        <v>-226.8</v>
      </c>
      <c r="Q93" s="2"/>
      <c r="R93" s="22"/>
      <c r="S93" s="2"/>
      <c r="T93" s="2">
        <f>-207.9</f>
        <v>-207.9</v>
      </c>
      <c r="U93" s="2"/>
      <c r="V93" s="22"/>
      <c r="W93" s="2"/>
      <c r="X93" s="2">
        <f t="shared" si="2"/>
        <v>-18.900000000000006</v>
      </c>
      <c r="Y93" s="2"/>
      <c r="Z93" s="22">
        <f t="shared" si="3"/>
        <v>9.0909090909090939E-2</v>
      </c>
    </row>
    <row r="94" spans="1:26" s="24" customFormat="1" hidden="1" outlineLevel="1" x14ac:dyDescent="0.25">
      <c r="A94" s="50"/>
      <c r="B94" s="11" t="str">
        <f>CONCATENATE("          ", "4285", " - ", "SALES RETURN TAXABLE-SOFTWARE")</f>
        <v xml:space="preserve">          4285 - SALES RETURN TAXABLE-SOFTWARE</v>
      </c>
      <c r="C94" s="11"/>
      <c r="D94" s="2">
        <f>-406.99</f>
        <v>-406.99</v>
      </c>
      <c r="E94" s="2"/>
      <c r="F94" s="22"/>
      <c r="G94" s="2"/>
      <c r="H94" s="2">
        <f>0</f>
        <v>0</v>
      </c>
      <c r="I94" s="2"/>
      <c r="J94" s="22"/>
      <c r="K94" s="2"/>
      <c r="L94" s="2">
        <f t="shared" si="0"/>
        <v>-406.99</v>
      </c>
      <c r="M94" s="2"/>
      <c r="N94" s="22">
        <f t="shared" si="1"/>
        <v>0</v>
      </c>
      <c r="O94" s="11"/>
      <c r="P94" s="2">
        <f>-406.99</f>
        <v>-406.99</v>
      </c>
      <c r="Q94" s="2"/>
      <c r="R94" s="22"/>
      <c r="S94" s="2"/>
      <c r="T94" s="2">
        <f>0</f>
        <v>0</v>
      </c>
      <c r="U94" s="2"/>
      <c r="V94" s="22"/>
      <c r="W94" s="2"/>
      <c r="X94" s="2">
        <f t="shared" si="2"/>
        <v>-406.99</v>
      </c>
      <c r="Y94" s="2"/>
      <c r="Z94" s="22">
        <f t="shared" si="3"/>
        <v>0</v>
      </c>
    </row>
    <row r="95" spans="1:26" s="24" customFormat="1" hidden="1" outlineLevel="1" x14ac:dyDescent="0.25">
      <c r="A95" s="50"/>
      <c r="B95" s="11" t="str">
        <f>CONCATENATE("          ", "4286", " - ", "SALES RETURN TAXABLE-COMPUTER")</f>
        <v xml:space="preserve">          4286 - SALES RETURN TAXABLE-COMPUTER</v>
      </c>
      <c r="C95" s="11"/>
      <c r="D95" s="2">
        <f>-545.95</f>
        <v>-545.95000000000005</v>
      </c>
      <c r="E95" s="2"/>
      <c r="F95" s="22"/>
      <c r="G95" s="2"/>
      <c r="H95" s="2">
        <f>-44.97</f>
        <v>-44.97</v>
      </c>
      <c r="I95" s="2"/>
      <c r="J95" s="22"/>
      <c r="K95" s="2"/>
      <c r="L95" s="2">
        <f t="shared" si="0"/>
        <v>-500.98</v>
      </c>
      <c r="M95" s="2"/>
      <c r="N95" s="22">
        <f t="shared" si="1"/>
        <v>11.140315766066267</v>
      </c>
      <c r="O95" s="11"/>
      <c r="P95" s="2">
        <f>-545.95</f>
        <v>-545.95000000000005</v>
      </c>
      <c r="Q95" s="2"/>
      <c r="R95" s="22"/>
      <c r="S95" s="2"/>
      <c r="T95" s="2">
        <f>-44.97</f>
        <v>-44.97</v>
      </c>
      <c r="U95" s="2"/>
      <c r="V95" s="22"/>
      <c r="W95" s="2"/>
      <c r="X95" s="2">
        <f t="shared" si="2"/>
        <v>-500.98</v>
      </c>
      <c r="Y95" s="2"/>
      <c r="Z95" s="22">
        <f t="shared" si="3"/>
        <v>11.140315766066267</v>
      </c>
    </row>
    <row r="96" spans="1:26" s="24" customFormat="1" hidden="1" outlineLevel="1" x14ac:dyDescent="0.25">
      <c r="A96" s="50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>-9.95</f>
        <v>-9.9499999999999993</v>
      </c>
      <c r="E96" s="2"/>
      <c r="F96" s="22"/>
      <c r="G96" s="2"/>
      <c r="H96" s="2">
        <f>-478.25</f>
        <v>-478.25</v>
      </c>
      <c r="I96" s="2"/>
      <c r="J96" s="22"/>
      <c r="K96" s="2"/>
      <c r="L96" s="2">
        <f t="shared" si="0"/>
        <v>468.3</v>
      </c>
      <c r="M96" s="2"/>
      <c r="N96" s="22">
        <f t="shared" si="1"/>
        <v>-0.97919498170412966</v>
      </c>
      <c r="O96" s="11"/>
      <c r="P96" s="2">
        <f>-9.95</f>
        <v>-9.9499999999999993</v>
      </c>
      <c r="Q96" s="2"/>
      <c r="R96" s="22"/>
      <c r="S96" s="2"/>
      <c r="T96" s="2">
        <f>-478.25</f>
        <v>-478.25</v>
      </c>
      <c r="U96" s="2"/>
      <c r="V96" s="22"/>
      <c r="W96" s="2"/>
      <c r="X96" s="2">
        <f t="shared" si="2"/>
        <v>468.3</v>
      </c>
      <c r="Y96" s="2"/>
      <c r="Z96" s="22">
        <f t="shared" si="3"/>
        <v>-0.97919498170412966</v>
      </c>
    </row>
    <row r="97" spans="1:26" s="24" customFormat="1" hidden="1" outlineLevel="1" x14ac:dyDescent="0.25">
      <c r="A97" s="50"/>
      <c r="B97" s="11" t="str">
        <f>CONCATENATE("          ", "4301", " - ", "SALES RETURN NON TAXABLE-NEW T")</f>
        <v xml:space="preserve">          4301 - SALES RETURN NON TAXABLE-NEW T</v>
      </c>
      <c r="C97" s="11"/>
      <c r="D97" s="2">
        <f>-254.59</f>
        <v>-254.59</v>
      </c>
      <c r="E97" s="2"/>
      <c r="F97" s="22"/>
      <c r="G97" s="2"/>
      <c r="H97" s="2">
        <f>-996.13</f>
        <v>-996.13</v>
      </c>
      <c r="I97" s="2"/>
      <c r="J97" s="22"/>
      <c r="K97" s="2"/>
      <c r="L97" s="2">
        <f t="shared" si="0"/>
        <v>741.54</v>
      </c>
      <c r="M97" s="2"/>
      <c r="N97" s="22">
        <f t="shared" si="1"/>
        <v>-0.74442090891751078</v>
      </c>
      <c r="O97" s="11"/>
      <c r="P97" s="2">
        <f>-254.59</f>
        <v>-254.59</v>
      </c>
      <c r="Q97" s="2"/>
      <c r="R97" s="22"/>
      <c r="S97" s="2"/>
      <c r="T97" s="2">
        <f>-996.13</f>
        <v>-996.13</v>
      </c>
      <c r="U97" s="2"/>
      <c r="V97" s="22"/>
      <c r="W97" s="2"/>
      <c r="X97" s="2">
        <f t="shared" si="2"/>
        <v>741.54</v>
      </c>
      <c r="Y97" s="2"/>
      <c r="Z97" s="22">
        <f t="shared" si="3"/>
        <v>-0.74442090891751078</v>
      </c>
    </row>
    <row r="98" spans="1:26" s="24" customFormat="1" hidden="1" outlineLevel="1" x14ac:dyDescent="0.25">
      <c r="A98" s="50"/>
      <c r="B98" s="11" t="str">
        <f>CONCATENATE("          ", "4302", " - ", "SALES RETURN NON TAXABLE-TEXT")</f>
        <v xml:space="preserve">          4302 - SALES RETURN NON TAXABLE-TEXT</v>
      </c>
      <c r="C98" s="11"/>
      <c r="D98" s="2">
        <f t="shared" ref="D98:D99" si="6">0</f>
        <v>0</v>
      </c>
      <c r="E98" s="2"/>
      <c r="F98" s="22"/>
      <c r="G98" s="2"/>
      <c r="H98" s="2">
        <f>-112.8</f>
        <v>-112.8</v>
      </c>
      <c r="I98" s="2"/>
      <c r="J98" s="22"/>
      <c r="K98" s="2"/>
      <c r="L98" s="2">
        <f t="shared" si="0"/>
        <v>112.8</v>
      </c>
      <c r="M98" s="2"/>
      <c r="N98" s="22">
        <f t="shared" si="1"/>
        <v>-1</v>
      </c>
      <c r="O98" s="11"/>
      <c r="P98" s="2">
        <f t="shared" ref="P98:P99" si="7">0</f>
        <v>0</v>
      </c>
      <c r="Q98" s="2"/>
      <c r="R98" s="22"/>
      <c r="S98" s="2"/>
      <c r="T98" s="2">
        <f>-112.8</f>
        <v>-112.8</v>
      </c>
      <c r="U98" s="2"/>
      <c r="V98" s="22"/>
      <c r="W98" s="2"/>
      <c r="X98" s="2">
        <f t="shared" si="2"/>
        <v>112.8</v>
      </c>
      <c r="Y98" s="2"/>
      <c r="Z98" s="22">
        <f t="shared" si="3"/>
        <v>-1</v>
      </c>
    </row>
    <row r="99" spans="1:26" s="24" customFormat="1" hidden="1" outlineLevel="1" x14ac:dyDescent="0.25">
      <c r="A99" s="50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 t="shared" si="6"/>
        <v>0</v>
      </c>
      <c r="E99" s="2"/>
      <c r="F99" s="22"/>
      <c r="G99" s="2"/>
      <c r="H99" s="2">
        <f>-20</f>
        <v>-20</v>
      </c>
      <c r="I99" s="2"/>
      <c r="J99" s="22"/>
      <c r="K99" s="2"/>
      <c r="L99" s="2">
        <f t="shared" si="0"/>
        <v>20</v>
      </c>
      <c r="M99" s="2"/>
      <c r="N99" s="22">
        <f t="shared" si="1"/>
        <v>-1</v>
      </c>
      <c r="O99" s="11"/>
      <c r="P99" s="2">
        <f t="shared" si="7"/>
        <v>0</v>
      </c>
      <c r="Q99" s="2"/>
      <c r="R99" s="22"/>
      <c r="S99" s="2"/>
      <c r="T99" s="2">
        <f>-20</f>
        <v>-20</v>
      </c>
      <c r="U99" s="2"/>
      <c r="V99" s="22"/>
      <c r="W99" s="2"/>
      <c r="X99" s="2">
        <f t="shared" si="2"/>
        <v>20</v>
      </c>
      <c r="Y99" s="2"/>
      <c r="Z99" s="22">
        <f t="shared" si="3"/>
        <v>-1</v>
      </c>
    </row>
    <row r="100" spans="1:26" s="24" customFormat="1" hidden="1" outlineLevel="1" x14ac:dyDescent="0.25">
      <c r="A100" s="50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-31.98</f>
        <v>-31.98</v>
      </c>
      <c r="E100" s="2"/>
      <c r="F100" s="22"/>
      <c r="G100" s="2"/>
      <c r="H100" s="2">
        <f>-44.38</f>
        <v>-44.38</v>
      </c>
      <c r="I100" s="2"/>
      <c r="J100" s="22"/>
      <c r="K100" s="2"/>
      <c r="L100" s="2">
        <f t="shared" si="0"/>
        <v>12.400000000000002</v>
      </c>
      <c r="M100" s="2"/>
      <c r="N100" s="22">
        <f t="shared" si="1"/>
        <v>-0.27940513744930151</v>
      </c>
      <c r="O100" s="11"/>
      <c r="P100" s="2">
        <f>-31.98</f>
        <v>-31.98</v>
      </c>
      <c r="Q100" s="2"/>
      <c r="R100" s="22"/>
      <c r="S100" s="2"/>
      <c r="T100" s="2">
        <f>-44.38</f>
        <v>-44.38</v>
      </c>
      <c r="U100" s="2"/>
      <c r="V100" s="22"/>
      <c r="W100" s="2"/>
      <c r="X100" s="2">
        <f t="shared" si="2"/>
        <v>12.400000000000002</v>
      </c>
      <c r="Y100" s="2"/>
      <c r="Z100" s="22">
        <f t="shared" si="3"/>
        <v>-0.27940513744930151</v>
      </c>
    </row>
    <row r="101" spans="1:26" s="24" customFormat="1" hidden="1" outlineLevel="1" x14ac:dyDescent="0.25">
      <c r="A101" s="50"/>
      <c r="B101" s="11" t="str">
        <f>CONCATENATE("          ", "4326", " - ", "SALES RETURN NON TAXABLE-WRITI")</f>
        <v xml:space="preserve">          4326 - SALES RETURN NON TAXABLE-WRITI</v>
      </c>
      <c r="C101" s="11"/>
      <c r="D101" s="2">
        <f>0</f>
        <v>0</v>
      </c>
      <c r="E101" s="2"/>
      <c r="F101" s="22"/>
      <c r="G101" s="2"/>
      <c r="H101" s="2">
        <f>-2.29</f>
        <v>-2.29</v>
      </c>
      <c r="I101" s="2"/>
      <c r="J101" s="22"/>
      <c r="K101" s="2"/>
      <c r="L101" s="2">
        <f t="shared" si="0"/>
        <v>2.29</v>
      </c>
      <c r="M101" s="2"/>
      <c r="N101" s="22">
        <f t="shared" si="1"/>
        <v>-1</v>
      </c>
      <c r="O101" s="11"/>
      <c r="P101" s="2">
        <f>0</f>
        <v>0</v>
      </c>
      <c r="Q101" s="2"/>
      <c r="R101" s="22"/>
      <c r="S101" s="2"/>
      <c r="T101" s="2">
        <f>-2.29</f>
        <v>-2.29</v>
      </c>
      <c r="U101" s="2"/>
      <c r="V101" s="22"/>
      <c r="W101" s="2"/>
      <c r="X101" s="2">
        <f t="shared" si="2"/>
        <v>2.29</v>
      </c>
      <c r="Y101" s="2"/>
      <c r="Z101" s="22">
        <f t="shared" si="3"/>
        <v>-1</v>
      </c>
    </row>
    <row r="102" spans="1:26" s="24" customFormat="1" hidden="1" outlineLevel="1" x14ac:dyDescent="0.25">
      <c r="A102" s="50"/>
      <c r="B102" s="11" t="str">
        <f>CONCATENATE("          ", "4340", " - ", "SALES RETURN NON TAXABLE-LOGO")</f>
        <v xml:space="preserve">          4340 - SALES RETURN NON TAXABLE-LOGO</v>
      </c>
      <c r="C102" s="11"/>
      <c r="D102" s="2">
        <f>-223.55</f>
        <v>-223.55</v>
      </c>
      <c r="E102" s="2"/>
      <c r="F102" s="22"/>
      <c r="G102" s="2"/>
      <c r="H102" s="2">
        <f>0</f>
        <v>0</v>
      </c>
      <c r="I102" s="2"/>
      <c r="J102" s="22"/>
      <c r="K102" s="2"/>
      <c r="L102" s="2">
        <f t="shared" si="0"/>
        <v>-223.55</v>
      </c>
      <c r="M102" s="2"/>
      <c r="N102" s="22">
        <f t="shared" si="1"/>
        <v>0</v>
      </c>
      <c r="O102" s="11"/>
      <c r="P102" s="2">
        <f>-223.55</f>
        <v>-223.55</v>
      </c>
      <c r="Q102" s="2"/>
      <c r="R102" s="22"/>
      <c r="S102" s="2"/>
      <c r="T102" s="2">
        <f>0</f>
        <v>0</v>
      </c>
      <c r="U102" s="2"/>
      <c r="V102" s="22"/>
      <c r="W102" s="2"/>
      <c r="X102" s="2">
        <f t="shared" si="2"/>
        <v>-223.55</v>
      </c>
      <c r="Y102" s="2"/>
      <c r="Z102" s="22">
        <f t="shared" si="3"/>
        <v>0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collapsed="1" x14ac:dyDescent="0.25">
      <c r="A104" s="10"/>
      <c r="B104" s="26" t="s">
        <v>8</v>
      </c>
      <c r="C104" s="10"/>
      <c r="D104" s="4">
        <f>SUM(OSRRefD16x_0)</f>
        <v>536242.61999999976</v>
      </c>
      <c r="E104" s="4"/>
      <c r="F104" s="12">
        <f t="shared" ref="F104:F151" si="8">IF(D$12=0,0,D104/D$12)</f>
        <v>0.74243475570099049</v>
      </c>
      <c r="G104" s="4"/>
      <c r="H104" s="4">
        <f>SUM(OSRRefH16x_0)</f>
        <v>582523.19000000029</v>
      </c>
      <c r="I104" s="4"/>
      <c r="J104" s="12">
        <f t="shared" ref="J104:J151" si="9">IF(H$12=0,0,H104/H$12)</f>
        <v>0.72097895811684998</v>
      </c>
      <c r="K104" s="4"/>
      <c r="L104" s="4">
        <f t="shared" ref="L104:L151" si="10">+D104-H104</f>
        <v>-46280.570000000531</v>
      </c>
      <c r="M104" s="4"/>
      <c r="N104" s="12">
        <f t="shared" ref="N104:N151" si="11">IF(H104=0,0,L104/H104)</f>
        <v>-7.9448459382364681E-2</v>
      </c>
      <c r="O104" s="10"/>
      <c r="P104" s="4">
        <f>SUM(OSRRefP16x_0)</f>
        <v>536242.61999999976</v>
      </c>
      <c r="Q104" s="4"/>
      <c r="R104" s="12">
        <f t="shared" ref="R104:R151" si="12">IF(P$12=0,0,P104/P$12)</f>
        <v>0.74243475570099049</v>
      </c>
      <c r="S104" s="4"/>
      <c r="T104" s="4">
        <f>SUM(OSRRefT16x_0)</f>
        <v>582523.19000000029</v>
      </c>
      <c r="U104" s="4"/>
      <c r="V104" s="12">
        <f t="shared" ref="V104:V151" si="13">IF(T$12=0,0,T104/T$12)</f>
        <v>0.72097895811684998</v>
      </c>
      <c r="W104" s="4"/>
      <c r="X104" s="4">
        <f t="shared" ref="X104:X151" si="14">+P104-T104</f>
        <v>-46280.570000000531</v>
      </c>
      <c r="Y104" s="4"/>
      <c r="Z104" s="12">
        <f t="shared" ref="Z104:Z151" si="15">IF(T104=0,0,X104/T104)</f>
        <v>-7.9448459382364681E-2</v>
      </c>
    </row>
    <row r="105" spans="1:26" s="24" customFormat="1" hidden="1" outlineLevel="1" x14ac:dyDescent="0.25">
      <c r="A105" s="50"/>
      <c r="B105" s="11" t="str">
        <f>CONCATENATE("          ", "5001", " - ", "PURCHASES @ COST-NEW TEXT")</f>
        <v xml:space="preserve">          5001 - PURCHASES @ COST-NEW TEXT</v>
      </c>
      <c r="C105" s="11"/>
      <c r="D105" s="2">
        <v>343994.56</v>
      </c>
      <c r="E105" s="2"/>
      <c r="F105" s="22">
        <f t="shared" si="8"/>
        <v>0.47626486144661501</v>
      </c>
      <c r="G105" s="2"/>
      <c r="H105" s="2">
        <v>502071.74999999994</v>
      </c>
      <c r="I105" s="2"/>
      <c r="J105" s="22">
        <f t="shared" si="9"/>
        <v>0.62140559110600102</v>
      </c>
      <c r="K105" s="2"/>
      <c r="L105" s="2">
        <f t="shared" si="10"/>
        <v>-158077.18999999994</v>
      </c>
      <c r="M105" s="2"/>
      <c r="N105" s="22">
        <f t="shared" si="11"/>
        <v>-0.31484979985430361</v>
      </c>
      <c r="O105" s="11"/>
      <c r="P105" s="2">
        <v>343994.56</v>
      </c>
      <c r="Q105" s="2"/>
      <c r="R105" s="22">
        <f t="shared" si="12"/>
        <v>0.47626486144661501</v>
      </c>
      <c r="S105" s="2"/>
      <c r="T105" s="2">
        <v>502071.74999999994</v>
      </c>
      <c r="U105" s="2"/>
      <c r="V105" s="22">
        <f t="shared" si="13"/>
        <v>0.62140559110600102</v>
      </c>
      <c r="W105" s="2"/>
      <c r="X105" s="2">
        <f t="shared" si="14"/>
        <v>-158077.18999999994</v>
      </c>
      <c r="Y105" s="2"/>
      <c r="Z105" s="22">
        <f t="shared" si="15"/>
        <v>-0.31484979985430361</v>
      </c>
    </row>
    <row r="106" spans="1:26" s="24" customFormat="1" hidden="1" outlineLevel="1" x14ac:dyDescent="0.25">
      <c r="A106" s="50"/>
      <c r="B106" s="11" t="str">
        <f>CONCATENATE("          ", "5002", " - ", "PURCHASES @ COST-USED TEXT")</f>
        <v xml:space="preserve">          5002 - PURCHASES @ COST-USED TEXT</v>
      </c>
      <c r="C106" s="11"/>
      <c r="D106" s="2">
        <v>110293.25</v>
      </c>
      <c r="E106" s="2"/>
      <c r="F106" s="22">
        <f t="shared" si="8"/>
        <v>0.15270241317114686</v>
      </c>
      <c r="G106" s="2"/>
      <c r="H106" s="2">
        <v>-64118.3</v>
      </c>
      <c r="I106" s="2"/>
      <c r="J106" s="22">
        <f t="shared" si="9"/>
        <v>-7.9358119854805426E-2</v>
      </c>
      <c r="K106" s="2"/>
      <c r="L106" s="2">
        <f t="shared" si="10"/>
        <v>174411.55</v>
      </c>
      <c r="M106" s="2"/>
      <c r="N106" s="22">
        <f t="shared" si="11"/>
        <v>-2.7201524369797698</v>
      </c>
      <c r="O106" s="11"/>
      <c r="P106" s="2">
        <v>110293.25</v>
      </c>
      <c r="Q106" s="2"/>
      <c r="R106" s="22">
        <f t="shared" si="12"/>
        <v>0.15270241317114686</v>
      </c>
      <c r="S106" s="2"/>
      <c r="T106" s="2">
        <v>-64118.3</v>
      </c>
      <c r="U106" s="2"/>
      <c r="V106" s="22">
        <f t="shared" si="13"/>
        <v>-7.9358119854805426E-2</v>
      </c>
      <c r="W106" s="2"/>
      <c r="X106" s="2">
        <f t="shared" si="14"/>
        <v>174411.55</v>
      </c>
      <c r="Y106" s="2"/>
      <c r="Z106" s="22">
        <f t="shared" si="15"/>
        <v>-2.7201524369797698</v>
      </c>
    </row>
    <row r="107" spans="1:26" s="24" customFormat="1" hidden="1" outlineLevel="1" x14ac:dyDescent="0.25">
      <c r="A107" s="50"/>
      <c r="B107" s="11" t="str">
        <f>CONCATENATE("          ", "5003", " - ", "PURCHASES @ COST-RENTAL TEXT")</f>
        <v xml:space="preserve">          5003 - PURCHASES @ COST-RENTAL TEXT</v>
      </c>
      <c r="C107" s="11"/>
      <c r="D107" s="2">
        <v>38295.800000000003</v>
      </c>
      <c r="E107" s="2"/>
      <c r="F107" s="22">
        <f t="shared" si="8"/>
        <v>5.3021024172554589E-2</v>
      </c>
      <c r="G107" s="2"/>
      <c r="H107" s="2">
        <v>-1763.7</v>
      </c>
      <c r="I107" s="2"/>
      <c r="J107" s="22">
        <f t="shared" si="9"/>
        <v>-2.1829012308174161E-3</v>
      </c>
      <c r="K107" s="2"/>
      <c r="L107" s="2">
        <f t="shared" si="10"/>
        <v>40059.5</v>
      </c>
      <c r="M107" s="2"/>
      <c r="N107" s="22">
        <f t="shared" si="11"/>
        <v>-22.713329931394227</v>
      </c>
      <c r="O107" s="11"/>
      <c r="P107" s="2">
        <v>38295.800000000003</v>
      </c>
      <c r="Q107" s="2"/>
      <c r="R107" s="22">
        <f t="shared" si="12"/>
        <v>5.3021024172554589E-2</v>
      </c>
      <c r="S107" s="2"/>
      <c r="T107" s="2">
        <v>-1763.7</v>
      </c>
      <c r="U107" s="2"/>
      <c r="V107" s="22">
        <f t="shared" si="13"/>
        <v>-2.1829012308174161E-3</v>
      </c>
      <c r="W107" s="2"/>
      <c r="X107" s="2">
        <f t="shared" si="14"/>
        <v>40059.5</v>
      </c>
      <c r="Y107" s="2"/>
      <c r="Z107" s="22">
        <f t="shared" si="15"/>
        <v>-22.713329931394227</v>
      </c>
    </row>
    <row r="108" spans="1:26" s="24" customFormat="1" hidden="1" outlineLevel="1" x14ac:dyDescent="0.25">
      <c r="A108" s="50"/>
      <c r="B108" s="11" t="str">
        <f>CONCATENATE("          ", "5004", " - ", "PURCHASES @ COST-DIGITAL TEXT")</f>
        <v xml:space="preserve">          5004 - PURCHASES @ COST-DIGITAL TEXT</v>
      </c>
      <c r="C108" s="11"/>
      <c r="D108" s="2">
        <v>133958.57</v>
      </c>
      <c r="E108" s="2"/>
      <c r="F108" s="22">
        <f t="shared" si="8"/>
        <v>0.18546735093902847</v>
      </c>
      <c r="G108" s="2"/>
      <c r="H108" s="2">
        <v>145939.9</v>
      </c>
      <c r="I108" s="2"/>
      <c r="J108" s="22">
        <f t="shared" si="9"/>
        <v>0.18062731039029917</v>
      </c>
      <c r="K108" s="2"/>
      <c r="L108" s="2">
        <f t="shared" si="10"/>
        <v>-11981.329999999987</v>
      </c>
      <c r="M108" s="2"/>
      <c r="N108" s="22">
        <f t="shared" si="11"/>
        <v>-8.2097699121350551E-2</v>
      </c>
      <c r="O108" s="11"/>
      <c r="P108" s="2">
        <v>133958.57</v>
      </c>
      <c r="Q108" s="2"/>
      <c r="R108" s="22">
        <f t="shared" si="12"/>
        <v>0.18546735093902847</v>
      </c>
      <c r="S108" s="2"/>
      <c r="T108" s="2">
        <v>145939.9</v>
      </c>
      <c r="U108" s="2"/>
      <c r="V108" s="22">
        <f t="shared" si="13"/>
        <v>0.18062731039029917</v>
      </c>
      <c r="W108" s="2"/>
      <c r="X108" s="2">
        <f t="shared" si="14"/>
        <v>-11981.329999999987</v>
      </c>
      <c r="Y108" s="2"/>
      <c r="Z108" s="22">
        <f t="shared" si="15"/>
        <v>-8.2097699121350551E-2</v>
      </c>
    </row>
    <row r="109" spans="1:26" s="24" customFormat="1" hidden="1" outlineLevel="1" x14ac:dyDescent="0.25">
      <c r="A109" s="50"/>
      <c r="B109" s="11" t="str">
        <f>CONCATENATE("          ", "5011", " - ", "PURCHASES @ COST-NO VALUE TEXT")</f>
        <v xml:space="preserve">          5011 - PURCHASES @ COST-NO VALUE TEXT</v>
      </c>
      <c r="C109" s="11"/>
      <c r="D109" s="2">
        <v>288</v>
      </c>
      <c r="E109" s="2"/>
      <c r="F109" s="22">
        <f t="shared" si="8"/>
        <v>3.9873967802463248E-4</v>
      </c>
      <c r="G109" s="2"/>
      <c r="H109" s="2">
        <v>441</v>
      </c>
      <c r="I109" s="2"/>
      <c r="J109" s="22">
        <f t="shared" si="9"/>
        <v>5.458181339176053E-4</v>
      </c>
      <c r="K109" s="2"/>
      <c r="L109" s="2">
        <f t="shared" si="10"/>
        <v>-153</v>
      </c>
      <c r="M109" s="2"/>
      <c r="N109" s="22">
        <f t="shared" si="11"/>
        <v>-0.34693877551020408</v>
      </c>
      <c r="O109" s="11"/>
      <c r="P109" s="2">
        <v>288</v>
      </c>
      <c r="Q109" s="2"/>
      <c r="R109" s="22">
        <f t="shared" si="12"/>
        <v>3.9873967802463248E-4</v>
      </c>
      <c r="S109" s="2"/>
      <c r="T109" s="2">
        <v>441</v>
      </c>
      <c r="U109" s="2"/>
      <c r="V109" s="22">
        <f t="shared" si="13"/>
        <v>5.458181339176053E-4</v>
      </c>
      <c r="W109" s="2"/>
      <c r="X109" s="2">
        <f t="shared" si="14"/>
        <v>-153</v>
      </c>
      <c r="Y109" s="2"/>
      <c r="Z109" s="22">
        <f t="shared" si="15"/>
        <v>-0.34693877551020408</v>
      </c>
    </row>
    <row r="110" spans="1:26" s="24" customFormat="1" hidden="1" outlineLevel="1" x14ac:dyDescent="0.25">
      <c r="A110" s="50"/>
      <c r="B110" s="11" t="str">
        <f>CONCATENATE("          ", "5013", " - ", "PURCHASES @ COST-TRADE BOOKS")</f>
        <v xml:space="preserve">          5013 - PURCHASES @ COST-TRADE BOOKS</v>
      </c>
      <c r="C110" s="11"/>
      <c r="D110" s="2">
        <v>204.9</v>
      </c>
      <c r="E110" s="2"/>
      <c r="F110" s="22">
        <f t="shared" si="8"/>
        <v>2.83686666761275E-4</v>
      </c>
      <c r="G110" s="2"/>
      <c r="H110" s="2">
        <v>119.79</v>
      </c>
      <c r="I110" s="2"/>
      <c r="J110" s="22">
        <f t="shared" si="9"/>
        <v>1.4826202780496587E-4</v>
      </c>
      <c r="K110" s="2"/>
      <c r="L110" s="2">
        <f t="shared" si="10"/>
        <v>85.11</v>
      </c>
      <c r="M110" s="2"/>
      <c r="N110" s="22">
        <f t="shared" si="11"/>
        <v>0.71049336338592528</v>
      </c>
      <c r="O110" s="11"/>
      <c r="P110" s="2">
        <v>204.9</v>
      </c>
      <c r="Q110" s="2"/>
      <c r="R110" s="22">
        <f t="shared" si="12"/>
        <v>2.83686666761275E-4</v>
      </c>
      <c r="S110" s="2"/>
      <c r="T110" s="2">
        <v>119.79</v>
      </c>
      <c r="U110" s="2"/>
      <c r="V110" s="22">
        <f t="shared" si="13"/>
        <v>1.4826202780496587E-4</v>
      </c>
      <c r="W110" s="2"/>
      <c r="X110" s="2">
        <f t="shared" si="14"/>
        <v>85.11</v>
      </c>
      <c r="Y110" s="2"/>
      <c r="Z110" s="22">
        <f t="shared" si="15"/>
        <v>0.71049336338592528</v>
      </c>
    </row>
    <row r="111" spans="1:26" s="24" customFormat="1" hidden="1" outlineLevel="1" x14ac:dyDescent="0.25">
      <c r="A111" s="50"/>
      <c r="B111" s="11" t="str">
        <f>CONCATENATE("          ", "5014", " - ", "PURCHASES @ COST-REMAINDERS")</f>
        <v xml:space="preserve">          5014 - PURCHASES @ COST-REMAINDERS</v>
      </c>
      <c r="C111" s="11"/>
      <c r="D111" s="2">
        <v>100.48</v>
      </c>
      <c r="E111" s="2"/>
      <c r="F111" s="22">
        <f t="shared" si="8"/>
        <v>1.3911584322192735E-4</v>
      </c>
      <c r="G111" s="2"/>
      <c r="H111" s="2">
        <v>227.6</v>
      </c>
      <c r="I111" s="2"/>
      <c r="J111" s="22">
        <f t="shared" si="9"/>
        <v>2.8169661514659177E-4</v>
      </c>
      <c r="K111" s="2"/>
      <c r="L111" s="2">
        <f t="shared" si="10"/>
        <v>-127.11999999999999</v>
      </c>
      <c r="M111" s="2"/>
      <c r="N111" s="22">
        <f t="shared" si="11"/>
        <v>-0.55852372583479781</v>
      </c>
      <c r="O111" s="11"/>
      <c r="P111" s="2">
        <v>100.48</v>
      </c>
      <c r="Q111" s="2"/>
      <c r="R111" s="22">
        <f t="shared" si="12"/>
        <v>1.3911584322192735E-4</v>
      </c>
      <c r="S111" s="2"/>
      <c r="T111" s="2">
        <v>227.6</v>
      </c>
      <c r="U111" s="2"/>
      <c r="V111" s="22">
        <f t="shared" si="13"/>
        <v>2.8169661514659177E-4</v>
      </c>
      <c r="W111" s="2"/>
      <c r="X111" s="2">
        <f t="shared" si="14"/>
        <v>-127.11999999999999</v>
      </c>
      <c r="Y111" s="2"/>
      <c r="Z111" s="22">
        <f t="shared" si="15"/>
        <v>-0.55852372583479781</v>
      </c>
    </row>
    <row r="112" spans="1:26" s="24" customFormat="1" hidden="1" outlineLevel="1" x14ac:dyDescent="0.25">
      <c r="A112" s="50"/>
      <c r="B112" s="11" t="str">
        <f>CONCATENATE("          ", "5018", " - ", "PURCHASES @ COST-STUDY GUIDES")</f>
        <v xml:space="preserve">          5018 - PURCHASES @ COST-STUDY GUIDES</v>
      </c>
      <c r="C112" s="11"/>
      <c r="D112" s="2">
        <v>503.93</v>
      </c>
      <c r="E112" s="2"/>
      <c r="F112" s="22">
        <f t="shared" si="8"/>
        <v>6.9769752064914256E-4</v>
      </c>
      <c r="G112" s="2"/>
      <c r="H112" s="2">
        <v>369.63</v>
      </c>
      <c r="I112" s="2"/>
      <c r="J112" s="22">
        <f t="shared" si="9"/>
        <v>4.574847093876745E-4</v>
      </c>
      <c r="K112" s="2"/>
      <c r="L112" s="2">
        <f t="shared" si="10"/>
        <v>134.30000000000001</v>
      </c>
      <c r="M112" s="2"/>
      <c r="N112" s="22">
        <f t="shared" si="11"/>
        <v>0.36333630928225524</v>
      </c>
      <c r="O112" s="11"/>
      <c r="P112" s="2">
        <v>503.93</v>
      </c>
      <c r="Q112" s="2"/>
      <c r="R112" s="22">
        <f t="shared" si="12"/>
        <v>6.9769752064914256E-4</v>
      </c>
      <c r="S112" s="2"/>
      <c r="T112" s="2">
        <v>369.63</v>
      </c>
      <c r="U112" s="2"/>
      <c r="V112" s="22">
        <f t="shared" si="13"/>
        <v>4.574847093876745E-4</v>
      </c>
      <c r="W112" s="2"/>
      <c r="X112" s="2">
        <f t="shared" si="14"/>
        <v>134.30000000000001</v>
      </c>
      <c r="Y112" s="2"/>
      <c r="Z112" s="22">
        <f t="shared" si="15"/>
        <v>0.36333630928225524</v>
      </c>
    </row>
    <row r="113" spans="1:26" s="24" customFormat="1" hidden="1" outlineLevel="1" x14ac:dyDescent="0.25">
      <c r="A113" s="50"/>
      <c r="B113" s="11" t="str">
        <f>CONCATENATE("          ", "5025", " - ", "PURCHASES @ COST-TEST FORMS")</f>
        <v xml:space="preserve">          5025 - PURCHASES @ COST-TEST FORMS</v>
      </c>
      <c r="C113" s="11"/>
      <c r="D113" s="2">
        <v>879.12</v>
      </c>
      <c r="E113" s="2"/>
      <c r="F113" s="22">
        <f t="shared" si="8"/>
        <v>1.2171528671701907E-3</v>
      </c>
      <c r="G113" s="2"/>
      <c r="H113" s="2">
        <v>1050</v>
      </c>
      <c r="I113" s="2"/>
      <c r="J113" s="22">
        <f t="shared" si="9"/>
        <v>1.2995669855181079E-3</v>
      </c>
      <c r="K113" s="2"/>
      <c r="L113" s="2">
        <f t="shared" si="10"/>
        <v>-170.88</v>
      </c>
      <c r="M113" s="2"/>
      <c r="N113" s="22">
        <f t="shared" si="11"/>
        <v>-0.16274285714285713</v>
      </c>
      <c r="O113" s="11"/>
      <c r="P113" s="2">
        <v>879.12</v>
      </c>
      <c r="Q113" s="2"/>
      <c r="R113" s="22">
        <f t="shared" si="12"/>
        <v>1.2171528671701907E-3</v>
      </c>
      <c r="S113" s="2"/>
      <c r="T113" s="2">
        <v>1050</v>
      </c>
      <c r="U113" s="2"/>
      <c r="V113" s="22">
        <f t="shared" si="13"/>
        <v>1.2995669855181079E-3</v>
      </c>
      <c r="W113" s="2"/>
      <c r="X113" s="2">
        <f t="shared" si="14"/>
        <v>-170.88</v>
      </c>
      <c r="Y113" s="2"/>
      <c r="Z113" s="22">
        <f t="shared" si="15"/>
        <v>-0.16274285714285713</v>
      </c>
    </row>
    <row r="114" spans="1:26" s="24" customFormat="1" hidden="1" outlineLevel="1" x14ac:dyDescent="0.25">
      <c r="A114" s="50"/>
      <c r="B114" s="11" t="str">
        <f>CONCATENATE("          ", "5026", " - ", "PURCHASES @ COST-WRITING INSTR")</f>
        <v xml:space="preserve">          5026 - PURCHASES @ COST-WRITING INSTR</v>
      </c>
      <c r="C114" s="11"/>
      <c r="D114" s="2">
        <v>10331.040000000001</v>
      </c>
      <c r="E114" s="2"/>
      <c r="F114" s="22">
        <f t="shared" si="8"/>
        <v>1.430345681687361E-2</v>
      </c>
      <c r="G114" s="2"/>
      <c r="H114" s="2">
        <v>21190.09</v>
      </c>
      <c r="I114" s="2"/>
      <c r="J114" s="22">
        <f t="shared" si="9"/>
        <v>2.622661084205467E-2</v>
      </c>
      <c r="K114" s="2"/>
      <c r="L114" s="2">
        <f t="shared" si="10"/>
        <v>-10859.05</v>
      </c>
      <c r="M114" s="2"/>
      <c r="N114" s="22">
        <f t="shared" si="11"/>
        <v>-0.51245888998111855</v>
      </c>
      <c r="O114" s="11"/>
      <c r="P114" s="2">
        <v>10331.040000000001</v>
      </c>
      <c r="Q114" s="2"/>
      <c r="R114" s="22">
        <f t="shared" si="12"/>
        <v>1.430345681687361E-2</v>
      </c>
      <c r="S114" s="2"/>
      <c r="T114" s="2">
        <v>21190.09</v>
      </c>
      <c r="U114" s="2"/>
      <c r="V114" s="22">
        <f t="shared" si="13"/>
        <v>2.622661084205467E-2</v>
      </c>
      <c r="W114" s="2"/>
      <c r="X114" s="2">
        <f t="shared" si="14"/>
        <v>-10859.05</v>
      </c>
      <c r="Y114" s="2"/>
      <c r="Z114" s="22">
        <f t="shared" si="15"/>
        <v>-0.51245888998111855</v>
      </c>
    </row>
    <row r="115" spans="1:26" s="24" customFormat="1" hidden="1" outlineLevel="1" x14ac:dyDescent="0.25">
      <c r="A115" s="50"/>
      <c r="B115" s="11" t="str">
        <f>CONCATENATE("          ", "5027", " - ", "PURCHASES @ COST-SCHOOL SUPPLI")</f>
        <v xml:space="preserve">          5027 - PURCHASES @ COST-SCHOOL SUPPLI</v>
      </c>
      <c r="C115" s="11"/>
      <c r="D115" s="2">
        <v>50115.47</v>
      </c>
      <c r="E115" s="2"/>
      <c r="F115" s="22">
        <f t="shared" si="8"/>
        <v>6.9385508235601148E-2</v>
      </c>
      <c r="G115" s="2"/>
      <c r="H115" s="2">
        <v>55093.8</v>
      </c>
      <c r="I115" s="2"/>
      <c r="J115" s="22">
        <f t="shared" si="9"/>
        <v>6.8188651034988126E-2</v>
      </c>
      <c r="K115" s="2"/>
      <c r="L115" s="2">
        <f t="shared" si="10"/>
        <v>-4978.3300000000017</v>
      </c>
      <c r="M115" s="2"/>
      <c r="N115" s="22">
        <f t="shared" si="11"/>
        <v>-9.0360984357586549E-2</v>
      </c>
      <c r="O115" s="11"/>
      <c r="P115" s="2">
        <v>50115.47</v>
      </c>
      <c r="Q115" s="2"/>
      <c r="R115" s="22">
        <f t="shared" si="12"/>
        <v>6.9385508235601148E-2</v>
      </c>
      <c r="S115" s="2"/>
      <c r="T115" s="2">
        <v>55093.8</v>
      </c>
      <c r="U115" s="2"/>
      <c r="V115" s="22">
        <f t="shared" si="13"/>
        <v>6.8188651034988126E-2</v>
      </c>
      <c r="W115" s="2"/>
      <c r="X115" s="2">
        <f t="shared" si="14"/>
        <v>-4978.3300000000017</v>
      </c>
      <c r="Y115" s="2"/>
      <c r="Z115" s="22">
        <f t="shared" si="15"/>
        <v>-9.0360984357586549E-2</v>
      </c>
    </row>
    <row r="116" spans="1:26" s="24" customFormat="1" hidden="1" outlineLevel="1" x14ac:dyDescent="0.25">
      <c r="A116" s="50"/>
      <c r="B116" s="11" t="str">
        <f>CONCATENATE("          ", "5028", " - ", "PURCHASES @ COST-ART/TECH")</f>
        <v xml:space="preserve">          5028 - PURCHASES @ COST-ART/TECH</v>
      </c>
      <c r="C116" s="11"/>
      <c r="D116" s="2">
        <v>28027.649999999998</v>
      </c>
      <c r="E116" s="2"/>
      <c r="F116" s="22">
        <f t="shared" si="8"/>
        <v>3.8804639363844061E-2</v>
      </c>
      <c r="G116" s="2"/>
      <c r="H116" s="2">
        <v>26024.080000000002</v>
      </c>
      <c r="I116" s="2"/>
      <c r="J116" s="22">
        <f t="shared" si="9"/>
        <v>3.2209557329982937E-2</v>
      </c>
      <c r="K116" s="2"/>
      <c r="L116" s="2">
        <f t="shared" si="10"/>
        <v>2003.5699999999961</v>
      </c>
      <c r="M116" s="2"/>
      <c r="N116" s="22">
        <f t="shared" si="11"/>
        <v>7.6989080882013727E-2</v>
      </c>
      <c r="O116" s="11"/>
      <c r="P116" s="2">
        <v>28027.649999999998</v>
      </c>
      <c r="Q116" s="2"/>
      <c r="R116" s="22">
        <f t="shared" si="12"/>
        <v>3.8804639363844061E-2</v>
      </c>
      <c r="S116" s="2"/>
      <c r="T116" s="2">
        <v>26024.080000000002</v>
      </c>
      <c r="U116" s="2"/>
      <c r="V116" s="22">
        <f t="shared" si="13"/>
        <v>3.2209557329982937E-2</v>
      </c>
      <c r="W116" s="2"/>
      <c r="X116" s="2">
        <f t="shared" si="14"/>
        <v>2003.5699999999961</v>
      </c>
      <c r="Y116" s="2"/>
      <c r="Z116" s="22">
        <f t="shared" si="15"/>
        <v>7.6989080882013727E-2</v>
      </c>
    </row>
    <row r="117" spans="1:26" s="24" customFormat="1" hidden="1" outlineLevel="1" x14ac:dyDescent="0.25">
      <c r="A117" s="50"/>
      <c r="B117" s="11" t="str">
        <f>CONCATENATE("          ", "5031", " - ", "PURCHASES @ COST-FOOD")</f>
        <v xml:space="preserve">          5031 - PURCHASES @ COST-FOOD</v>
      </c>
      <c r="C117" s="11"/>
      <c r="D117" s="2"/>
      <c r="E117" s="2"/>
      <c r="F117" s="22">
        <f t="shared" si="8"/>
        <v>0</v>
      </c>
      <c r="G117" s="2"/>
      <c r="H117" s="2">
        <v>89.16</v>
      </c>
      <c r="I117" s="2"/>
      <c r="J117" s="22">
        <f t="shared" si="9"/>
        <v>1.1035180231313761E-4</v>
      </c>
      <c r="K117" s="2"/>
      <c r="L117" s="2">
        <f t="shared" si="10"/>
        <v>-89.16</v>
      </c>
      <c r="M117" s="2"/>
      <c r="N117" s="22">
        <f t="shared" si="11"/>
        <v>-1</v>
      </c>
      <c r="O117" s="11"/>
      <c r="P117" s="2"/>
      <c r="Q117" s="2"/>
      <c r="R117" s="22">
        <f t="shared" si="12"/>
        <v>0</v>
      </c>
      <c r="S117" s="2"/>
      <c r="T117" s="2">
        <v>89.16</v>
      </c>
      <c r="U117" s="2"/>
      <c r="V117" s="22">
        <f t="shared" si="13"/>
        <v>1.1035180231313761E-4</v>
      </c>
      <c r="W117" s="2"/>
      <c r="X117" s="2">
        <f t="shared" si="14"/>
        <v>-89.16</v>
      </c>
      <c r="Y117" s="2"/>
      <c r="Z117" s="22">
        <f t="shared" si="15"/>
        <v>-1</v>
      </c>
    </row>
    <row r="118" spans="1:26" s="24" customFormat="1" hidden="1" outlineLevel="1" x14ac:dyDescent="0.25">
      <c r="A118" s="50"/>
      <c r="B118" s="11" t="str">
        <f>CONCATENATE("          ", "5032", " - ", "PURCHASES @ COST-JUICE")</f>
        <v xml:space="preserve">          5032 - PURCHASES @ COST-JUICE</v>
      </c>
      <c r="C118" s="11"/>
      <c r="D118" s="2">
        <v>114.42</v>
      </c>
      <c r="E118" s="2"/>
      <c r="F118" s="22">
        <f t="shared" si="8"/>
        <v>1.5841595124853629E-4</v>
      </c>
      <c r="G118" s="2"/>
      <c r="H118" s="2"/>
      <c r="I118" s="2"/>
      <c r="J118" s="22">
        <f t="shared" si="9"/>
        <v>0</v>
      </c>
      <c r="K118" s="2"/>
      <c r="L118" s="2">
        <f t="shared" si="10"/>
        <v>114.42</v>
      </c>
      <c r="M118" s="2"/>
      <c r="N118" s="22">
        <f t="shared" si="11"/>
        <v>0</v>
      </c>
      <c r="O118" s="11"/>
      <c r="P118" s="2">
        <v>114.42</v>
      </c>
      <c r="Q118" s="2"/>
      <c r="R118" s="22">
        <f t="shared" si="12"/>
        <v>1.5841595124853629E-4</v>
      </c>
      <c r="S118" s="2"/>
      <c r="T118" s="2"/>
      <c r="U118" s="2"/>
      <c r="V118" s="22">
        <f t="shared" si="13"/>
        <v>0</v>
      </c>
      <c r="W118" s="2"/>
      <c r="X118" s="2">
        <f t="shared" si="14"/>
        <v>114.42</v>
      </c>
      <c r="Y118" s="2"/>
      <c r="Z118" s="22">
        <f t="shared" si="15"/>
        <v>0</v>
      </c>
    </row>
    <row r="119" spans="1:26" s="24" customFormat="1" hidden="1" outlineLevel="1" x14ac:dyDescent="0.25">
      <c r="A119" s="50"/>
      <c r="B119" s="11" t="str">
        <f>CONCATENATE("          ", "5033", " - ", "PURCHASES @ COST-CANDY")</f>
        <v xml:space="preserve">          5033 - PURCHASES @ COST-CANDY</v>
      </c>
      <c r="C119" s="11"/>
      <c r="D119" s="2"/>
      <c r="E119" s="2"/>
      <c r="F119" s="22">
        <f t="shared" si="8"/>
        <v>0</v>
      </c>
      <c r="G119" s="2"/>
      <c r="H119" s="2">
        <v>162.99</v>
      </c>
      <c r="I119" s="2"/>
      <c r="J119" s="22">
        <f t="shared" si="9"/>
        <v>2.0172992663771089E-4</v>
      </c>
      <c r="K119" s="2"/>
      <c r="L119" s="2">
        <f t="shared" si="10"/>
        <v>-162.99</v>
      </c>
      <c r="M119" s="2"/>
      <c r="N119" s="22">
        <f t="shared" si="11"/>
        <v>-1</v>
      </c>
      <c r="O119" s="11"/>
      <c r="P119" s="2"/>
      <c r="Q119" s="2"/>
      <c r="R119" s="22">
        <f t="shared" si="12"/>
        <v>0</v>
      </c>
      <c r="S119" s="2"/>
      <c r="T119" s="2">
        <v>162.99</v>
      </c>
      <c r="U119" s="2"/>
      <c r="V119" s="22">
        <f t="shared" si="13"/>
        <v>2.0172992663771089E-4</v>
      </c>
      <c r="W119" s="2"/>
      <c r="X119" s="2">
        <f t="shared" si="14"/>
        <v>-162.99</v>
      </c>
      <c r="Y119" s="2"/>
      <c r="Z119" s="22">
        <f t="shared" si="15"/>
        <v>-1</v>
      </c>
    </row>
    <row r="120" spans="1:26" s="24" customFormat="1" hidden="1" outlineLevel="1" x14ac:dyDescent="0.25">
      <c r="A120" s="50"/>
      <c r="B120" s="11" t="str">
        <f>CONCATENATE("          ", "5034", " - ", "PURCHASES @ COST-SODA")</f>
        <v xml:space="preserve">          5034 - PURCHASES @ COST-SODA</v>
      </c>
      <c r="C120" s="11"/>
      <c r="D120" s="2">
        <v>-61.54</v>
      </c>
      <c r="E120" s="2"/>
      <c r="F120" s="22">
        <f t="shared" si="8"/>
        <v>-8.5202915922346812E-5</v>
      </c>
      <c r="G120" s="2"/>
      <c r="H120" s="2">
        <v>0</v>
      </c>
      <c r="I120" s="2"/>
      <c r="J120" s="22">
        <f t="shared" si="9"/>
        <v>0</v>
      </c>
      <c r="K120" s="2"/>
      <c r="L120" s="2">
        <f t="shared" si="10"/>
        <v>-61.54</v>
      </c>
      <c r="M120" s="2"/>
      <c r="N120" s="22">
        <f t="shared" si="11"/>
        <v>0</v>
      </c>
      <c r="O120" s="11"/>
      <c r="P120" s="2">
        <v>-61.54</v>
      </c>
      <c r="Q120" s="2"/>
      <c r="R120" s="22">
        <f t="shared" si="12"/>
        <v>-8.5202915922346812E-5</v>
      </c>
      <c r="S120" s="2"/>
      <c r="T120" s="2">
        <v>0</v>
      </c>
      <c r="U120" s="2"/>
      <c r="V120" s="22">
        <f t="shared" si="13"/>
        <v>0</v>
      </c>
      <c r="W120" s="2"/>
      <c r="X120" s="2">
        <f t="shared" si="14"/>
        <v>-61.54</v>
      </c>
      <c r="Y120" s="2"/>
      <c r="Z120" s="22">
        <f t="shared" si="15"/>
        <v>0</v>
      </c>
    </row>
    <row r="121" spans="1:26" s="24" customFormat="1" hidden="1" outlineLevel="1" x14ac:dyDescent="0.25">
      <c r="A121" s="50"/>
      <c r="B121" s="11" t="str">
        <f>CONCATENATE("          ", "5037", " - ", "PURCHASES @ COST-WATER")</f>
        <v xml:space="preserve">          5037 - PURCHASES @ COST-WATER</v>
      </c>
      <c r="C121" s="11"/>
      <c r="D121" s="2">
        <v>33.58</v>
      </c>
      <c r="E121" s="2"/>
      <c r="F121" s="22">
        <f t="shared" si="8"/>
        <v>4.6491938847455412E-5</v>
      </c>
      <c r="G121" s="2"/>
      <c r="H121" s="2"/>
      <c r="I121" s="2"/>
      <c r="J121" s="22">
        <f t="shared" si="9"/>
        <v>0</v>
      </c>
      <c r="K121" s="2"/>
      <c r="L121" s="2">
        <f t="shared" si="10"/>
        <v>33.58</v>
      </c>
      <c r="M121" s="2"/>
      <c r="N121" s="22">
        <f t="shared" si="11"/>
        <v>0</v>
      </c>
      <c r="O121" s="11"/>
      <c r="P121" s="2">
        <v>33.58</v>
      </c>
      <c r="Q121" s="2"/>
      <c r="R121" s="22">
        <f t="shared" si="12"/>
        <v>4.6491938847455412E-5</v>
      </c>
      <c r="S121" s="2"/>
      <c r="T121" s="2"/>
      <c r="U121" s="2"/>
      <c r="V121" s="22">
        <f t="shared" si="13"/>
        <v>0</v>
      </c>
      <c r="W121" s="2"/>
      <c r="X121" s="2">
        <f t="shared" si="14"/>
        <v>33.58</v>
      </c>
      <c r="Y121" s="2"/>
      <c r="Z121" s="22">
        <f t="shared" si="15"/>
        <v>0</v>
      </c>
    </row>
    <row r="122" spans="1:26" s="24" customFormat="1" hidden="1" outlineLevel="1" x14ac:dyDescent="0.25">
      <c r="A122" s="50"/>
      <c r="B122" s="11" t="str">
        <f>CONCATENATE("          ", "5040", " - ", "PURCHASES @ COST-LOGO CLOTHING")</f>
        <v xml:space="preserve">          5040 - PURCHASES @ COST-LOGO CLOTHING</v>
      </c>
      <c r="C122" s="11"/>
      <c r="D122" s="2">
        <v>78921.570000000007</v>
      </c>
      <c r="E122" s="2"/>
      <c r="F122" s="22">
        <f t="shared" si="8"/>
        <v>0.10926792156596701</v>
      </c>
      <c r="G122" s="2"/>
      <c r="H122" s="2">
        <v>79500.37000000001</v>
      </c>
      <c r="I122" s="2"/>
      <c r="J122" s="22">
        <f t="shared" si="9"/>
        <v>9.839624398902308E-2</v>
      </c>
      <c r="K122" s="2"/>
      <c r="L122" s="2">
        <f t="shared" si="10"/>
        <v>-578.80000000000291</v>
      </c>
      <c r="M122" s="2"/>
      <c r="N122" s="22">
        <f t="shared" si="11"/>
        <v>-7.2804692607091369E-3</v>
      </c>
      <c r="O122" s="11"/>
      <c r="P122" s="2">
        <v>78921.570000000007</v>
      </c>
      <c r="Q122" s="2"/>
      <c r="R122" s="22">
        <f t="shared" si="12"/>
        <v>0.10926792156596701</v>
      </c>
      <c r="S122" s="2"/>
      <c r="T122" s="2">
        <v>79500.37000000001</v>
      </c>
      <c r="U122" s="2"/>
      <c r="V122" s="22">
        <f t="shared" si="13"/>
        <v>9.839624398902308E-2</v>
      </c>
      <c r="W122" s="2"/>
      <c r="X122" s="2">
        <f t="shared" si="14"/>
        <v>-578.80000000000291</v>
      </c>
      <c r="Y122" s="2"/>
      <c r="Z122" s="22">
        <f t="shared" si="15"/>
        <v>-7.2804692607091369E-3</v>
      </c>
    </row>
    <row r="123" spans="1:26" s="24" customFormat="1" hidden="1" outlineLevel="1" x14ac:dyDescent="0.25">
      <c r="A123" s="50"/>
      <c r="B123" s="11" t="str">
        <f>CONCATENATE("          ", "5041", " - ", "PURCHASES @ COST-LOGO GIFTS")</f>
        <v xml:space="preserve">          5041 - PURCHASES @ COST-LOGO GIFTS</v>
      </c>
      <c r="C123" s="11"/>
      <c r="D123" s="2">
        <v>11950.27</v>
      </c>
      <c r="E123" s="2"/>
      <c r="F123" s="22">
        <f t="shared" si="8"/>
        <v>1.6545301430928559E-2</v>
      </c>
      <c r="G123" s="2"/>
      <c r="H123" s="2">
        <v>22095.94</v>
      </c>
      <c r="I123" s="2"/>
      <c r="J123" s="22">
        <f t="shared" si="9"/>
        <v>2.7347765845703791E-2</v>
      </c>
      <c r="K123" s="2"/>
      <c r="L123" s="2">
        <f t="shared" si="10"/>
        <v>-10145.669999999998</v>
      </c>
      <c r="M123" s="2"/>
      <c r="N123" s="22">
        <f t="shared" si="11"/>
        <v>-0.45916444378469523</v>
      </c>
      <c r="O123" s="11"/>
      <c r="P123" s="2">
        <v>11950.27</v>
      </c>
      <c r="Q123" s="2"/>
      <c r="R123" s="22">
        <f t="shared" si="12"/>
        <v>1.6545301430928559E-2</v>
      </c>
      <c r="S123" s="2"/>
      <c r="T123" s="2">
        <v>22095.94</v>
      </c>
      <c r="U123" s="2"/>
      <c r="V123" s="22">
        <f t="shared" si="13"/>
        <v>2.7347765845703791E-2</v>
      </c>
      <c r="W123" s="2"/>
      <c r="X123" s="2">
        <f t="shared" si="14"/>
        <v>-10145.669999999998</v>
      </c>
      <c r="Y123" s="2"/>
      <c r="Z123" s="22">
        <f t="shared" si="15"/>
        <v>-0.45916444378469523</v>
      </c>
    </row>
    <row r="124" spans="1:26" s="24" customFormat="1" hidden="1" outlineLevel="1" x14ac:dyDescent="0.25">
      <c r="A124" s="50"/>
      <c r="B124" s="11" t="str">
        <f>CONCATENATE("          ", "5042", " - ", "PURCHASES @ COST-EVERYDAY GIFT")</f>
        <v xml:space="preserve">          5042 - PURCHASES @ COST-EVERYDAY GIFT</v>
      </c>
      <c r="C124" s="11"/>
      <c r="D124" s="2">
        <v>7752.36</v>
      </c>
      <c r="E124" s="2"/>
      <c r="F124" s="22">
        <f t="shared" si="8"/>
        <v>1.0733241424760554E-2</v>
      </c>
      <c r="G124" s="2"/>
      <c r="H124" s="2">
        <v>4700.42</v>
      </c>
      <c r="I124" s="2"/>
      <c r="J124" s="22">
        <f t="shared" si="9"/>
        <v>5.817629190541929E-3</v>
      </c>
      <c r="K124" s="2"/>
      <c r="L124" s="2">
        <f t="shared" si="10"/>
        <v>3051.9399999999996</v>
      </c>
      <c r="M124" s="2"/>
      <c r="N124" s="22">
        <f t="shared" si="11"/>
        <v>0.64929091442892328</v>
      </c>
      <c r="O124" s="11"/>
      <c r="P124" s="2">
        <v>7752.36</v>
      </c>
      <c r="Q124" s="2"/>
      <c r="R124" s="22">
        <f t="shared" si="12"/>
        <v>1.0733241424760554E-2</v>
      </c>
      <c r="S124" s="2"/>
      <c r="T124" s="2">
        <v>4700.42</v>
      </c>
      <c r="U124" s="2"/>
      <c r="V124" s="22">
        <f t="shared" si="13"/>
        <v>5.817629190541929E-3</v>
      </c>
      <c r="W124" s="2"/>
      <c r="X124" s="2">
        <f t="shared" si="14"/>
        <v>3051.9399999999996</v>
      </c>
      <c r="Y124" s="2"/>
      <c r="Z124" s="22">
        <f t="shared" si="15"/>
        <v>0.64929091442892328</v>
      </c>
    </row>
    <row r="125" spans="1:26" s="24" customFormat="1" hidden="1" outlineLevel="1" x14ac:dyDescent="0.25">
      <c r="A125" s="50"/>
      <c r="B125" s="11" t="str">
        <f>CONCATENATE("          ", "5043", " - ", "PURCHASES @ COST-CARDS")</f>
        <v xml:space="preserve">          5043 - PURCHASES @ COST-CARDS</v>
      </c>
      <c r="C125" s="11"/>
      <c r="D125" s="2">
        <v>498.26</v>
      </c>
      <c r="E125" s="2"/>
      <c r="F125" s="22">
        <f t="shared" si="8"/>
        <v>6.898473332380326E-4</v>
      </c>
      <c r="G125" s="2"/>
      <c r="H125" s="2">
        <v>470.73</v>
      </c>
      <c r="I125" s="2"/>
      <c r="J125" s="22">
        <f t="shared" si="9"/>
        <v>5.8261444485041807E-4</v>
      </c>
      <c r="K125" s="2"/>
      <c r="L125" s="2">
        <f t="shared" si="10"/>
        <v>27.529999999999973</v>
      </c>
      <c r="M125" s="2"/>
      <c r="N125" s="22">
        <f t="shared" si="11"/>
        <v>5.848363180591841E-2</v>
      </c>
      <c r="O125" s="11"/>
      <c r="P125" s="2">
        <v>498.26</v>
      </c>
      <c r="Q125" s="2"/>
      <c r="R125" s="22">
        <f t="shared" si="12"/>
        <v>6.898473332380326E-4</v>
      </c>
      <c r="S125" s="2"/>
      <c r="T125" s="2">
        <v>470.73</v>
      </c>
      <c r="U125" s="2"/>
      <c r="V125" s="22">
        <f t="shared" si="13"/>
        <v>5.8261444485041807E-4</v>
      </c>
      <c r="W125" s="2"/>
      <c r="X125" s="2">
        <f t="shared" si="14"/>
        <v>27.529999999999973</v>
      </c>
      <c r="Y125" s="2"/>
      <c r="Z125" s="22">
        <f t="shared" si="15"/>
        <v>5.848363180591841E-2</v>
      </c>
    </row>
    <row r="126" spans="1:26" s="24" customFormat="1" hidden="1" outlineLevel="1" x14ac:dyDescent="0.25">
      <c r="A126" s="50"/>
      <c r="B126" s="11" t="str">
        <f>CONCATENATE("          ", "5044", " - ", "PURCHASES @ COST-ACCESSORIES")</f>
        <v xml:space="preserve">          5044 - PURCHASES @ COST-ACCESSORIES</v>
      </c>
      <c r="C126" s="11"/>
      <c r="D126" s="2">
        <v>4839</v>
      </c>
      <c r="E126" s="2"/>
      <c r="F126" s="22">
        <f t="shared" si="8"/>
        <v>6.6996572984763776E-3</v>
      </c>
      <c r="G126" s="2"/>
      <c r="H126" s="2">
        <v>6063</v>
      </c>
      <c r="I126" s="2"/>
      <c r="J126" s="22">
        <f t="shared" si="9"/>
        <v>7.5040710792345601E-3</v>
      </c>
      <c r="K126" s="2"/>
      <c r="L126" s="2">
        <f t="shared" si="10"/>
        <v>-1224</v>
      </c>
      <c r="M126" s="2"/>
      <c r="N126" s="22">
        <f t="shared" si="11"/>
        <v>-0.20188025729836714</v>
      </c>
      <c r="O126" s="11"/>
      <c r="P126" s="2">
        <v>4839</v>
      </c>
      <c r="Q126" s="2"/>
      <c r="R126" s="22">
        <f t="shared" si="12"/>
        <v>6.6996572984763776E-3</v>
      </c>
      <c r="S126" s="2"/>
      <c r="T126" s="2">
        <v>6063</v>
      </c>
      <c r="U126" s="2"/>
      <c r="V126" s="22">
        <f t="shared" si="13"/>
        <v>7.5040710792345601E-3</v>
      </c>
      <c r="W126" s="2"/>
      <c r="X126" s="2">
        <f t="shared" si="14"/>
        <v>-1224</v>
      </c>
      <c r="Y126" s="2"/>
      <c r="Z126" s="22">
        <f t="shared" si="15"/>
        <v>-0.20188025729836714</v>
      </c>
    </row>
    <row r="127" spans="1:26" s="24" customFormat="1" hidden="1" outlineLevel="1" x14ac:dyDescent="0.25">
      <c r="A127" s="50"/>
      <c r="B127" s="11" t="str">
        <f>CONCATENATE("          ", "5045", " - ", "PURCHASES @ COST-SPECIAL ORDER")</f>
        <v xml:space="preserve">          5045 - PURCHASES @ COST-SPECIAL ORDER</v>
      </c>
      <c r="C127" s="11"/>
      <c r="D127" s="2">
        <v>15992.849999999999</v>
      </c>
      <c r="E127" s="2"/>
      <c r="F127" s="22">
        <f t="shared" si="8"/>
        <v>2.2142305068389732E-2</v>
      </c>
      <c r="G127" s="2"/>
      <c r="H127" s="2">
        <v>18624.310000000001</v>
      </c>
      <c r="I127" s="2"/>
      <c r="J127" s="22">
        <f t="shared" si="9"/>
        <v>2.3050988956242625E-2</v>
      </c>
      <c r="K127" s="2"/>
      <c r="L127" s="2">
        <f t="shared" si="10"/>
        <v>-2631.4600000000028</v>
      </c>
      <c r="M127" s="2"/>
      <c r="N127" s="22">
        <f t="shared" si="11"/>
        <v>-0.14129167738294748</v>
      </c>
      <c r="O127" s="11"/>
      <c r="P127" s="2">
        <v>15992.849999999999</v>
      </c>
      <c r="Q127" s="2"/>
      <c r="R127" s="22">
        <f t="shared" si="12"/>
        <v>2.2142305068389732E-2</v>
      </c>
      <c r="S127" s="2"/>
      <c r="T127" s="2">
        <v>18624.310000000001</v>
      </c>
      <c r="U127" s="2"/>
      <c r="V127" s="22">
        <f t="shared" si="13"/>
        <v>2.3050988956242625E-2</v>
      </c>
      <c r="W127" s="2"/>
      <c r="X127" s="2">
        <f t="shared" si="14"/>
        <v>-2631.4600000000028</v>
      </c>
      <c r="Y127" s="2"/>
      <c r="Z127" s="22">
        <f t="shared" si="15"/>
        <v>-0.14129167738294748</v>
      </c>
    </row>
    <row r="128" spans="1:26" s="24" customFormat="1" hidden="1" outlineLevel="1" x14ac:dyDescent="0.25">
      <c r="A128" s="50"/>
      <c r="B128" s="11" t="str">
        <f>CONCATENATE("          ", "5081", " - ", "PURCHASES @ COST-ELECTRONICS")</f>
        <v xml:space="preserve">          5081 - PURCHASES @ COST-ELECTRONICS</v>
      </c>
      <c r="C128" s="11"/>
      <c r="D128" s="2">
        <v>66058.349999999991</v>
      </c>
      <c r="E128" s="2"/>
      <c r="F128" s="22">
        <f t="shared" si="8"/>
        <v>9.1458629200828048E-2</v>
      </c>
      <c r="G128" s="2"/>
      <c r="H128" s="2">
        <v>57011.689999999995</v>
      </c>
      <c r="I128" s="2"/>
      <c r="J128" s="22">
        <f t="shared" si="9"/>
        <v>7.0562390583421758E-2</v>
      </c>
      <c r="K128" s="2"/>
      <c r="L128" s="2">
        <f t="shared" si="10"/>
        <v>9046.6599999999962</v>
      </c>
      <c r="M128" s="2"/>
      <c r="N128" s="22">
        <f t="shared" si="11"/>
        <v>0.15868078985204609</v>
      </c>
      <c r="O128" s="11"/>
      <c r="P128" s="2">
        <v>66058.349999999991</v>
      </c>
      <c r="Q128" s="2"/>
      <c r="R128" s="22">
        <f t="shared" si="12"/>
        <v>9.1458629200828048E-2</v>
      </c>
      <c r="S128" s="2"/>
      <c r="T128" s="2">
        <v>57011.689999999995</v>
      </c>
      <c r="U128" s="2"/>
      <c r="V128" s="22">
        <f t="shared" si="13"/>
        <v>7.0562390583421758E-2</v>
      </c>
      <c r="W128" s="2"/>
      <c r="X128" s="2">
        <f t="shared" si="14"/>
        <v>9046.6599999999962</v>
      </c>
      <c r="Y128" s="2"/>
      <c r="Z128" s="22">
        <f t="shared" si="15"/>
        <v>0.15868078985204609</v>
      </c>
    </row>
    <row r="129" spans="1:26" s="24" customFormat="1" hidden="1" outlineLevel="1" x14ac:dyDescent="0.25">
      <c r="A129" s="50"/>
      <c r="B129" s="11" t="str">
        <f>CONCATENATE("          ", "5082", " - ", "PURCHASES @ COST-COMPUTER HARD")</f>
        <v xml:space="preserve">          5082 - PURCHASES @ COST-COMPUTER HARD</v>
      </c>
      <c r="C129" s="11"/>
      <c r="D129" s="2">
        <v>356559.97</v>
      </c>
      <c r="E129" s="2"/>
      <c r="F129" s="22">
        <f t="shared" si="8"/>
        <v>0.49366183206344655</v>
      </c>
      <c r="G129" s="2"/>
      <c r="H129" s="2">
        <v>295854.32</v>
      </c>
      <c r="I129" s="2"/>
      <c r="J129" s="22">
        <f t="shared" si="9"/>
        <v>0.36617381599515209</v>
      </c>
      <c r="K129" s="2"/>
      <c r="L129" s="2">
        <f t="shared" si="10"/>
        <v>60705.649999999965</v>
      </c>
      <c r="M129" s="2"/>
      <c r="N129" s="22">
        <f t="shared" si="11"/>
        <v>0.20518764099844802</v>
      </c>
      <c r="O129" s="11"/>
      <c r="P129" s="2">
        <v>356559.97</v>
      </c>
      <c r="Q129" s="2"/>
      <c r="R129" s="22">
        <f t="shared" si="12"/>
        <v>0.49366183206344655</v>
      </c>
      <c r="S129" s="2"/>
      <c r="T129" s="2">
        <v>295854.32</v>
      </c>
      <c r="U129" s="2"/>
      <c r="V129" s="22">
        <f t="shared" si="13"/>
        <v>0.36617381599515209</v>
      </c>
      <c r="W129" s="2"/>
      <c r="X129" s="2">
        <f t="shared" si="14"/>
        <v>60705.649999999965</v>
      </c>
      <c r="Y129" s="2"/>
      <c r="Z129" s="22">
        <f t="shared" si="15"/>
        <v>0.20518764099844802</v>
      </c>
    </row>
    <row r="130" spans="1:26" s="24" customFormat="1" hidden="1" outlineLevel="1" x14ac:dyDescent="0.25">
      <c r="A130" s="50"/>
      <c r="B130" s="11" t="str">
        <f>CONCATENATE("          ", "5083", " - ", "PURCHASES @ COST-COMPUTER EQUI")</f>
        <v xml:space="preserve">          5083 - PURCHASES @ COST-COMPUTER EQUI</v>
      </c>
      <c r="C130" s="11"/>
      <c r="D130" s="2">
        <v>7276.14</v>
      </c>
      <c r="E130" s="2"/>
      <c r="F130" s="22">
        <f t="shared" si="8"/>
        <v>1.0073908752993575E-2</v>
      </c>
      <c r="G130" s="2"/>
      <c r="H130" s="2">
        <v>6882.6</v>
      </c>
      <c r="I130" s="2"/>
      <c r="J130" s="22">
        <f t="shared" si="9"/>
        <v>8.5184759376446956E-3</v>
      </c>
      <c r="K130" s="2"/>
      <c r="L130" s="2">
        <f t="shared" si="10"/>
        <v>393.53999999999996</v>
      </c>
      <c r="M130" s="2"/>
      <c r="N130" s="22">
        <f t="shared" si="11"/>
        <v>5.7178973062505439E-2</v>
      </c>
      <c r="O130" s="11"/>
      <c r="P130" s="2">
        <v>7276.14</v>
      </c>
      <c r="Q130" s="2"/>
      <c r="R130" s="22">
        <f t="shared" si="12"/>
        <v>1.0073908752993575E-2</v>
      </c>
      <c r="S130" s="2"/>
      <c r="T130" s="2">
        <v>6882.6</v>
      </c>
      <c r="U130" s="2"/>
      <c r="V130" s="22">
        <f t="shared" si="13"/>
        <v>8.5184759376446956E-3</v>
      </c>
      <c r="W130" s="2"/>
      <c r="X130" s="2">
        <f t="shared" si="14"/>
        <v>393.53999999999996</v>
      </c>
      <c r="Y130" s="2"/>
      <c r="Z130" s="22">
        <f t="shared" si="15"/>
        <v>5.7178973062505439E-2</v>
      </c>
    </row>
    <row r="131" spans="1:26" s="24" customFormat="1" hidden="1" outlineLevel="1" x14ac:dyDescent="0.25">
      <c r="A131" s="50"/>
      <c r="B131" s="11" t="str">
        <f>CONCATENATE("          ", "5086", " - ", "PURCHASES @ COST-COMPUTER SUPP")</f>
        <v xml:space="preserve">          5086 - PURCHASES @ COST-COMPUTER SUPP</v>
      </c>
      <c r="C131" s="11"/>
      <c r="D131" s="2">
        <v>3427.07</v>
      </c>
      <c r="E131" s="2"/>
      <c r="F131" s="22">
        <f t="shared" si="8"/>
        <v>4.7448221818329073E-3</v>
      </c>
      <c r="G131" s="2"/>
      <c r="H131" s="2">
        <v>6502.32</v>
      </c>
      <c r="I131" s="2"/>
      <c r="J131" s="22">
        <f t="shared" si="9"/>
        <v>8.0478099059753359E-3</v>
      </c>
      <c r="K131" s="2"/>
      <c r="L131" s="2">
        <f t="shared" si="10"/>
        <v>-3075.2499999999995</v>
      </c>
      <c r="M131" s="2"/>
      <c r="N131" s="22">
        <f t="shared" si="11"/>
        <v>-0.4729465790671637</v>
      </c>
      <c r="O131" s="11"/>
      <c r="P131" s="2">
        <v>3427.07</v>
      </c>
      <c r="Q131" s="2"/>
      <c r="R131" s="22">
        <f t="shared" si="12"/>
        <v>4.7448221818329073E-3</v>
      </c>
      <c r="S131" s="2"/>
      <c r="T131" s="2">
        <v>6502.32</v>
      </c>
      <c r="U131" s="2"/>
      <c r="V131" s="22">
        <f t="shared" si="13"/>
        <v>8.0478099059753359E-3</v>
      </c>
      <c r="W131" s="2"/>
      <c r="X131" s="2">
        <f t="shared" si="14"/>
        <v>-3075.2499999999995</v>
      </c>
      <c r="Y131" s="2"/>
      <c r="Z131" s="22">
        <f t="shared" si="15"/>
        <v>-0.4729465790671637</v>
      </c>
    </row>
    <row r="132" spans="1:26" s="24" customFormat="1" hidden="1" outlineLevel="1" x14ac:dyDescent="0.25">
      <c r="A132" s="50"/>
      <c r="B132" s="11" t="str">
        <f>CONCATENATE("          ", "5088", " - ", "PURCHASES @ COST-MUSIC")</f>
        <v xml:space="preserve">          5088 - PURCHASES @ COST-MUSIC</v>
      </c>
      <c r="C132" s="11"/>
      <c r="D132" s="2">
        <v>82</v>
      </c>
      <c r="E132" s="2"/>
      <c r="F132" s="22">
        <f t="shared" si="8"/>
        <v>1.1353004721534675E-4</v>
      </c>
      <c r="G132" s="2"/>
      <c r="H132" s="2">
        <v>244.86</v>
      </c>
      <c r="I132" s="2"/>
      <c r="J132" s="22">
        <f t="shared" si="9"/>
        <v>3.0305902102282281E-4</v>
      </c>
      <c r="K132" s="2"/>
      <c r="L132" s="2">
        <f t="shared" si="10"/>
        <v>-162.86000000000001</v>
      </c>
      <c r="M132" s="2"/>
      <c r="N132" s="22">
        <f t="shared" si="11"/>
        <v>-0.66511475945438214</v>
      </c>
      <c r="O132" s="11"/>
      <c r="P132" s="2">
        <v>82</v>
      </c>
      <c r="Q132" s="2"/>
      <c r="R132" s="22">
        <f t="shared" si="12"/>
        <v>1.1353004721534675E-4</v>
      </c>
      <c r="S132" s="2"/>
      <c r="T132" s="2">
        <v>244.86</v>
      </c>
      <c r="U132" s="2"/>
      <c r="V132" s="22">
        <f t="shared" si="13"/>
        <v>3.0305902102282281E-4</v>
      </c>
      <c r="W132" s="2"/>
      <c r="X132" s="2">
        <f t="shared" si="14"/>
        <v>-162.86000000000001</v>
      </c>
      <c r="Y132" s="2"/>
      <c r="Z132" s="22">
        <f t="shared" si="15"/>
        <v>-0.66511475945438214</v>
      </c>
    </row>
    <row r="133" spans="1:26" s="24" customFormat="1" hidden="1" outlineLevel="1" x14ac:dyDescent="0.25">
      <c r="A133" s="50"/>
      <c r="B133" s="11" t="str">
        <f>CONCATENATE("          ", "5092", " - ", "PURCHASES @ COST-GRAD MERCH")</f>
        <v xml:space="preserve">          5092 - PURCHASES @ COST-GRAD MERCH</v>
      </c>
      <c r="C133" s="11"/>
      <c r="D133" s="2">
        <v>1228.5999999999999</v>
      </c>
      <c r="E133" s="2"/>
      <c r="F133" s="22">
        <f t="shared" si="8"/>
        <v>1.7010123903509148E-3</v>
      </c>
      <c r="G133" s="2"/>
      <c r="H133" s="2">
        <v>-1235.3900000000001</v>
      </c>
      <c r="I133" s="2"/>
      <c r="J133" s="22">
        <f t="shared" si="9"/>
        <v>-1.529021007846872E-3</v>
      </c>
      <c r="K133" s="2"/>
      <c r="L133" s="2">
        <f t="shared" si="10"/>
        <v>2463.9899999999998</v>
      </c>
      <c r="M133" s="2"/>
      <c r="N133" s="22">
        <f t="shared" si="11"/>
        <v>-1.9945037599462514</v>
      </c>
      <c r="O133" s="11"/>
      <c r="P133" s="2">
        <v>1228.5999999999999</v>
      </c>
      <c r="Q133" s="2"/>
      <c r="R133" s="22">
        <f t="shared" si="12"/>
        <v>1.7010123903509148E-3</v>
      </c>
      <c r="S133" s="2"/>
      <c r="T133" s="2">
        <v>-1235.3900000000001</v>
      </c>
      <c r="U133" s="2"/>
      <c r="V133" s="22">
        <f t="shared" si="13"/>
        <v>-1.529021007846872E-3</v>
      </c>
      <c r="W133" s="2"/>
      <c r="X133" s="2">
        <f t="shared" si="14"/>
        <v>2463.9899999999998</v>
      </c>
      <c r="Y133" s="2"/>
      <c r="Z133" s="22">
        <f t="shared" si="15"/>
        <v>-1.9945037599462514</v>
      </c>
    </row>
    <row r="134" spans="1:26" s="24" customFormat="1" hidden="1" outlineLevel="1" x14ac:dyDescent="0.25">
      <c r="A134" s="50"/>
      <c r="B134" s="11" t="str">
        <f>CONCATENATE("          ", "5095", " - ", "PURCHASES @ COST-CUSTOMER SERV")</f>
        <v xml:space="preserve">          5095 - PURCHASES @ COST-CUSTOMER SERV</v>
      </c>
      <c r="C134" s="11"/>
      <c r="D134" s="2">
        <v>0</v>
      </c>
      <c r="E134" s="2"/>
      <c r="F134" s="22">
        <f t="shared" si="8"/>
        <v>0</v>
      </c>
      <c r="G134" s="2"/>
      <c r="H134" s="2"/>
      <c r="I134" s="2"/>
      <c r="J134" s="22">
        <f t="shared" si="9"/>
        <v>0</v>
      </c>
      <c r="K134" s="2"/>
      <c r="L134" s="2">
        <f t="shared" si="10"/>
        <v>0</v>
      </c>
      <c r="M134" s="2"/>
      <c r="N134" s="22">
        <f t="shared" si="11"/>
        <v>0</v>
      </c>
      <c r="O134" s="11"/>
      <c r="P134" s="2">
        <v>0</v>
      </c>
      <c r="Q134" s="2"/>
      <c r="R134" s="22">
        <f t="shared" si="12"/>
        <v>0</v>
      </c>
      <c r="S134" s="2"/>
      <c r="T134" s="2"/>
      <c r="U134" s="2"/>
      <c r="V134" s="22">
        <f t="shared" si="13"/>
        <v>0</v>
      </c>
      <c r="W134" s="2"/>
      <c r="X134" s="2">
        <f t="shared" si="14"/>
        <v>0</v>
      </c>
      <c r="Y134" s="2"/>
      <c r="Z134" s="22">
        <f t="shared" si="15"/>
        <v>0</v>
      </c>
    </row>
    <row r="135" spans="1:26" s="24" customFormat="1" hidden="1" outlineLevel="1" x14ac:dyDescent="0.25">
      <c r="A135" s="50"/>
      <c r="B135" s="11" t="str">
        <f>CONCATENATE("          ", "5200", " - ", "PURCHASES OFFSET")</f>
        <v xml:space="preserve">          5200 - PURCHASES OFFSET</v>
      </c>
      <c r="C135" s="11"/>
      <c r="D135" s="2">
        <v>-1262309</v>
      </c>
      <c r="E135" s="2"/>
      <c r="F135" s="22">
        <f t="shared" si="8"/>
        <v>-1.7476829313458189</v>
      </c>
      <c r="G135" s="2"/>
      <c r="H135" s="2">
        <v>-1168935</v>
      </c>
      <c r="I135" s="2"/>
      <c r="J135" s="22">
        <f t="shared" si="9"/>
        <v>-1.446770794492009</v>
      </c>
      <c r="K135" s="2"/>
      <c r="L135" s="2">
        <f t="shared" si="10"/>
        <v>-93374</v>
      </c>
      <c r="M135" s="2"/>
      <c r="N135" s="22">
        <f t="shared" si="11"/>
        <v>7.9879548477887988E-2</v>
      </c>
      <c r="O135" s="11"/>
      <c r="P135" s="2">
        <v>-1262309</v>
      </c>
      <c r="Q135" s="2"/>
      <c r="R135" s="22">
        <f t="shared" si="12"/>
        <v>-1.7476829313458189</v>
      </c>
      <c r="S135" s="2"/>
      <c r="T135" s="2">
        <v>-1168935</v>
      </c>
      <c r="U135" s="2"/>
      <c r="V135" s="22">
        <f t="shared" si="13"/>
        <v>-1.446770794492009</v>
      </c>
      <c r="W135" s="2"/>
      <c r="X135" s="2">
        <f t="shared" si="14"/>
        <v>-93374</v>
      </c>
      <c r="Y135" s="2"/>
      <c r="Z135" s="22">
        <f t="shared" si="15"/>
        <v>7.9879548477887988E-2</v>
      </c>
    </row>
    <row r="136" spans="1:26" s="24" customFormat="1" hidden="1" outlineLevel="1" x14ac:dyDescent="0.25">
      <c r="A136" s="50"/>
      <c r="B136" s="11" t="str">
        <f>CONCATENATE("          ", "5300", " - ", "COG$ OFFSET")</f>
        <v xml:space="preserve">          5300 - COG$ OFFSET</v>
      </c>
      <c r="C136" s="11"/>
      <c r="D136" s="2">
        <v>523490</v>
      </c>
      <c r="E136" s="2"/>
      <c r="F136" s="22">
        <f t="shared" si="8"/>
        <v>0.7247785904483155</v>
      </c>
      <c r="G136" s="2"/>
      <c r="H136" s="2">
        <v>562593</v>
      </c>
      <c r="I136" s="2"/>
      <c r="J136" s="22">
        <f t="shared" si="9"/>
        <v>0.69631170388913233</v>
      </c>
      <c r="K136" s="2"/>
      <c r="L136" s="2">
        <f t="shared" si="10"/>
        <v>-39103</v>
      </c>
      <c r="M136" s="2"/>
      <c r="N136" s="22">
        <f t="shared" si="11"/>
        <v>-6.9504952958888574E-2</v>
      </c>
      <c r="O136" s="11"/>
      <c r="P136" s="2">
        <v>523490</v>
      </c>
      <c r="Q136" s="2"/>
      <c r="R136" s="22">
        <f t="shared" si="12"/>
        <v>0.7247785904483155</v>
      </c>
      <c r="S136" s="2"/>
      <c r="T136" s="2">
        <v>562593</v>
      </c>
      <c r="U136" s="2"/>
      <c r="V136" s="22">
        <f t="shared" si="13"/>
        <v>0.69631170388913233</v>
      </c>
      <c r="W136" s="2"/>
      <c r="X136" s="2">
        <f t="shared" si="14"/>
        <v>-39103</v>
      </c>
      <c r="Y136" s="2"/>
      <c r="Z136" s="22">
        <f t="shared" si="15"/>
        <v>-6.9504952958888574E-2</v>
      </c>
    </row>
    <row r="137" spans="1:26" s="24" customFormat="1" hidden="1" outlineLevel="1" x14ac:dyDescent="0.25">
      <c r="A137" s="50"/>
      <c r="B137" s="11" t="str">
        <f>CONCATENATE("          ", "5500", " - ", "FREIGHT-IN")</f>
        <v xml:space="preserve">          5500 - FREIGHT-IN</v>
      </c>
      <c r="C137" s="11"/>
      <c r="D137" s="2">
        <v>49</v>
      </c>
      <c r="E137" s="2"/>
      <c r="F137" s="22">
        <f t="shared" si="8"/>
        <v>6.7841125775024283E-5</v>
      </c>
      <c r="G137" s="2"/>
      <c r="H137" s="2"/>
      <c r="I137" s="2"/>
      <c r="J137" s="22">
        <f t="shared" si="9"/>
        <v>0</v>
      </c>
      <c r="K137" s="2"/>
      <c r="L137" s="2">
        <f t="shared" si="10"/>
        <v>49</v>
      </c>
      <c r="M137" s="2"/>
      <c r="N137" s="22">
        <f t="shared" si="11"/>
        <v>0</v>
      </c>
      <c r="O137" s="11"/>
      <c r="P137" s="2">
        <v>49</v>
      </c>
      <c r="Q137" s="2"/>
      <c r="R137" s="22">
        <f t="shared" si="12"/>
        <v>6.7841125775024283E-5</v>
      </c>
      <c r="S137" s="2"/>
      <c r="T137" s="2"/>
      <c r="U137" s="2"/>
      <c r="V137" s="22">
        <f t="shared" si="13"/>
        <v>0</v>
      </c>
      <c r="W137" s="2"/>
      <c r="X137" s="2">
        <f t="shared" si="14"/>
        <v>49</v>
      </c>
      <c r="Y137" s="2"/>
      <c r="Z137" s="22">
        <f t="shared" si="15"/>
        <v>0</v>
      </c>
    </row>
    <row r="138" spans="1:26" s="24" customFormat="1" hidden="1" outlineLevel="1" x14ac:dyDescent="0.25">
      <c r="A138" s="50"/>
      <c r="B138" s="11" t="str">
        <f>CONCATENATE("          ", "5501", " - ", "FREIGHT-IN-NEW TEXT")</f>
        <v xml:space="preserve">          5501 - FREIGHT-IN-NEW TEXT</v>
      </c>
      <c r="C138" s="11"/>
      <c r="D138" s="2">
        <v>1716.08</v>
      </c>
      <c r="E138" s="2"/>
      <c r="F138" s="22">
        <f t="shared" si="8"/>
        <v>2.375934675918442E-3</v>
      </c>
      <c r="G138" s="2"/>
      <c r="H138" s="2">
        <v>2158.9299999999998</v>
      </c>
      <c r="I138" s="2"/>
      <c r="J138" s="22">
        <f t="shared" si="9"/>
        <v>2.6720706209948653E-3</v>
      </c>
      <c r="K138" s="2"/>
      <c r="L138" s="2">
        <f t="shared" si="10"/>
        <v>-442.84999999999991</v>
      </c>
      <c r="M138" s="2"/>
      <c r="N138" s="22">
        <f t="shared" si="11"/>
        <v>-0.20512476087691586</v>
      </c>
      <c r="O138" s="11"/>
      <c r="P138" s="2">
        <v>1716.08</v>
      </c>
      <c r="Q138" s="2"/>
      <c r="R138" s="22">
        <f t="shared" si="12"/>
        <v>2.375934675918442E-3</v>
      </c>
      <c r="S138" s="2"/>
      <c r="T138" s="2">
        <v>2158.9299999999998</v>
      </c>
      <c r="U138" s="2"/>
      <c r="V138" s="22">
        <f t="shared" si="13"/>
        <v>2.6720706209948653E-3</v>
      </c>
      <c r="W138" s="2"/>
      <c r="X138" s="2">
        <f t="shared" si="14"/>
        <v>-442.84999999999991</v>
      </c>
      <c r="Y138" s="2"/>
      <c r="Z138" s="22">
        <f t="shared" si="15"/>
        <v>-0.20512476087691586</v>
      </c>
    </row>
    <row r="139" spans="1:26" s="24" customFormat="1" hidden="1" outlineLevel="1" x14ac:dyDescent="0.25">
      <c r="A139" s="50"/>
      <c r="B139" s="11" t="str">
        <f>CONCATENATE("          ", "5502", " - ", "FREIGHT-IN-USED TEXT")</f>
        <v xml:space="preserve">          5502 - FREIGHT-IN-USED TEXT</v>
      </c>
      <c r="C139" s="11"/>
      <c r="D139" s="2">
        <v>277.49</v>
      </c>
      <c r="E139" s="2"/>
      <c r="F139" s="22">
        <f t="shared" si="8"/>
        <v>3.8418844880227528E-4</v>
      </c>
      <c r="G139" s="2"/>
      <c r="H139" s="2">
        <v>286.61</v>
      </c>
      <c r="I139" s="2"/>
      <c r="J139" s="22">
        <f t="shared" si="9"/>
        <v>3.5473227973270945E-4</v>
      </c>
      <c r="K139" s="2"/>
      <c r="L139" s="2">
        <f t="shared" si="10"/>
        <v>-9.1200000000000045</v>
      </c>
      <c r="M139" s="2"/>
      <c r="N139" s="22">
        <f t="shared" si="11"/>
        <v>-3.1820243536513047E-2</v>
      </c>
      <c r="O139" s="11"/>
      <c r="P139" s="2">
        <v>277.49</v>
      </c>
      <c r="Q139" s="2"/>
      <c r="R139" s="22">
        <f t="shared" si="12"/>
        <v>3.8418844880227528E-4</v>
      </c>
      <c r="S139" s="2"/>
      <c r="T139" s="2">
        <v>286.61</v>
      </c>
      <c r="U139" s="2"/>
      <c r="V139" s="22">
        <f t="shared" si="13"/>
        <v>3.5473227973270945E-4</v>
      </c>
      <c r="W139" s="2"/>
      <c r="X139" s="2">
        <f t="shared" si="14"/>
        <v>-9.1200000000000045</v>
      </c>
      <c r="Y139" s="2"/>
      <c r="Z139" s="22">
        <f t="shared" si="15"/>
        <v>-3.1820243536513047E-2</v>
      </c>
    </row>
    <row r="140" spans="1:26" s="24" customFormat="1" hidden="1" outlineLevel="1" x14ac:dyDescent="0.25">
      <c r="A140" s="50"/>
      <c r="B140" s="11" t="str">
        <f>CONCATENATE("          ", "5513", " - ", "FREIGHT-IN-TRADE BOOKS")</f>
        <v xml:space="preserve">          5513 - FREIGHT-IN-TRADE BOOKS</v>
      </c>
      <c r="C140" s="11"/>
      <c r="D140" s="2"/>
      <c r="E140" s="2"/>
      <c r="F140" s="22">
        <f t="shared" si="8"/>
        <v>0</v>
      </c>
      <c r="G140" s="2"/>
      <c r="H140" s="2">
        <v>7.27</v>
      </c>
      <c r="I140" s="2"/>
      <c r="J140" s="22">
        <f t="shared" si="9"/>
        <v>8.9979542711587093E-6</v>
      </c>
      <c r="K140" s="2"/>
      <c r="L140" s="2">
        <f t="shared" si="10"/>
        <v>-7.27</v>
      </c>
      <c r="M140" s="2"/>
      <c r="N140" s="22">
        <f t="shared" si="11"/>
        <v>-1</v>
      </c>
      <c r="O140" s="11"/>
      <c r="P140" s="2"/>
      <c r="Q140" s="2"/>
      <c r="R140" s="22">
        <f t="shared" si="12"/>
        <v>0</v>
      </c>
      <c r="S140" s="2"/>
      <c r="T140" s="2">
        <v>7.27</v>
      </c>
      <c r="U140" s="2"/>
      <c r="V140" s="22">
        <f t="shared" si="13"/>
        <v>8.9979542711587093E-6</v>
      </c>
      <c r="W140" s="2"/>
      <c r="X140" s="2">
        <f t="shared" si="14"/>
        <v>-7.27</v>
      </c>
      <c r="Y140" s="2"/>
      <c r="Z140" s="22">
        <f t="shared" si="15"/>
        <v>-1</v>
      </c>
    </row>
    <row r="141" spans="1:26" s="24" customFormat="1" hidden="1" outlineLevel="1" x14ac:dyDescent="0.25">
      <c r="A141" s="50"/>
      <c r="B141" s="11" t="str">
        <f>CONCATENATE("          ", "5526", " - ", "FREIGHT-IN-WRITING INSTRUMENTS")</f>
        <v xml:space="preserve">          5526 - FREIGHT-IN-WRITING INSTRUMENTS</v>
      </c>
      <c r="C141" s="11"/>
      <c r="D141" s="2">
        <v>39.11</v>
      </c>
      <c r="E141" s="2"/>
      <c r="F141" s="22">
        <f t="shared" si="8"/>
        <v>5.4148294470636722E-5</v>
      </c>
      <c r="G141" s="2"/>
      <c r="H141" s="2">
        <v>34.159999999999997</v>
      </c>
      <c r="I141" s="2"/>
      <c r="J141" s="22">
        <f t="shared" si="9"/>
        <v>4.2279245928855777E-5</v>
      </c>
      <c r="K141" s="2"/>
      <c r="L141" s="2">
        <f t="shared" si="10"/>
        <v>4.9500000000000028</v>
      </c>
      <c r="M141" s="2"/>
      <c r="N141" s="22">
        <f t="shared" si="11"/>
        <v>0.14490632318501181</v>
      </c>
      <c r="O141" s="11"/>
      <c r="P141" s="2">
        <v>39.11</v>
      </c>
      <c r="Q141" s="2"/>
      <c r="R141" s="22">
        <f t="shared" si="12"/>
        <v>5.4148294470636722E-5</v>
      </c>
      <c r="S141" s="2"/>
      <c r="T141" s="2">
        <v>34.159999999999997</v>
      </c>
      <c r="U141" s="2"/>
      <c r="V141" s="22">
        <f t="shared" si="13"/>
        <v>4.2279245928855777E-5</v>
      </c>
      <c r="W141" s="2"/>
      <c r="X141" s="2">
        <f t="shared" si="14"/>
        <v>4.9500000000000028</v>
      </c>
      <c r="Y141" s="2"/>
      <c r="Z141" s="22">
        <f t="shared" si="15"/>
        <v>0.14490632318501181</v>
      </c>
    </row>
    <row r="142" spans="1:26" s="24" customFormat="1" hidden="1" outlineLevel="1" x14ac:dyDescent="0.25">
      <c r="A142" s="50"/>
      <c r="B142" s="11" t="str">
        <f>CONCATENATE("          ", "5527", " - ", "FREIGHT-IN-SCHOOL SUPPLIES")</f>
        <v xml:space="preserve">          5527 - FREIGHT-IN-SCHOOL SUPPLIES</v>
      </c>
      <c r="C142" s="11"/>
      <c r="D142" s="2">
        <v>250.02</v>
      </c>
      <c r="E142" s="2"/>
      <c r="F142" s="22">
        <f t="shared" si="8"/>
        <v>3.4615588298513407E-4</v>
      </c>
      <c r="G142" s="2"/>
      <c r="H142" s="2">
        <v>280.67</v>
      </c>
      <c r="I142" s="2"/>
      <c r="J142" s="22">
        <f t="shared" si="9"/>
        <v>3.4738044364320702E-4</v>
      </c>
      <c r="K142" s="2"/>
      <c r="L142" s="2">
        <f t="shared" si="10"/>
        <v>-30.650000000000006</v>
      </c>
      <c r="M142" s="2"/>
      <c r="N142" s="22">
        <f t="shared" si="11"/>
        <v>-0.10920297858695266</v>
      </c>
      <c r="O142" s="11"/>
      <c r="P142" s="2">
        <v>250.02</v>
      </c>
      <c r="Q142" s="2"/>
      <c r="R142" s="22">
        <f t="shared" si="12"/>
        <v>3.4615588298513407E-4</v>
      </c>
      <c r="S142" s="2"/>
      <c r="T142" s="2">
        <v>280.67</v>
      </c>
      <c r="U142" s="2"/>
      <c r="V142" s="22">
        <f t="shared" si="13"/>
        <v>3.4738044364320702E-4</v>
      </c>
      <c r="W142" s="2"/>
      <c r="X142" s="2">
        <f t="shared" si="14"/>
        <v>-30.650000000000006</v>
      </c>
      <c r="Y142" s="2"/>
      <c r="Z142" s="22">
        <f t="shared" si="15"/>
        <v>-0.10920297858695266</v>
      </c>
    </row>
    <row r="143" spans="1:26" s="24" customFormat="1" hidden="1" outlineLevel="1" x14ac:dyDescent="0.25">
      <c r="A143" s="50"/>
      <c r="B143" s="11" t="str">
        <f>CONCATENATE("          ", "5528", " - ", "FREIGHT-IN-ART/TECH")</f>
        <v xml:space="preserve">          5528 - FREIGHT-IN-ART/TECH</v>
      </c>
      <c r="C143" s="11"/>
      <c r="D143" s="2">
        <v>44.35</v>
      </c>
      <c r="E143" s="2"/>
      <c r="F143" s="22">
        <f t="shared" si="8"/>
        <v>6.1403141390251566E-5</v>
      </c>
      <c r="G143" s="2"/>
      <c r="H143" s="2">
        <v>145.88999999999999</v>
      </c>
      <c r="I143" s="2"/>
      <c r="J143" s="22">
        <f t="shared" si="9"/>
        <v>1.8056555001641595E-4</v>
      </c>
      <c r="K143" s="2"/>
      <c r="L143" s="2">
        <f t="shared" si="10"/>
        <v>-101.53999999999999</v>
      </c>
      <c r="M143" s="2"/>
      <c r="N143" s="22">
        <f t="shared" si="11"/>
        <v>-0.69600383850846526</v>
      </c>
      <c r="O143" s="11"/>
      <c r="P143" s="2">
        <v>44.35</v>
      </c>
      <c r="Q143" s="2"/>
      <c r="R143" s="22">
        <f t="shared" si="12"/>
        <v>6.1403141390251566E-5</v>
      </c>
      <c r="S143" s="2"/>
      <c r="T143" s="2">
        <v>145.88999999999999</v>
      </c>
      <c r="U143" s="2"/>
      <c r="V143" s="22">
        <f t="shared" si="13"/>
        <v>1.8056555001641595E-4</v>
      </c>
      <c r="W143" s="2"/>
      <c r="X143" s="2">
        <f t="shared" si="14"/>
        <v>-101.53999999999999</v>
      </c>
      <c r="Y143" s="2"/>
      <c r="Z143" s="22">
        <f t="shared" si="15"/>
        <v>-0.69600383850846526</v>
      </c>
    </row>
    <row r="144" spans="1:26" s="24" customFormat="1" hidden="1" outlineLevel="1" x14ac:dyDescent="0.25">
      <c r="A144" s="50"/>
      <c r="B144" s="11" t="str">
        <f>CONCATENATE("          ", "5540", " - ", "FREIGHT-IN-LOGO CLOTHING")</f>
        <v xml:space="preserve">          5540 - FREIGHT-IN-LOGO CLOTHING</v>
      </c>
      <c r="C144" s="11"/>
      <c r="D144" s="2">
        <v>395.22</v>
      </c>
      <c r="E144" s="2"/>
      <c r="F144" s="22">
        <f t="shared" si="8"/>
        <v>5.4718713732255305E-4</v>
      </c>
      <c r="G144" s="2"/>
      <c r="H144" s="2">
        <v>1089.53</v>
      </c>
      <c r="I144" s="2"/>
      <c r="J144" s="22">
        <f t="shared" si="9"/>
        <v>1.3484925883157563E-3</v>
      </c>
      <c r="K144" s="2"/>
      <c r="L144" s="2">
        <f t="shared" si="10"/>
        <v>-694.31</v>
      </c>
      <c r="M144" s="2"/>
      <c r="N144" s="22">
        <f t="shared" si="11"/>
        <v>-0.63725643167237245</v>
      </c>
      <c r="O144" s="11"/>
      <c r="P144" s="2">
        <v>395.22</v>
      </c>
      <c r="Q144" s="2"/>
      <c r="R144" s="22">
        <f t="shared" si="12"/>
        <v>5.4718713732255305E-4</v>
      </c>
      <c r="S144" s="2"/>
      <c r="T144" s="2">
        <v>1089.53</v>
      </c>
      <c r="U144" s="2"/>
      <c r="V144" s="22">
        <f t="shared" si="13"/>
        <v>1.3484925883157563E-3</v>
      </c>
      <c r="W144" s="2"/>
      <c r="X144" s="2">
        <f t="shared" si="14"/>
        <v>-694.31</v>
      </c>
      <c r="Y144" s="2"/>
      <c r="Z144" s="22">
        <f t="shared" si="15"/>
        <v>-0.63725643167237245</v>
      </c>
    </row>
    <row r="145" spans="1:26" s="24" customFormat="1" hidden="1" outlineLevel="1" x14ac:dyDescent="0.25">
      <c r="A145" s="50"/>
      <c r="B145" s="11" t="str">
        <f>CONCATENATE("          ", "5541", " - ", "FREIGHT-IN-LOGO GIFTS")</f>
        <v xml:space="preserve">          5541 - FREIGHT-IN-LOGO GIFTS</v>
      </c>
      <c r="C145" s="11"/>
      <c r="D145" s="2">
        <v>314.49</v>
      </c>
      <c r="E145" s="2"/>
      <c r="F145" s="22">
        <f t="shared" si="8"/>
        <v>4.3541542132627316E-4</v>
      </c>
      <c r="G145" s="2"/>
      <c r="H145" s="2">
        <v>785.4</v>
      </c>
      <c r="I145" s="2"/>
      <c r="J145" s="22">
        <f t="shared" si="9"/>
        <v>9.720761051675447E-4</v>
      </c>
      <c r="K145" s="2"/>
      <c r="L145" s="2">
        <f t="shared" si="10"/>
        <v>-470.90999999999997</v>
      </c>
      <c r="M145" s="2"/>
      <c r="N145" s="22">
        <f t="shared" si="11"/>
        <v>-0.59957983193277309</v>
      </c>
      <c r="O145" s="11"/>
      <c r="P145" s="2">
        <v>314.49</v>
      </c>
      <c r="Q145" s="2"/>
      <c r="R145" s="22">
        <f t="shared" si="12"/>
        <v>4.3541542132627316E-4</v>
      </c>
      <c r="S145" s="2"/>
      <c r="T145" s="2">
        <v>785.4</v>
      </c>
      <c r="U145" s="2"/>
      <c r="V145" s="22">
        <f t="shared" si="13"/>
        <v>9.720761051675447E-4</v>
      </c>
      <c r="W145" s="2"/>
      <c r="X145" s="2">
        <f t="shared" si="14"/>
        <v>-470.90999999999997</v>
      </c>
      <c r="Y145" s="2"/>
      <c r="Z145" s="22">
        <f t="shared" si="15"/>
        <v>-0.59957983193277309</v>
      </c>
    </row>
    <row r="146" spans="1:26" s="24" customFormat="1" hidden="1" outlineLevel="1" x14ac:dyDescent="0.25">
      <c r="A146" s="50"/>
      <c r="B146" s="11" t="str">
        <f>CONCATENATE("          ", "5542", " - ", "FREIGHT-IN-EVERYDAY GIFTS")</f>
        <v xml:space="preserve">          5542 - FREIGHT-IN-EVERYDAY GIFTS</v>
      </c>
      <c r="C146" s="11"/>
      <c r="D146" s="2">
        <v>29.72</v>
      </c>
      <c r="E146" s="2"/>
      <c r="F146" s="22">
        <f t="shared" si="8"/>
        <v>4.1147719551708599E-5</v>
      </c>
      <c r="G146" s="2"/>
      <c r="H146" s="2"/>
      <c r="I146" s="2"/>
      <c r="J146" s="22">
        <f t="shared" si="9"/>
        <v>0</v>
      </c>
      <c r="K146" s="2"/>
      <c r="L146" s="2">
        <f t="shared" si="10"/>
        <v>29.72</v>
      </c>
      <c r="M146" s="2"/>
      <c r="N146" s="22">
        <f t="shared" si="11"/>
        <v>0</v>
      </c>
      <c r="O146" s="11"/>
      <c r="P146" s="2">
        <v>29.72</v>
      </c>
      <c r="Q146" s="2"/>
      <c r="R146" s="22">
        <f t="shared" si="12"/>
        <v>4.1147719551708599E-5</v>
      </c>
      <c r="S146" s="2"/>
      <c r="T146" s="2"/>
      <c r="U146" s="2"/>
      <c r="V146" s="22">
        <f t="shared" si="13"/>
        <v>0</v>
      </c>
      <c r="W146" s="2"/>
      <c r="X146" s="2">
        <f t="shared" si="14"/>
        <v>29.72</v>
      </c>
      <c r="Y146" s="2"/>
      <c r="Z146" s="22">
        <f t="shared" si="15"/>
        <v>0</v>
      </c>
    </row>
    <row r="147" spans="1:26" s="24" customFormat="1" hidden="1" outlineLevel="1" x14ac:dyDescent="0.25">
      <c r="A147" s="50"/>
      <c r="B147" s="11" t="str">
        <f>CONCATENATE("          ", "5544", " - ", "FREIGHT-IN-ACCESSORIES")</f>
        <v xml:space="preserve">          5544 - FREIGHT-IN-ACCESSORIES</v>
      </c>
      <c r="C147" s="11"/>
      <c r="D147" s="2">
        <v>16.73</v>
      </c>
      <c r="E147" s="2"/>
      <c r="F147" s="22">
        <f t="shared" si="8"/>
        <v>2.3162898657472577E-5</v>
      </c>
      <c r="G147" s="2"/>
      <c r="H147" s="2">
        <v>29.26</v>
      </c>
      <c r="I147" s="2"/>
      <c r="J147" s="22">
        <f t="shared" si="9"/>
        <v>3.6214599996437946E-5</v>
      </c>
      <c r="K147" s="2"/>
      <c r="L147" s="2">
        <f t="shared" si="10"/>
        <v>-12.530000000000001</v>
      </c>
      <c r="M147" s="2"/>
      <c r="N147" s="22">
        <f t="shared" si="11"/>
        <v>-0.42822966507177035</v>
      </c>
      <c r="O147" s="11"/>
      <c r="P147" s="2">
        <v>16.73</v>
      </c>
      <c r="Q147" s="2"/>
      <c r="R147" s="22">
        <f t="shared" si="12"/>
        <v>2.3162898657472577E-5</v>
      </c>
      <c r="S147" s="2"/>
      <c r="T147" s="2">
        <v>29.26</v>
      </c>
      <c r="U147" s="2"/>
      <c r="V147" s="22">
        <f t="shared" si="13"/>
        <v>3.6214599996437946E-5</v>
      </c>
      <c r="W147" s="2"/>
      <c r="X147" s="2">
        <f t="shared" si="14"/>
        <v>-12.530000000000001</v>
      </c>
      <c r="Y147" s="2"/>
      <c r="Z147" s="22">
        <f t="shared" si="15"/>
        <v>-0.42822966507177035</v>
      </c>
    </row>
    <row r="148" spans="1:26" s="24" customFormat="1" hidden="1" outlineLevel="1" x14ac:dyDescent="0.25">
      <c r="A148" s="50"/>
      <c r="B148" s="11" t="str">
        <f>CONCATENATE("          ", "5545", " - ", "FREIGHT-IN-SPECIAL ORDERS")</f>
        <v xml:space="preserve">          5545 - FREIGHT-IN-SPECIAL ORDERS</v>
      </c>
      <c r="C148" s="11"/>
      <c r="D148" s="2">
        <v>227.08</v>
      </c>
      <c r="E148" s="2"/>
      <c r="F148" s="22">
        <f t="shared" si="8"/>
        <v>3.1439516002025538E-4</v>
      </c>
      <c r="G148" s="2"/>
      <c r="H148" s="2">
        <v>305.11</v>
      </c>
      <c r="I148" s="2"/>
      <c r="J148" s="22">
        <f t="shared" si="9"/>
        <v>3.7762941233469518E-4</v>
      </c>
      <c r="K148" s="2"/>
      <c r="L148" s="2">
        <f t="shared" si="10"/>
        <v>-78.03</v>
      </c>
      <c r="M148" s="2"/>
      <c r="N148" s="22">
        <f t="shared" si="11"/>
        <v>-0.25574383009406443</v>
      </c>
      <c r="O148" s="11"/>
      <c r="P148" s="2">
        <v>227.08</v>
      </c>
      <c r="Q148" s="2"/>
      <c r="R148" s="22">
        <f t="shared" si="12"/>
        <v>3.1439516002025538E-4</v>
      </c>
      <c r="S148" s="2"/>
      <c r="T148" s="2">
        <v>305.11</v>
      </c>
      <c r="U148" s="2"/>
      <c r="V148" s="22">
        <f t="shared" si="13"/>
        <v>3.7762941233469518E-4</v>
      </c>
      <c r="W148" s="2"/>
      <c r="X148" s="2">
        <f t="shared" si="14"/>
        <v>-78.03</v>
      </c>
      <c r="Y148" s="2"/>
      <c r="Z148" s="22">
        <f t="shared" si="15"/>
        <v>-0.25574383009406443</v>
      </c>
    </row>
    <row r="149" spans="1:26" s="24" customFormat="1" hidden="1" outlineLevel="1" x14ac:dyDescent="0.25">
      <c r="A149" s="50"/>
      <c r="B149" s="11" t="str">
        <f>CONCATENATE("          ", "5583", " - ", "FREIGHT-IN-COMPUTER EQUIPMENT")</f>
        <v xml:space="preserve">          5583 - FREIGHT-IN-COMPUTER EQUIPMENT</v>
      </c>
      <c r="C149" s="11"/>
      <c r="D149" s="2">
        <v>6.99</v>
      </c>
      <c r="E149" s="2"/>
      <c r="F149" s="22">
        <f t="shared" si="8"/>
        <v>9.6777442687228517E-6</v>
      </c>
      <c r="G149" s="2"/>
      <c r="H149" s="2"/>
      <c r="I149" s="2"/>
      <c r="J149" s="22">
        <f t="shared" si="9"/>
        <v>0</v>
      </c>
      <c r="K149" s="2"/>
      <c r="L149" s="2">
        <f t="shared" si="10"/>
        <v>6.99</v>
      </c>
      <c r="M149" s="2"/>
      <c r="N149" s="22">
        <f t="shared" si="11"/>
        <v>0</v>
      </c>
      <c r="O149" s="11"/>
      <c r="P149" s="2">
        <v>6.99</v>
      </c>
      <c r="Q149" s="2"/>
      <c r="R149" s="22">
        <f t="shared" si="12"/>
        <v>9.6777442687228517E-6</v>
      </c>
      <c r="S149" s="2"/>
      <c r="T149" s="2"/>
      <c r="U149" s="2"/>
      <c r="V149" s="22">
        <f t="shared" si="13"/>
        <v>0</v>
      </c>
      <c r="W149" s="2"/>
      <c r="X149" s="2">
        <f t="shared" si="14"/>
        <v>6.99</v>
      </c>
      <c r="Y149" s="2"/>
      <c r="Z149" s="22">
        <f t="shared" si="15"/>
        <v>0</v>
      </c>
    </row>
    <row r="150" spans="1:26" s="24" customFormat="1" hidden="1" outlineLevel="1" x14ac:dyDescent="0.25">
      <c r="A150" s="50"/>
      <c r="B150" s="11" t="str">
        <f>CONCATENATE("          ", "5586", " - ", "FREIGHT-IN-COMPUTER SUPPLIES")</f>
        <v xml:space="preserve">          5586 - FREIGHT-IN-COMPUTER SUPPLIES</v>
      </c>
      <c r="C150" s="11"/>
      <c r="D150" s="2">
        <v>29.67</v>
      </c>
      <c r="E150" s="2"/>
      <c r="F150" s="22">
        <f t="shared" si="8"/>
        <v>4.1078493913162663E-5</v>
      </c>
      <c r="G150" s="2"/>
      <c r="H150" s="2">
        <v>20.71</v>
      </c>
      <c r="I150" s="2"/>
      <c r="J150" s="22">
        <f t="shared" si="9"/>
        <v>2.563241168579049E-5</v>
      </c>
      <c r="K150" s="2"/>
      <c r="L150" s="2">
        <f t="shared" si="10"/>
        <v>8.9600000000000009</v>
      </c>
      <c r="M150" s="2"/>
      <c r="N150" s="22">
        <f t="shared" si="11"/>
        <v>0.43264123611781752</v>
      </c>
      <c r="O150" s="11"/>
      <c r="P150" s="2">
        <v>29.67</v>
      </c>
      <c r="Q150" s="2"/>
      <c r="R150" s="22">
        <f t="shared" si="12"/>
        <v>4.1078493913162663E-5</v>
      </c>
      <c r="S150" s="2"/>
      <c r="T150" s="2">
        <v>20.71</v>
      </c>
      <c r="U150" s="2"/>
      <c r="V150" s="22">
        <f t="shared" si="13"/>
        <v>2.563241168579049E-5</v>
      </c>
      <c r="W150" s="2"/>
      <c r="X150" s="2">
        <f t="shared" si="14"/>
        <v>8.9600000000000009</v>
      </c>
      <c r="Y150" s="2"/>
      <c r="Z150" s="22">
        <f t="shared" si="15"/>
        <v>0.43264123611781752</v>
      </c>
    </row>
    <row r="151" spans="1:26" s="24" customFormat="1" hidden="1" outlineLevel="1" x14ac:dyDescent="0.25">
      <c r="A151" s="50"/>
      <c r="B151" s="11" t="str">
        <f>CONCATENATE("          ", "5592", " - ", "FREIGHT-IN-GRAD MERCH")</f>
        <v xml:space="preserve">          5592 - FREIGHT-IN-GRAD MERCH</v>
      </c>
      <c r="C151" s="11"/>
      <c r="D151" s="2"/>
      <c r="E151" s="2"/>
      <c r="F151" s="22">
        <f t="shared" si="8"/>
        <v>0</v>
      </c>
      <c r="G151" s="2"/>
      <c r="H151" s="2">
        <v>108.69</v>
      </c>
      <c r="I151" s="2"/>
      <c r="J151" s="22">
        <f t="shared" si="9"/>
        <v>1.3452374824377442E-4</v>
      </c>
      <c r="K151" s="2"/>
      <c r="L151" s="2">
        <f t="shared" si="10"/>
        <v>-108.69</v>
      </c>
      <c r="M151" s="2"/>
      <c r="N151" s="22">
        <f t="shared" si="11"/>
        <v>-1</v>
      </c>
      <c r="O151" s="11"/>
      <c r="P151" s="2"/>
      <c r="Q151" s="2"/>
      <c r="R151" s="22">
        <f t="shared" si="12"/>
        <v>0</v>
      </c>
      <c r="S151" s="2"/>
      <c r="T151" s="2">
        <v>108.69</v>
      </c>
      <c r="U151" s="2"/>
      <c r="V151" s="22">
        <f t="shared" si="13"/>
        <v>1.3452374824377442E-4</v>
      </c>
      <c r="W151" s="2"/>
      <c r="X151" s="2">
        <f t="shared" si="14"/>
        <v>-108.69</v>
      </c>
      <c r="Y151" s="2"/>
      <c r="Z151" s="22">
        <f t="shared" si="15"/>
        <v>-1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10"/>
      <c r="B153" s="25" t="s">
        <v>6</v>
      </c>
      <c r="C153" s="25"/>
      <c r="D153" s="21">
        <f>D12-D104</f>
        <v>186033.13000000035</v>
      </c>
      <c r="E153" s="13"/>
      <c r="F153" s="20">
        <f>IF(D$12=0,0,D153/D$12)</f>
        <v>0.25756524429900951</v>
      </c>
      <c r="G153" s="13"/>
      <c r="H153" s="21">
        <f>H12-H104</f>
        <v>225438.23999999987</v>
      </c>
      <c r="I153" s="13"/>
      <c r="J153" s="20">
        <f>IF(H$12=0,0,H153/H$12)</f>
        <v>0.27902104188315008</v>
      </c>
      <c r="K153" s="16"/>
      <c r="L153" s="21">
        <f>+D153-H153</f>
        <v>-39405.10999999952</v>
      </c>
      <c r="M153" s="16"/>
      <c r="N153" s="20">
        <f>IF(H153=0,0,L153/H153)</f>
        <v>-0.17479337134640308</v>
      </c>
      <c r="O153" s="26"/>
      <c r="P153" s="21">
        <f>P12-P104</f>
        <v>186033.13000000035</v>
      </c>
      <c r="Q153" s="13"/>
      <c r="R153" s="20">
        <f>IF(P$12=0,0,P153/P$12)</f>
        <v>0.25756524429900951</v>
      </c>
      <c r="S153" s="13"/>
      <c r="T153" s="21">
        <f>T12-T104</f>
        <v>225438.23999999987</v>
      </c>
      <c r="U153" s="13"/>
      <c r="V153" s="20">
        <f>IF(T$12=0,0,T153/T$12)</f>
        <v>0.27902104188315008</v>
      </c>
      <c r="W153" s="16"/>
      <c r="X153" s="21">
        <f>+P153-T153</f>
        <v>-39405.10999999952</v>
      </c>
      <c r="Y153" s="16"/>
      <c r="Z153" s="20">
        <f>IF(T153=0,0,X153/T153)</f>
        <v>-0.17479337134640308</v>
      </c>
    </row>
    <row r="154" spans="1:26" x14ac:dyDescent="0.25">
      <c r="A154" s="9"/>
      <c r="B154" s="10"/>
      <c r="C154" s="9"/>
      <c r="D154" s="1"/>
      <c r="E154" s="1"/>
      <c r="F154" s="5"/>
      <c r="G154" s="1"/>
      <c r="H154" s="1"/>
      <c r="I154" s="1"/>
      <c r="J154" s="5"/>
      <c r="K154" s="1"/>
      <c r="L154" s="1"/>
      <c r="M154" s="1"/>
      <c r="N154" s="5"/>
      <c r="O154" s="37"/>
      <c r="P154" s="1"/>
      <c r="Q154" s="1"/>
      <c r="R154" s="5"/>
      <c r="S154" s="1"/>
      <c r="T154" s="1"/>
      <c r="U154" s="1"/>
      <c r="V154" s="5"/>
      <c r="W154" s="1"/>
      <c r="X154" s="1"/>
      <c r="Y154" s="1"/>
      <c r="Z154" s="5"/>
    </row>
    <row r="155" spans="1:26" s="23" customFormat="1" x14ac:dyDescent="0.25">
      <c r="A155" s="10"/>
      <c r="B155" s="26" t="s">
        <v>9</v>
      </c>
      <c r="C155" s="10"/>
      <c r="D155" s="19">
        <f>SUM(OSRRefD22x_0)</f>
        <v>380794.21999999991</v>
      </c>
      <c r="E155" s="19"/>
      <c r="F155" s="35">
        <f t="shared" ref="F155:F165" si="16">IF(D$12=0,0,D155/D$12)</f>
        <v>0.52721446068208688</v>
      </c>
      <c r="G155" s="19"/>
      <c r="H155" s="19">
        <f>SUM(OSRRefH22x_0)</f>
        <v>438948.70000000013</v>
      </c>
      <c r="I155" s="19"/>
      <c r="J155" s="35">
        <f t="shared" ref="J155:J165" si="17">IF(H$12=0,0,H155/H$12)</f>
        <v>0.54327927510104046</v>
      </c>
      <c r="K155" s="4"/>
      <c r="L155" s="19">
        <f t="shared" ref="L155:L165" si="18">+D155-H155</f>
        <v>-58154.480000000214</v>
      </c>
      <c r="M155" s="4"/>
      <c r="N155" s="35">
        <f t="shared" ref="N155:N165" si="19">IF(H155=0,0,L155/H155)</f>
        <v>-0.13248582351422888</v>
      </c>
      <c r="O155" s="10"/>
      <c r="P155" s="19">
        <f>SUM(OSRRefP22x_0)</f>
        <v>380794.21999999991</v>
      </c>
      <c r="Q155" s="19"/>
      <c r="R155" s="35">
        <f t="shared" ref="R155:R165" si="20">IF(P$12=0,0,P155/P$12)</f>
        <v>0.52721446068208688</v>
      </c>
      <c r="S155" s="19"/>
      <c r="T155" s="19">
        <f>SUM(OSRRefT22x_0)</f>
        <v>438948.70000000013</v>
      </c>
      <c r="U155" s="19"/>
      <c r="V155" s="35">
        <f t="shared" ref="V155:V165" si="21">IF(T$12=0,0,T155/T$12)</f>
        <v>0.54327927510104046</v>
      </c>
      <c r="W155" s="4"/>
      <c r="X155" s="19">
        <f t="shared" ref="X155:X165" si="22">+P155-T155</f>
        <v>-58154.480000000214</v>
      </c>
      <c r="Y155" s="4"/>
      <c r="Z155" s="35">
        <f t="shared" ref="Z155:Z165" si="23">IF(T155=0,0,X155/T155)</f>
        <v>-0.13248582351422888</v>
      </c>
    </row>
    <row r="156" spans="1:26" s="28" customFormat="1" outlineLevel="1" collapsed="1" x14ac:dyDescent="0.25">
      <c r="A156" s="27"/>
      <c r="B156" s="14" t="str">
        <f>CONCATENATE("     ","*Benefits                                         ")</f>
        <v xml:space="preserve">     *Benefits                                         </v>
      </c>
      <c r="C156" s="14"/>
      <c r="D156" s="1">
        <f>SUM(OSRRefD22_0x_0)</f>
        <v>57870.109999999993</v>
      </c>
      <c r="E156" s="1"/>
      <c r="F156" s="5">
        <f t="shared" si="16"/>
        <v>8.0121906349479383E-2</v>
      </c>
      <c r="G156" s="1"/>
      <c r="H156" s="1">
        <f>SUM(OSRRefH22_0x_0)</f>
        <v>51909.119999999995</v>
      </c>
      <c r="I156" s="1"/>
      <c r="J156" s="5">
        <f t="shared" si="17"/>
        <v>6.4247027237426396E-2</v>
      </c>
      <c r="K156" s="1"/>
      <c r="L156" s="1">
        <f t="shared" si="18"/>
        <v>5960.989999999998</v>
      </c>
      <c r="M156" s="1"/>
      <c r="N156" s="5">
        <f t="shared" si="19"/>
        <v>0.11483511953198201</v>
      </c>
      <c r="O156" s="14"/>
      <c r="P156" s="1">
        <f>SUM(OSRRefP22_0x_0)</f>
        <v>57870.109999999993</v>
      </c>
      <c r="Q156" s="1"/>
      <c r="R156" s="5">
        <f t="shared" si="20"/>
        <v>8.0121906349479383E-2</v>
      </c>
      <c r="S156" s="1"/>
      <c r="T156" s="1">
        <f>SUM(OSRRefT22_0x_0)</f>
        <v>51909.119999999995</v>
      </c>
      <c r="U156" s="1"/>
      <c r="V156" s="5">
        <f t="shared" si="21"/>
        <v>6.4247027237426396E-2</v>
      </c>
      <c r="W156" s="1"/>
      <c r="X156" s="1">
        <f t="shared" si="22"/>
        <v>5960.989999999998</v>
      </c>
      <c r="Y156" s="1"/>
      <c r="Z156" s="5">
        <f t="shared" si="23"/>
        <v>0.11483511953198201</v>
      </c>
    </row>
    <row r="157" spans="1:26" s="24" customFormat="1" hidden="1" outlineLevel="2" x14ac:dyDescent="0.25">
      <c r="A157" s="29"/>
      <c r="B157" s="11" t="str">
        <f>CONCATENATE("          ", "6111", " - ", "F.I.C.A.")</f>
        <v xml:space="preserve">          6111 - F.I.C.A.</v>
      </c>
      <c r="C157" s="11"/>
      <c r="D157" s="7">
        <v>11334.49</v>
      </c>
      <c r="E157" s="2"/>
      <c r="F157" s="6">
        <f t="shared" si="16"/>
        <v>1.5692746156852143E-2</v>
      </c>
      <c r="G157" s="2"/>
      <c r="H157" s="7">
        <v>11147.46</v>
      </c>
      <c r="I157" s="2"/>
      <c r="J157" s="6">
        <f t="shared" si="17"/>
        <v>1.3797019988936845E-2</v>
      </c>
      <c r="K157" s="2"/>
      <c r="L157" s="7">
        <f t="shared" si="18"/>
        <v>187.03000000000065</v>
      </c>
      <c r="M157" s="2"/>
      <c r="N157" s="6">
        <f t="shared" si="19"/>
        <v>1.6777813062347897E-2</v>
      </c>
      <c r="O157" s="11"/>
      <c r="P157" s="7">
        <v>11334.49</v>
      </c>
      <c r="Q157" s="2"/>
      <c r="R157" s="6">
        <f t="shared" si="20"/>
        <v>1.5692746156852143E-2</v>
      </c>
      <c r="S157" s="2"/>
      <c r="T157" s="7">
        <v>11147.46</v>
      </c>
      <c r="U157" s="2"/>
      <c r="V157" s="6">
        <f t="shared" si="21"/>
        <v>1.3797019988936845E-2</v>
      </c>
      <c r="W157" s="2"/>
      <c r="X157" s="7">
        <f t="shared" si="22"/>
        <v>187.03000000000065</v>
      </c>
      <c r="Y157" s="2"/>
      <c r="Z157" s="6">
        <f t="shared" si="23"/>
        <v>1.6777813062347897E-2</v>
      </c>
    </row>
    <row r="158" spans="1:26" s="24" customFormat="1" hidden="1" outlineLevel="2" x14ac:dyDescent="0.25">
      <c r="A158" s="29"/>
      <c r="B158" s="11" t="str">
        <f>CONCATENATE("          ", "6112", " - ", "COMPENSATION INSURANCE")</f>
        <v xml:space="preserve">          6112 - COMPENSATION INSURANCE</v>
      </c>
      <c r="C158" s="11"/>
      <c r="D158" s="7">
        <v>2089.9899999999998</v>
      </c>
      <c r="E158" s="2"/>
      <c r="F158" s="6">
        <f t="shared" si="16"/>
        <v>2.8936178460927139E-3</v>
      </c>
      <c r="G158" s="2"/>
      <c r="H158" s="7">
        <v>2002.07</v>
      </c>
      <c r="I158" s="2"/>
      <c r="J158" s="6">
        <f t="shared" si="17"/>
        <v>2.4779276901868937E-3</v>
      </c>
      <c r="K158" s="2"/>
      <c r="L158" s="7">
        <f t="shared" si="18"/>
        <v>87.919999999999845</v>
      </c>
      <c r="M158" s="2"/>
      <c r="N158" s="6">
        <f t="shared" si="19"/>
        <v>4.3914548442362082E-2</v>
      </c>
      <c r="O158" s="11"/>
      <c r="P158" s="7">
        <v>2089.9899999999998</v>
      </c>
      <c r="Q158" s="2"/>
      <c r="R158" s="6">
        <f t="shared" si="20"/>
        <v>2.8936178460927139E-3</v>
      </c>
      <c r="S158" s="2"/>
      <c r="T158" s="7">
        <v>2002.07</v>
      </c>
      <c r="U158" s="2"/>
      <c r="V158" s="6">
        <f t="shared" si="21"/>
        <v>2.4779276901868937E-3</v>
      </c>
      <c r="W158" s="2"/>
      <c r="X158" s="7">
        <f t="shared" si="22"/>
        <v>87.919999999999845</v>
      </c>
      <c r="Y158" s="2"/>
      <c r="Z158" s="6">
        <f t="shared" si="23"/>
        <v>4.3914548442362082E-2</v>
      </c>
    </row>
    <row r="159" spans="1:26" s="24" customFormat="1" hidden="1" outlineLevel="2" x14ac:dyDescent="0.25">
      <c r="A159" s="29"/>
      <c r="B159" s="11" t="str">
        <f>CONCATENATE("          ", "6113", " - ", "GROUP INSURANCE")</f>
        <v xml:space="preserve">          6113 - GROUP INSURANCE</v>
      </c>
      <c r="C159" s="11"/>
      <c r="D159" s="7">
        <v>19495.329999999998</v>
      </c>
      <c r="E159" s="2"/>
      <c r="F159" s="6">
        <f t="shared" si="16"/>
        <v>2.6991533358277631E-2</v>
      </c>
      <c r="G159" s="2"/>
      <c r="H159" s="7">
        <v>7948.61</v>
      </c>
      <c r="I159" s="2"/>
      <c r="J159" s="6">
        <f t="shared" si="17"/>
        <v>9.8378582254848457E-3</v>
      </c>
      <c r="K159" s="2"/>
      <c r="L159" s="7">
        <f t="shared" si="18"/>
        <v>11546.719999999998</v>
      </c>
      <c r="M159" s="2"/>
      <c r="N159" s="6">
        <f t="shared" si="19"/>
        <v>1.4526715991852661</v>
      </c>
      <c r="O159" s="11"/>
      <c r="P159" s="7">
        <v>19495.329999999998</v>
      </c>
      <c r="Q159" s="2"/>
      <c r="R159" s="6">
        <f t="shared" si="20"/>
        <v>2.6991533358277631E-2</v>
      </c>
      <c r="S159" s="2"/>
      <c r="T159" s="7">
        <v>7948.61</v>
      </c>
      <c r="U159" s="2"/>
      <c r="V159" s="6">
        <f t="shared" si="21"/>
        <v>9.8378582254848457E-3</v>
      </c>
      <c r="W159" s="2"/>
      <c r="X159" s="7">
        <f t="shared" si="22"/>
        <v>11546.719999999998</v>
      </c>
      <c r="Y159" s="2"/>
      <c r="Z159" s="6">
        <f t="shared" si="23"/>
        <v>1.4526715991852661</v>
      </c>
    </row>
    <row r="160" spans="1:26" s="24" customFormat="1" hidden="1" outlineLevel="2" x14ac:dyDescent="0.25">
      <c r="A160" s="29"/>
      <c r="B160" s="11" t="str">
        <f>CONCATENATE("          ", "6114", " - ", "STATE UNEMPLOYMENT INSURANCE")</f>
        <v xml:space="preserve">          6114 - STATE UNEMPLOYMENT INSURANCE</v>
      </c>
      <c r="C160" s="11"/>
      <c r="D160" s="7">
        <v>383.96</v>
      </c>
      <c r="E160" s="2"/>
      <c r="F160" s="6">
        <f t="shared" si="16"/>
        <v>5.3159752352200653E-4</v>
      </c>
      <c r="G160" s="2"/>
      <c r="H160" s="7">
        <v>567.23</v>
      </c>
      <c r="I160" s="2"/>
      <c r="J160" s="6">
        <f t="shared" si="17"/>
        <v>7.0205083923374897E-4</v>
      </c>
      <c r="K160" s="2"/>
      <c r="L160" s="7">
        <f t="shared" si="18"/>
        <v>-183.27000000000004</v>
      </c>
      <c r="M160" s="2"/>
      <c r="N160" s="6">
        <f t="shared" si="19"/>
        <v>-0.32309645117500846</v>
      </c>
      <c r="O160" s="11"/>
      <c r="P160" s="7">
        <v>383.96</v>
      </c>
      <c r="Q160" s="2"/>
      <c r="R160" s="6">
        <f t="shared" si="20"/>
        <v>5.3159752352200653E-4</v>
      </c>
      <c r="S160" s="2"/>
      <c r="T160" s="7">
        <v>567.23</v>
      </c>
      <c r="U160" s="2"/>
      <c r="V160" s="6">
        <f t="shared" si="21"/>
        <v>7.0205083923374897E-4</v>
      </c>
      <c r="W160" s="2"/>
      <c r="X160" s="7">
        <f t="shared" si="22"/>
        <v>-183.27000000000004</v>
      </c>
      <c r="Y160" s="2"/>
      <c r="Z160" s="6">
        <f t="shared" si="23"/>
        <v>-0.32309645117500846</v>
      </c>
    </row>
    <row r="161" spans="1:26" s="24" customFormat="1" hidden="1" outlineLevel="2" x14ac:dyDescent="0.25">
      <c r="A161" s="29"/>
      <c r="B161" s="11" t="str">
        <f>CONCATENATE("          ", "6115", " - ", "P.E.R.S.")</f>
        <v xml:space="preserve">          6115 - P.E.R.S.</v>
      </c>
      <c r="C161" s="11"/>
      <c r="D161" s="7">
        <v>6297.89</v>
      </c>
      <c r="E161" s="2"/>
      <c r="F161" s="6">
        <f t="shared" si="16"/>
        <v>8.7195091348421967E-3</v>
      </c>
      <c r="G161" s="2"/>
      <c r="H161" s="7">
        <v>8571.4</v>
      </c>
      <c r="I161" s="2"/>
      <c r="J161" s="6">
        <f t="shared" si="17"/>
        <v>1.0608674723495153E-2</v>
      </c>
      <c r="K161" s="2"/>
      <c r="L161" s="7">
        <f t="shared" si="18"/>
        <v>-2273.5099999999993</v>
      </c>
      <c r="M161" s="2"/>
      <c r="N161" s="6">
        <f t="shared" si="19"/>
        <v>-0.26524371747905817</v>
      </c>
      <c r="O161" s="11"/>
      <c r="P161" s="7">
        <v>6297.89</v>
      </c>
      <c r="Q161" s="2"/>
      <c r="R161" s="6">
        <f t="shared" si="20"/>
        <v>8.7195091348421967E-3</v>
      </c>
      <c r="S161" s="2"/>
      <c r="T161" s="7">
        <v>8571.4</v>
      </c>
      <c r="U161" s="2"/>
      <c r="V161" s="6">
        <f t="shared" si="21"/>
        <v>1.0608674723495153E-2</v>
      </c>
      <c r="W161" s="2"/>
      <c r="X161" s="7">
        <f t="shared" si="22"/>
        <v>-2273.5099999999993</v>
      </c>
      <c r="Y161" s="2"/>
      <c r="Z161" s="6">
        <f t="shared" si="23"/>
        <v>-0.26524371747905817</v>
      </c>
    </row>
    <row r="162" spans="1:26" s="24" customFormat="1" hidden="1" outlineLevel="2" x14ac:dyDescent="0.25">
      <c r="A162" s="29"/>
      <c r="B162" s="11" t="str">
        <f>CONCATENATE("          ", "6117", " - ", "RETIREMENT STAFF HOURLY")</f>
        <v xml:space="preserve">          6117 - RETIREMENT STAFF HOURLY</v>
      </c>
      <c r="C162" s="11"/>
      <c r="D162" s="7">
        <v>360.81</v>
      </c>
      <c r="E162" s="2"/>
      <c r="F162" s="6">
        <f t="shared" si="16"/>
        <v>4.9954605287523492E-4</v>
      </c>
      <c r="G162" s="2"/>
      <c r="H162" s="7">
        <v>436.32</v>
      </c>
      <c r="I162" s="2"/>
      <c r="J162" s="6">
        <f t="shared" si="17"/>
        <v>5.4002577821072467E-4</v>
      </c>
      <c r="K162" s="2"/>
      <c r="L162" s="7">
        <f t="shared" si="18"/>
        <v>-75.509999999999991</v>
      </c>
      <c r="M162" s="2"/>
      <c r="N162" s="6">
        <f t="shared" si="19"/>
        <v>-0.17306105610561054</v>
      </c>
      <c r="O162" s="11"/>
      <c r="P162" s="7">
        <v>360.81</v>
      </c>
      <c r="Q162" s="2"/>
      <c r="R162" s="6">
        <f t="shared" si="20"/>
        <v>4.9954605287523492E-4</v>
      </c>
      <c r="S162" s="2"/>
      <c r="T162" s="7">
        <v>436.32</v>
      </c>
      <c r="U162" s="2"/>
      <c r="V162" s="6">
        <f t="shared" si="21"/>
        <v>5.4002577821072467E-4</v>
      </c>
      <c r="W162" s="2"/>
      <c r="X162" s="7">
        <f t="shared" si="22"/>
        <v>-75.509999999999991</v>
      </c>
      <c r="Y162" s="2"/>
      <c r="Z162" s="6">
        <f t="shared" si="23"/>
        <v>-0.17306105610561054</v>
      </c>
    </row>
    <row r="163" spans="1:26" s="24" customFormat="1" hidden="1" outlineLevel="2" x14ac:dyDescent="0.25">
      <c r="A163" s="29"/>
      <c r="B163" s="11" t="str">
        <f>CONCATENATE("          ", "6118", " - ", "VACATION")</f>
        <v xml:space="preserve">          6118 - VACATION</v>
      </c>
      <c r="C163" s="11"/>
      <c r="D163" s="7">
        <v>7648.23</v>
      </c>
      <c r="E163" s="2"/>
      <c r="F163" s="6">
        <f t="shared" si="16"/>
        <v>1.0589072109924774E-2</v>
      </c>
      <c r="G163" s="2"/>
      <c r="H163" s="7">
        <v>9094.8700000000008</v>
      </c>
      <c r="I163" s="2"/>
      <c r="J163" s="6">
        <f t="shared" si="17"/>
        <v>1.1256564561503882E-2</v>
      </c>
      <c r="K163" s="2"/>
      <c r="L163" s="7">
        <f t="shared" si="18"/>
        <v>-1446.6400000000012</v>
      </c>
      <c r="M163" s="2"/>
      <c r="N163" s="6">
        <f t="shared" si="19"/>
        <v>-0.15906109708000238</v>
      </c>
      <c r="O163" s="11"/>
      <c r="P163" s="7">
        <v>7648.23</v>
      </c>
      <c r="Q163" s="2"/>
      <c r="R163" s="6">
        <f t="shared" si="20"/>
        <v>1.0589072109924774E-2</v>
      </c>
      <c r="S163" s="2"/>
      <c r="T163" s="7">
        <v>9094.8700000000008</v>
      </c>
      <c r="U163" s="2"/>
      <c r="V163" s="6">
        <f t="shared" si="21"/>
        <v>1.1256564561503882E-2</v>
      </c>
      <c r="W163" s="2"/>
      <c r="X163" s="7">
        <f t="shared" si="22"/>
        <v>-1446.6400000000012</v>
      </c>
      <c r="Y163" s="2"/>
      <c r="Z163" s="6">
        <f t="shared" si="23"/>
        <v>-0.15906109708000238</v>
      </c>
    </row>
    <row r="164" spans="1:26" s="24" customFormat="1" hidden="1" outlineLevel="2" x14ac:dyDescent="0.25">
      <c r="A164" s="29"/>
      <c r="B164" s="11" t="str">
        <f>CONCATENATE("          ", "6119", " - ", "SICK LEAVE")</f>
        <v xml:space="preserve">          6119 - SICK LEAVE</v>
      </c>
      <c r="C164" s="11"/>
      <c r="D164" s="7">
        <v>8379.7000000000007</v>
      </c>
      <c r="E164" s="2"/>
      <c r="F164" s="6">
        <f t="shared" si="16"/>
        <v>1.1601801666468795E-2</v>
      </c>
      <c r="G164" s="2"/>
      <c r="H164" s="7">
        <v>9978.85</v>
      </c>
      <c r="I164" s="2"/>
      <c r="J164" s="6">
        <f t="shared" si="17"/>
        <v>1.2350651441368926E-2</v>
      </c>
      <c r="K164" s="2"/>
      <c r="L164" s="7">
        <f t="shared" si="18"/>
        <v>-1599.1499999999996</v>
      </c>
      <c r="M164" s="2"/>
      <c r="N164" s="6">
        <f t="shared" si="19"/>
        <v>-0.16025393707691765</v>
      </c>
      <c r="O164" s="11"/>
      <c r="P164" s="7">
        <v>8379.7000000000007</v>
      </c>
      <c r="Q164" s="2"/>
      <c r="R164" s="6">
        <f t="shared" si="20"/>
        <v>1.1601801666468795E-2</v>
      </c>
      <c r="S164" s="2"/>
      <c r="T164" s="7">
        <v>9978.85</v>
      </c>
      <c r="U164" s="2"/>
      <c r="V164" s="6">
        <f t="shared" si="21"/>
        <v>1.2350651441368926E-2</v>
      </c>
      <c r="W164" s="2"/>
      <c r="X164" s="7">
        <f t="shared" si="22"/>
        <v>-1599.1499999999996</v>
      </c>
      <c r="Y164" s="2"/>
      <c r="Z164" s="6">
        <f t="shared" si="23"/>
        <v>-0.16025393707691765</v>
      </c>
    </row>
    <row r="165" spans="1:26" s="24" customFormat="1" hidden="1" outlineLevel="2" x14ac:dyDescent="0.25">
      <c r="A165" s="29"/>
      <c r="B165" s="11" t="str">
        <f>CONCATENATE("          ", "6156", " - ", "EMPLOYEE MEALS")</f>
        <v xml:space="preserve">          6156 - EMPLOYEE MEALS</v>
      </c>
      <c r="C165" s="11"/>
      <c r="D165" s="7">
        <v>1879.71</v>
      </c>
      <c r="E165" s="2"/>
      <c r="F165" s="6">
        <f t="shared" si="16"/>
        <v>2.6024825006238958E-3</v>
      </c>
      <c r="G165" s="2"/>
      <c r="H165" s="7">
        <v>2162.31</v>
      </c>
      <c r="I165" s="2"/>
      <c r="J165" s="6">
        <f t="shared" si="17"/>
        <v>2.6762539890053906E-3</v>
      </c>
      <c r="K165" s="2"/>
      <c r="L165" s="7">
        <f t="shared" si="18"/>
        <v>-282.59999999999991</v>
      </c>
      <c r="M165" s="2"/>
      <c r="N165" s="6">
        <f t="shared" si="19"/>
        <v>-0.13069356382757324</v>
      </c>
      <c r="O165" s="11"/>
      <c r="P165" s="7">
        <v>1879.71</v>
      </c>
      <c r="Q165" s="2"/>
      <c r="R165" s="6">
        <f t="shared" si="20"/>
        <v>2.6024825006238958E-3</v>
      </c>
      <c r="S165" s="2"/>
      <c r="T165" s="7">
        <v>2162.31</v>
      </c>
      <c r="U165" s="2"/>
      <c r="V165" s="6">
        <f t="shared" si="21"/>
        <v>2.6762539890053906E-3</v>
      </c>
      <c r="W165" s="2"/>
      <c r="X165" s="7">
        <f t="shared" si="22"/>
        <v>-282.59999999999991</v>
      </c>
      <c r="Y165" s="2"/>
      <c r="Z165" s="6">
        <f t="shared" si="23"/>
        <v>-0.13069356382757324</v>
      </c>
    </row>
    <row r="166" spans="1:26" s="28" customFormat="1" outlineLevel="1" collapsed="1" x14ac:dyDescent="0.25">
      <c r="A166" s="27"/>
      <c r="B166" s="14" t="str">
        <f>CONCATENATE("     ","*Payroll                                          ")</f>
        <v xml:space="preserve">     *Payroll                                          </v>
      </c>
      <c r="C166" s="14"/>
      <c r="D166" s="1">
        <f>SUM(OSRRefD22_1x_0)</f>
        <v>178211.31</v>
      </c>
      <c r="E166" s="1"/>
      <c r="F166" s="5">
        <f t="shared" ref="F166:F173" si="24">IF(D$12=0,0,D166/D$12)</f>
        <v>0.24673583461718043</v>
      </c>
      <c r="G166" s="1"/>
      <c r="H166" s="1">
        <f>SUM(OSRRefH22_1x_0)</f>
        <v>179492.28</v>
      </c>
      <c r="I166" s="1"/>
      <c r="J166" s="5">
        <f t="shared" ref="J166:J173" si="25">IF(H$12=0,0,H166/H$12)</f>
        <v>0.22215451546987827</v>
      </c>
      <c r="K166" s="1"/>
      <c r="L166" s="1">
        <f t="shared" ref="L166:L173" si="26">+D166-H166</f>
        <v>-1280.9700000000012</v>
      </c>
      <c r="M166" s="1"/>
      <c r="N166" s="5">
        <f t="shared" ref="N166:N173" si="27">IF(H166=0,0,L166/H166)</f>
        <v>-7.1366300545070861E-3</v>
      </c>
      <c r="O166" s="14"/>
      <c r="P166" s="1">
        <f>SUM(OSRRefP22_1x_0)</f>
        <v>178211.31</v>
      </c>
      <c r="Q166" s="1"/>
      <c r="R166" s="5">
        <f t="shared" ref="R166:R173" si="28">IF(P$12=0,0,P166/P$12)</f>
        <v>0.24673583461718043</v>
      </c>
      <c r="S166" s="1"/>
      <c r="T166" s="1">
        <f>SUM(OSRRefT22_1x_0)</f>
        <v>179492.28</v>
      </c>
      <c r="U166" s="1"/>
      <c r="V166" s="5">
        <f t="shared" ref="V166:V173" si="29">IF(T$12=0,0,T166/T$12)</f>
        <v>0.22215451546987827</v>
      </c>
      <c r="W166" s="1"/>
      <c r="X166" s="1">
        <f t="shared" ref="X166:X173" si="30">+P166-T166</f>
        <v>-1280.9700000000012</v>
      </c>
      <c r="Y166" s="1"/>
      <c r="Z166" s="5">
        <f t="shared" ref="Z166:Z173" si="31">IF(T166=0,0,X166/T166)</f>
        <v>-7.1366300545070861E-3</v>
      </c>
    </row>
    <row r="167" spans="1:26" s="24" customFormat="1" hidden="1" outlineLevel="2" x14ac:dyDescent="0.25">
      <c r="A167" s="29"/>
      <c r="B167" s="11" t="str">
        <f>CONCATENATE("          ", "6001", " - ", "ADMINISTRATIVE SALARIES")</f>
        <v xml:space="preserve">          6001 - ADMINISTRATIVE SALARIES</v>
      </c>
      <c r="C167" s="11"/>
      <c r="D167" s="7">
        <v>12860.28</v>
      </c>
      <c r="E167" s="2"/>
      <c r="F167" s="6">
        <f t="shared" si="24"/>
        <v>1.7805221897592434E-2</v>
      </c>
      <c r="G167" s="2"/>
      <c r="H167" s="7">
        <v>13006</v>
      </c>
      <c r="I167" s="2"/>
      <c r="J167" s="6">
        <f t="shared" si="25"/>
        <v>1.6097303060617629E-2</v>
      </c>
      <c r="K167" s="2"/>
      <c r="L167" s="7">
        <f t="shared" si="26"/>
        <v>-145.71999999999935</v>
      </c>
      <c r="M167" s="2"/>
      <c r="N167" s="6">
        <f t="shared" si="27"/>
        <v>-1.1204059664770056E-2</v>
      </c>
      <c r="O167" s="11"/>
      <c r="P167" s="7">
        <v>12860.28</v>
      </c>
      <c r="Q167" s="2"/>
      <c r="R167" s="6">
        <f t="shared" si="28"/>
        <v>1.7805221897592434E-2</v>
      </c>
      <c r="S167" s="2"/>
      <c r="T167" s="7">
        <v>13006</v>
      </c>
      <c r="U167" s="2"/>
      <c r="V167" s="6">
        <f t="shared" si="29"/>
        <v>1.6097303060617629E-2</v>
      </c>
      <c r="W167" s="2"/>
      <c r="X167" s="7">
        <f t="shared" si="30"/>
        <v>-145.71999999999935</v>
      </c>
      <c r="Y167" s="2"/>
      <c r="Z167" s="6">
        <f t="shared" si="31"/>
        <v>-1.1204059664770056E-2</v>
      </c>
    </row>
    <row r="168" spans="1:26" s="24" customFormat="1" hidden="1" outlineLevel="2" x14ac:dyDescent="0.25">
      <c r="A168" s="29"/>
      <c r="B168" s="11" t="str">
        <f>CONCATENATE("          ", "6002", " - ", "STAFF SALARIES")</f>
        <v xml:space="preserve">          6002 - STAFF SALARIES</v>
      </c>
      <c r="C168" s="11"/>
      <c r="D168" s="7">
        <v>67279.010000000009</v>
      </c>
      <c r="E168" s="2"/>
      <c r="F168" s="6">
        <f t="shared" si="24"/>
        <v>9.3148648559777891E-2</v>
      </c>
      <c r="G168" s="2"/>
      <c r="H168" s="7">
        <v>65856.67</v>
      </c>
      <c r="I168" s="2"/>
      <c r="J168" s="6">
        <f t="shared" si="25"/>
        <v>8.1509670579200777E-2</v>
      </c>
      <c r="K168" s="2"/>
      <c r="L168" s="7">
        <f t="shared" si="26"/>
        <v>1422.3400000000111</v>
      </c>
      <c r="M168" s="2"/>
      <c r="N168" s="6">
        <f t="shared" si="27"/>
        <v>2.1597508650224969E-2</v>
      </c>
      <c r="O168" s="11"/>
      <c r="P168" s="7">
        <v>67279.010000000009</v>
      </c>
      <c r="Q168" s="2"/>
      <c r="R168" s="6">
        <f t="shared" si="28"/>
        <v>9.3148648559777891E-2</v>
      </c>
      <c r="S168" s="2"/>
      <c r="T168" s="7">
        <v>65856.67</v>
      </c>
      <c r="U168" s="2"/>
      <c r="V168" s="6">
        <f t="shared" si="29"/>
        <v>8.1509670579200777E-2</v>
      </c>
      <c r="W168" s="2"/>
      <c r="X168" s="7">
        <f t="shared" si="30"/>
        <v>1422.3400000000111</v>
      </c>
      <c r="Y168" s="2"/>
      <c r="Z168" s="6">
        <f t="shared" si="31"/>
        <v>2.1597508650224969E-2</v>
      </c>
    </row>
    <row r="169" spans="1:26" s="24" customFormat="1" hidden="1" outlineLevel="2" x14ac:dyDescent="0.25">
      <c r="A169" s="29"/>
      <c r="B169" s="11" t="str">
        <f>CONCATENATE("          ", "6004", " - ", "STAFF HOURLY")</f>
        <v xml:space="preserve">          6004 - STAFF HOURLY</v>
      </c>
      <c r="C169" s="11"/>
      <c r="D169" s="7">
        <v>2005.93</v>
      </c>
      <c r="E169" s="2"/>
      <c r="F169" s="6">
        <f t="shared" si="24"/>
        <v>2.7772357025692748E-3</v>
      </c>
      <c r="G169" s="2"/>
      <c r="H169" s="7">
        <v>5369.04</v>
      </c>
      <c r="I169" s="2"/>
      <c r="J169" s="6">
        <f t="shared" si="25"/>
        <v>6.6451686932629929E-3</v>
      </c>
      <c r="K169" s="2"/>
      <c r="L169" s="7">
        <f t="shared" si="26"/>
        <v>-3363.1099999999997</v>
      </c>
      <c r="M169" s="2"/>
      <c r="N169" s="6">
        <f t="shared" si="27"/>
        <v>-0.62638944764799664</v>
      </c>
      <c r="O169" s="11"/>
      <c r="P169" s="7">
        <v>2005.93</v>
      </c>
      <c r="Q169" s="2"/>
      <c r="R169" s="6">
        <f t="shared" si="28"/>
        <v>2.7772357025692748E-3</v>
      </c>
      <c r="S169" s="2"/>
      <c r="T169" s="7">
        <v>5369.04</v>
      </c>
      <c r="U169" s="2"/>
      <c r="V169" s="6">
        <f t="shared" si="29"/>
        <v>6.6451686932629929E-3</v>
      </c>
      <c r="W169" s="2"/>
      <c r="X169" s="7">
        <f t="shared" si="30"/>
        <v>-3363.1099999999997</v>
      </c>
      <c r="Y169" s="2"/>
      <c r="Z169" s="6">
        <f t="shared" si="31"/>
        <v>-0.62638944764799664</v>
      </c>
    </row>
    <row r="170" spans="1:26" s="24" customFormat="1" hidden="1" outlineLevel="2" x14ac:dyDescent="0.25">
      <c r="A170" s="29"/>
      <c r="B170" s="11" t="str">
        <f>CONCATENATE("          ", "6005", " - ", "TEMPORARY WAGES-HOURLY")</f>
        <v xml:space="preserve">          6005 - TEMPORARY WAGES-HOURLY</v>
      </c>
      <c r="C170" s="11"/>
      <c r="D170" s="7">
        <v>19812.34</v>
      </c>
      <c r="E170" s="2"/>
      <c r="F170" s="6">
        <f t="shared" si="24"/>
        <v>2.7430437751786624E-2</v>
      </c>
      <c r="G170" s="2"/>
      <c r="H170" s="7">
        <v>15577.409999999998</v>
      </c>
      <c r="I170" s="2"/>
      <c r="J170" s="6">
        <f t="shared" si="25"/>
        <v>1.927989310083774E-2</v>
      </c>
      <c r="K170" s="2"/>
      <c r="L170" s="7">
        <f t="shared" si="26"/>
        <v>4234.9300000000021</v>
      </c>
      <c r="M170" s="2"/>
      <c r="N170" s="6">
        <f t="shared" si="27"/>
        <v>0.27186355112948835</v>
      </c>
      <c r="O170" s="11"/>
      <c r="P170" s="7">
        <v>19812.34</v>
      </c>
      <c r="Q170" s="2"/>
      <c r="R170" s="6">
        <f t="shared" si="28"/>
        <v>2.7430437751786624E-2</v>
      </c>
      <c r="S170" s="2"/>
      <c r="T170" s="7">
        <v>15577.409999999998</v>
      </c>
      <c r="U170" s="2"/>
      <c r="V170" s="6">
        <f t="shared" si="29"/>
        <v>1.927989310083774E-2</v>
      </c>
      <c r="W170" s="2"/>
      <c r="X170" s="7">
        <f t="shared" si="30"/>
        <v>4234.9300000000021</v>
      </c>
      <c r="Y170" s="2"/>
      <c r="Z170" s="6">
        <f t="shared" si="31"/>
        <v>0.27186355112948835</v>
      </c>
    </row>
    <row r="171" spans="1:26" s="24" customFormat="1" hidden="1" outlineLevel="2" x14ac:dyDescent="0.25">
      <c r="A171" s="29"/>
      <c r="B171" s="11" t="str">
        <f>CONCATENATE("          ", "6006", " - ", "TEMPORARY PART TIME")</f>
        <v xml:space="preserve">          6006 - TEMPORARY PART TIME</v>
      </c>
      <c r="C171" s="11"/>
      <c r="D171" s="7">
        <v>4639.88</v>
      </c>
      <c r="E171" s="2"/>
      <c r="F171" s="6">
        <f t="shared" si="24"/>
        <v>6.4239731155310131E-3</v>
      </c>
      <c r="G171" s="2"/>
      <c r="H171" s="7">
        <v>10050.450000000001</v>
      </c>
      <c r="I171" s="2"/>
      <c r="J171" s="6">
        <f t="shared" si="25"/>
        <v>1.2439269532952827E-2</v>
      </c>
      <c r="K171" s="2"/>
      <c r="L171" s="7">
        <f t="shared" si="26"/>
        <v>-5410.5700000000006</v>
      </c>
      <c r="M171" s="2"/>
      <c r="N171" s="6">
        <f t="shared" si="27"/>
        <v>-0.53834106930535452</v>
      </c>
      <c r="O171" s="11"/>
      <c r="P171" s="7">
        <v>4639.88</v>
      </c>
      <c r="Q171" s="2"/>
      <c r="R171" s="6">
        <f t="shared" si="28"/>
        <v>6.4239731155310131E-3</v>
      </c>
      <c r="S171" s="2"/>
      <c r="T171" s="7">
        <v>10050.450000000001</v>
      </c>
      <c r="U171" s="2"/>
      <c r="V171" s="6">
        <f t="shared" si="29"/>
        <v>1.2439269532952827E-2</v>
      </c>
      <c r="W171" s="2"/>
      <c r="X171" s="7">
        <f t="shared" si="30"/>
        <v>-5410.5700000000006</v>
      </c>
      <c r="Y171" s="2"/>
      <c r="Z171" s="6">
        <f t="shared" si="31"/>
        <v>-0.53834106930535452</v>
      </c>
    </row>
    <row r="172" spans="1:26" s="24" customFormat="1" hidden="1" outlineLevel="2" x14ac:dyDescent="0.25">
      <c r="A172" s="29"/>
      <c r="B172" s="11" t="str">
        <f>CONCATENATE("          ", "6007", " - ", "STUDENT HOURLY")</f>
        <v xml:space="preserve">          6007 - STUDENT HOURLY</v>
      </c>
      <c r="C172" s="11"/>
      <c r="D172" s="7">
        <v>71298.87</v>
      </c>
      <c r="E172" s="2"/>
      <c r="F172" s="6">
        <f t="shared" si="24"/>
        <v>9.8714196067083773E-2</v>
      </c>
      <c r="G172" s="2"/>
      <c r="H172" s="7">
        <v>68166.960000000006</v>
      </c>
      <c r="I172" s="2"/>
      <c r="J172" s="6">
        <f t="shared" si="25"/>
        <v>8.4369076875365198E-2</v>
      </c>
      <c r="K172" s="2"/>
      <c r="L172" s="7">
        <f t="shared" si="26"/>
        <v>3131.9099999999889</v>
      </c>
      <c r="M172" s="2"/>
      <c r="N172" s="6">
        <f t="shared" si="27"/>
        <v>4.594469226733873E-2</v>
      </c>
      <c r="O172" s="11"/>
      <c r="P172" s="7">
        <v>71298.87</v>
      </c>
      <c r="Q172" s="2"/>
      <c r="R172" s="6">
        <f t="shared" si="28"/>
        <v>9.8714196067083773E-2</v>
      </c>
      <c r="S172" s="2"/>
      <c r="T172" s="7">
        <v>68166.960000000006</v>
      </c>
      <c r="U172" s="2"/>
      <c r="V172" s="6">
        <f t="shared" si="29"/>
        <v>8.4369076875365198E-2</v>
      </c>
      <c r="W172" s="2"/>
      <c r="X172" s="7">
        <f t="shared" si="30"/>
        <v>3131.9099999999889</v>
      </c>
      <c r="Y172" s="2"/>
      <c r="Z172" s="6">
        <f t="shared" si="31"/>
        <v>4.594469226733873E-2</v>
      </c>
    </row>
    <row r="173" spans="1:26" s="24" customFormat="1" hidden="1" outlineLevel="2" x14ac:dyDescent="0.25">
      <c r="A173" s="29"/>
      <c r="B173" s="11" t="str">
        <f>CONCATENATE("          ", "6008", " - ", "STUDENT HOURLY-FICA EXEMPT")</f>
        <v xml:space="preserve">          6008 - STUDENT HOURLY-FICA EXEMPT</v>
      </c>
      <c r="C173" s="11"/>
      <c r="D173" s="7">
        <v>315</v>
      </c>
      <c r="E173" s="2"/>
      <c r="F173" s="6">
        <f t="shared" si="24"/>
        <v>4.3612152283944181E-4</v>
      </c>
      <c r="G173" s="2"/>
      <c r="H173" s="7">
        <v>1465.75</v>
      </c>
      <c r="I173" s="2"/>
      <c r="J173" s="6">
        <f t="shared" si="25"/>
        <v>1.8141336276411111E-3</v>
      </c>
      <c r="K173" s="2"/>
      <c r="L173" s="7">
        <f t="shared" si="26"/>
        <v>-1150.75</v>
      </c>
      <c r="M173" s="2"/>
      <c r="N173" s="6">
        <f t="shared" si="27"/>
        <v>-0.7850929558246631</v>
      </c>
      <c r="O173" s="11"/>
      <c r="P173" s="7">
        <v>315</v>
      </c>
      <c r="Q173" s="2"/>
      <c r="R173" s="6">
        <f t="shared" si="28"/>
        <v>4.3612152283944181E-4</v>
      </c>
      <c r="S173" s="2"/>
      <c r="T173" s="7">
        <v>1465.75</v>
      </c>
      <c r="U173" s="2"/>
      <c r="V173" s="6">
        <f t="shared" si="29"/>
        <v>1.8141336276411111E-3</v>
      </c>
      <c r="W173" s="2"/>
      <c r="X173" s="7">
        <f t="shared" si="30"/>
        <v>-1150.75</v>
      </c>
      <c r="Y173" s="2"/>
      <c r="Z173" s="6">
        <f t="shared" si="31"/>
        <v>-0.7850929558246631</v>
      </c>
    </row>
    <row r="174" spans="1:26" s="28" customFormat="1" outlineLevel="1" collapsed="1" x14ac:dyDescent="0.25">
      <c r="A174" s="27"/>
      <c r="B174" s="14" t="str">
        <f>CONCATENATE("     ","Advertising/Promo                                 ")</f>
        <v xml:space="preserve">     Advertising/Promo                                 </v>
      </c>
      <c r="C174" s="14"/>
      <c r="D174" s="1">
        <f>SUM(OSRRefD22_2x_0)</f>
        <v>891.37</v>
      </c>
      <c r="E174" s="1"/>
      <c r="F174" s="5">
        <f t="shared" ref="F174:F182" si="32">IF(D$12=0,0,D174/D$12)</f>
        <v>1.2341131486139467E-3</v>
      </c>
      <c r="G174" s="1"/>
      <c r="H174" s="1">
        <f>SUM(OSRRefH22_2x_0)</f>
        <v>5395.24</v>
      </c>
      <c r="I174" s="1"/>
      <c r="J174" s="5">
        <f t="shared" ref="J174:J182" si="33">IF(H$12=0,0,H174/H$12)</f>
        <v>6.6775959837587773E-3</v>
      </c>
      <c r="K174" s="1"/>
      <c r="L174" s="1">
        <f t="shared" ref="L174:L182" si="34">+D174-H174</f>
        <v>-4503.87</v>
      </c>
      <c r="M174" s="1"/>
      <c r="N174" s="5">
        <f t="shared" ref="N174:N182" si="35">IF(H174=0,0,L174/H174)</f>
        <v>-0.83478584826624957</v>
      </c>
      <c r="O174" s="14"/>
      <c r="P174" s="1">
        <f>SUM(OSRRefP22_2x_0)</f>
        <v>891.37</v>
      </c>
      <c r="Q174" s="1"/>
      <c r="R174" s="5">
        <f t="shared" ref="R174:R182" si="36">IF(P$12=0,0,P174/P$12)</f>
        <v>1.2341131486139467E-3</v>
      </c>
      <c r="S174" s="1"/>
      <c r="T174" s="1">
        <f>SUM(OSRRefT22_2x_0)</f>
        <v>5395.24</v>
      </c>
      <c r="U174" s="1"/>
      <c r="V174" s="5">
        <f t="shared" ref="V174:V182" si="37">IF(T$12=0,0,T174/T$12)</f>
        <v>6.6775959837587773E-3</v>
      </c>
      <c r="W174" s="1"/>
      <c r="X174" s="1">
        <f t="shared" ref="X174:X182" si="38">+P174-T174</f>
        <v>-4503.87</v>
      </c>
      <c r="Y174" s="1"/>
      <c r="Z174" s="5">
        <f t="shared" ref="Z174:Z182" si="39">IF(T174=0,0,X174/T174)</f>
        <v>-0.83478584826624957</v>
      </c>
    </row>
    <row r="175" spans="1:26" s="24" customFormat="1" hidden="1" outlineLevel="2" x14ac:dyDescent="0.25">
      <c r="A175" s="29"/>
      <c r="B175" s="11" t="str">
        <f>CONCATENATE("          ", "6362", " - ", "ADVERTISING EXPENSE")</f>
        <v xml:space="preserve">          6362 - ADVERTISING EXPENSE</v>
      </c>
      <c r="C175" s="11"/>
      <c r="D175" s="7">
        <v>891.37</v>
      </c>
      <c r="E175" s="2"/>
      <c r="F175" s="6">
        <f t="shared" si="32"/>
        <v>1.2341131486139467E-3</v>
      </c>
      <c r="G175" s="2"/>
      <c r="H175" s="7">
        <v>5395.24</v>
      </c>
      <c r="I175" s="2"/>
      <c r="J175" s="6">
        <f t="shared" si="33"/>
        <v>6.6775959837587773E-3</v>
      </c>
      <c r="K175" s="2"/>
      <c r="L175" s="7">
        <f t="shared" si="34"/>
        <v>-4503.87</v>
      </c>
      <c r="M175" s="2"/>
      <c r="N175" s="6">
        <f t="shared" si="35"/>
        <v>-0.83478584826624957</v>
      </c>
      <c r="O175" s="11"/>
      <c r="P175" s="7">
        <v>891.37</v>
      </c>
      <c r="Q175" s="2"/>
      <c r="R175" s="6">
        <f t="shared" si="36"/>
        <v>1.2341131486139467E-3</v>
      </c>
      <c r="S175" s="2"/>
      <c r="T175" s="7">
        <v>5395.24</v>
      </c>
      <c r="U175" s="2"/>
      <c r="V175" s="6">
        <f t="shared" si="37"/>
        <v>6.6775959837587773E-3</v>
      </c>
      <c r="W175" s="2"/>
      <c r="X175" s="7">
        <f t="shared" si="38"/>
        <v>-4503.87</v>
      </c>
      <c r="Y175" s="2"/>
      <c r="Z175" s="6">
        <f t="shared" si="39"/>
        <v>-0.83478584826624957</v>
      </c>
    </row>
    <row r="176" spans="1:26" s="28" customFormat="1" outlineLevel="1" collapsed="1" x14ac:dyDescent="0.25">
      <c r="A176" s="27"/>
      <c r="B176" s="14" t="str">
        <f>CONCATENATE("     ","Bad Debts/Over/Short                              ")</f>
        <v xml:space="preserve">     Bad Debts/Over/Short                              </v>
      </c>
      <c r="C176" s="14"/>
      <c r="D176" s="1">
        <f>SUM(OSRRefD22_3x_0)</f>
        <v>-18.7</v>
      </c>
      <c r="E176" s="1"/>
      <c r="F176" s="5">
        <f t="shared" si="32"/>
        <v>-2.5890388816182733E-5</v>
      </c>
      <c r="G176" s="1"/>
      <c r="H176" s="1">
        <f>SUM(OSRRefH22_3x_0)</f>
        <v>-22.92</v>
      </c>
      <c r="I176" s="1"/>
      <c r="J176" s="5">
        <f t="shared" si="33"/>
        <v>-2.8367690769595273E-5</v>
      </c>
      <c r="K176" s="1"/>
      <c r="L176" s="1">
        <f t="shared" si="34"/>
        <v>4.2200000000000024</v>
      </c>
      <c r="M176" s="1"/>
      <c r="N176" s="5">
        <f t="shared" si="35"/>
        <v>-0.18411867364746956</v>
      </c>
      <c r="O176" s="14"/>
      <c r="P176" s="1">
        <f>SUM(OSRRefP22_3x_0)</f>
        <v>-18.7</v>
      </c>
      <c r="Q176" s="1"/>
      <c r="R176" s="5">
        <f t="shared" si="36"/>
        <v>-2.5890388816182733E-5</v>
      </c>
      <c r="S176" s="1"/>
      <c r="T176" s="1">
        <f>SUM(OSRRefT22_3x_0)</f>
        <v>-22.92</v>
      </c>
      <c r="U176" s="1"/>
      <c r="V176" s="5">
        <f t="shared" si="37"/>
        <v>-2.8367690769595273E-5</v>
      </c>
      <c r="W176" s="1"/>
      <c r="X176" s="1">
        <f t="shared" si="38"/>
        <v>4.2200000000000024</v>
      </c>
      <c r="Y176" s="1"/>
      <c r="Z176" s="5">
        <f t="shared" si="39"/>
        <v>-0.18411867364746956</v>
      </c>
    </row>
    <row r="177" spans="1:26" s="24" customFormat="1" hidden="1" outlineLevel="2" x14ac:dyDescent="0.25">
      <c r="A177" s="29"/>
      <c r="B177" s="11" t="str">
        <f>CONCATENATE("          ", "6272", " - ", "CASH (OVER/SHORT)")</f>
        <v xml:space="preserve">          6272 - CASH (OVER/SHORT)</v>
      </c>
      <c r="C177" s="11"/>
      <c r="D177" s="7">
        <v>-18.7</v>
      </c>
      <c r="E177" s="2"/>
      <c r="F177" s="6">
        <f t="shared" si="32"/>
        <v>-2.5890388816182733E-5</v>
      </c>
      <c r="G177" s="2"/>
      <c r="H177" s="7">
        <v>-22.92</v>
      </c>
      <c r="I177" s="2"/>
      <c r="J177" s="6">
        <f t="shared" si="33"/>
        <v>-2.8367690769595273E-5</v>
      </c>
      <c r="K177" s="2"/>
      <c r="L177" s="7">
        <f t="shared" si="34"/>
        <v>4.2200000000000024</v>
      </c>
      <c r="M177" s="2"/>
      <c r="N177" s="6">
        <f t="shared" si="35"/>
        <v>-0.18411867364746956</v>
      </c>
      <c r="O177" s="11"/>
      <c r="P177" s="7">
        <v>-18.7</v>
      </c>
      <c r="Q177" s="2"/>
      <c r="R177" s="6">
        <f t="shared" si="36"/>
        <v>-2.5890388816182733E-5</v>
      </c>
      <c r="S177" s="2"/>
      <c r="T177" s="7">
        <v>-22.92</v>
      </c>
      <c r="U177" s="2"/>
      <c r="V177" s="6">
        <f t="shared" si="37"/>
        <v>-2.8367690769595273E-5</v>
      </c>
      <c r="W177" s="2"/>
      <c r="X177" s="7">
        <f t="shared" si="38"/>
        <v>4.2200000000000024</v>
      </c>
      <c r="Y177" s="2"/>
      <c r="Z177" s="6">
        <f t="shared" si="39"/>
        <v>-0.18411867364746956</v>
      </c>
    </row>
    <row r="178" spans="1:26" s="28" customFormat="1" outlineLevel="1" collapsed="1" x14ac:dyDescent="0.25">
      <c r="A178" s="27"/>
      <c r="B178" s="14" t="str">
        <f>CONCATENATE("     ","Bank/card Fees                                    ")</f>
        <v xml:space="preserve">     Bank/card Fees                                    </v>
      </c>
      <c r="C178" s="14"/>
      <c r="D178" s="1">
        <f>SUM(OSRRefD22_4x_0)</f>
        <v>5785.89</v>
      </c>
      <c r="E178" s="1"/>
      <c r="F178" s="5">
        <f t="shared" si="32"/>
        <v>8.0106385961317399E-3</v>
      </c>
      <c r="G178" s="1"/>
      <c r="H178" s="1">
        <f>SUM(OSRRefH22_4x_0)</f>
        <v>6273.43</v>
      </c>
      <c r="I178" s="1"/>
      <c r="J178" s="5">
        <f t="shared" si="33"/>
        <v>7.7645166799608228E-3</v>
      </c>
      <c r="K178" s="1"/>
      <c r="L178" s="1">
        <f t="shared" si="34"/>
        <v>-487.53999999999996</v>
      </c>
      <c r="M178" s="1"/>
      <c r="N178" s="5">
        <f t="shared" si="35"/>
        <v>-7.7715061776412575E-2</v>
      </c>
      <c r="O178" s="14"/>
      <c r="P178" s="1">
        <f>SUM(OSRRefP22_4x_0)</f>
        <v>5785.89</v>
      </c>
      <c r="Q178" s="1"/>
      <c r="R178" s="5">
        <f t="shared" si="36"/>
        <v>8.0106385961317399E-3</v>
      </c>
      <c r="S178" s="1"/>
      <c r="T178" s="1">
        <f>SUM(OSRRefT22_4x_0)</f>
        <v>6273.43</v>
      </c>
      <c r="U178" s="1"/>
      <c r="V178" s="5">
        <f t="shared" si="37"/>
        <v>7.7645166799608228E-3</v>
      </c>
      <c r="W178" s="1"/>
      <c r="X178" s="1">
        <f t="shared" si="38"/>
        <v>-487.53999999999996</v>
      </c>
      <c r="Y178" s="1"/>
      <c r="Z178" s="5">
        <f t="shared" si="39"/>
        <v>-7.7715061776412575E-2</v>
      </c>
    </row>
    <row r="179" spans="1:26" s="24" customFormat="1" hidden="1" outlineLevel="2" x14ac:dyDescent="0.25">
      <c r="A179" s="29"/>
      <c r="B179" s="11" t="str">
        <f>CONCATENATE("          ", "6381", " - ", "BANK/CREDIT CARD FEES")</f>
        <v xml:space="preserve">          6381 - BANK/CREDIT CARD FEES</v>
      </c>
      <c r="C179" s="11"/>
      <c r="D179" s="7">
        <v>5785.89</v>
      </c>
      <c r="E179" s="2"/>
      <c r="F179" s="6">
        <f t="shared" si="32"/>
        <v>8.0106385961317399E-3</v>
      </c>
      <c r="G179" s="2"/>
      <c r="H179" s="7">
        <v>6273.43</v>
      </c>
      <c r="I179" s="2"/>
      <c r="J179" s="6">
        <f t="shared" si="33"/>
        <v>7.7645166799608228E-3</v>
      </c>
      <c r="K179" s="2"/>
      <c r="L179" s="7">
        <f t="shared" si="34"/>
        <v>-487.53999999999996</v>
      </c>
      <c r="M179" s="2"/>
      <c r="N179" s="6">
        <f t="shared" si="35"/>
        <v>-7.7715061776412575E-2</v>
      </c>
      <c r="O179" s="11"/>
      <c r="P179" s="7">
        <v>5785.89</v>
      </c>
      <c r="Q179" s="2"/>
      <c r="R179" s="6">
        <f t="shared" si="36"/>
        <v>8.0106385961317399E-3</v>
      </c>
      <c r="S179" s="2"/>
      <c r="T179" s="7">
        <v>6273.43</v>
      </c>
      <c r="U179" s="2"/>
      <c r="V179" s="6">
        <f t="shared" si="37"/>
        <v>7.7645166799608228E-3</v>
      </c>
      <c r="W179" s="2"/>
      <c r="X179" s="7">
        <f t="shared" si="38"/>
        <v>-487.53999999999996</v>
      </c>
      <c r="Y179" s="2"/>
      <c r="Z179" s="6">
        <f t="shared" si="39"/>
        <v>-7.7715061776412575E-2</v>
      </c>
    </row>
    <row r="180" spans="1:26" s="28" customFormat="1" outlineLevel="1" collapsed="1" x14ac:dyDescent="0.25">
      <c r="A180" s="27"/>
      <c r="B180" s="14" t="str">
        <f>CONCATENATE("     ","Depreciation                                      ")</f>
        <v xml:space="preserve">     Depreciation                                      </v>
      </c>
      <c r="C180" s="14"/>
      <c r="D180" s="1">
        <f>SUM(OSRRefD22_5x_0)</f>
        <v>29887.870000000003</v>
      </c>
      <c r="E180" s="1"/>
      <c r="F180" s="5">
        <f t="shared" si="32"/>
        <v>4.1380137710562759E-2</v>
      </c>
      <c r="G180" s="1"/>
      <c r="H180" s="1">
        <f>SUM(OSRRefH22_5x_0)</f>
        <v>29610.510000000002</v>
      </c>
      <c r="I180" s="1"/>
      <c r="J180" s="5">
        <f t="shared" si="33"/>
        <v>3.6648420209860755E-2</v>
      </c>
      <c r="K180" s="1"/>
      <c r="L180" s="1">
        <f t="shared" si="34"/>
        <v>277.36000000000058</v>
      </c>
      <c r="M180" s="1"/>
      <c r="N180" s="5">
        <f t="shared" si="35"/>
        <v>9.366944372116541E-3</v>
      </c>
      <c r="O180" s="14"/>
      <c r="P180" s="1">
        <f>SUM(OSRRefP22_5x_0)</f>
        <v>29887.870000000003</v>
      </c>
      <c r="Q180" s="1"/>
      <c r="R180" s="5">
        <f t="shared" si="36"/>
        <v>4.1380137710562759E-2</v>
      </c>
      <c r="S180" s="1"/>
      <c r="T180" s="1">
        <f>SUM(OSRRefT22_5x_0)</f>
        <v>29610.510000000002</v>
      </c>
      <c r="U180" s="1"/>
      <c r="V180" s="5">
        <f t="shared" si="37"/>
        <v>3.6648420209860755E-2</v>
      </c>
      <c r="W180" s="1"/>
      <c r="X180" s="1">
        <f t="shared" si="38"/>
        <v>277.36000000000058</v>
      </c>
      <c r="Y180" s="1"/>
      <c r="Z180" s="5">
        <f t="shared" si="39"/>
        <v>9.366944372116541E-3</v>
      </c>
    </row>
    <row r="181" spans="1:26" s="24" customFormat="1" hidden="1" outlineLevel="2" x14ac:dyDescent="0.25">
      <c r="A181" s="29"/>
      <c r="B181" s="11" t="str">
        <f>CONCATENATE("          ", "6321", " - ", "BUILDING DEPRECIATION")</f>
        <v xml:space="preserve">          6321 - BUILDING DEPRECIATION</v>
      </c>
      <c r="C181" s="11"/>
      <c r="D181" s="7">
        <v>16396.52</v>
      </c>
      <c r="E181" s="2"/>
      <c r="F181" s="6">
        <f t="shared" si="32"/>
        <v>2.2701191338626553E-2</v>
      </c>
      <c r="G181" s="2"/>
      <c r="H181" s="7">
        <v>16453.38</v>
      </c>
      <c r="I181" s="2"/>
      <c r="J181" s="6">
        <f t="shared" si="33"/>
        <v>2.0364066141127551E-2</v>
      </c>
      <c r="K181" s="2"/>
      <c r="L181" s="7">
        <f t="shared" si="34"/>
        <v>-56.860000000000582</v>
      </c>
      <c r="M181" s="2"/>
      <c r="N181" s="6">
        <f t="shared" si="35"/>
        <v>-3.4558248821822978E-3</v>
      </c>
      <c r="O181" s="11"/>
      <c r="P181" s="7">
        <v>16396.52</v>
      </c>
      <c r="Q181" s="2"/>
      <c r="R181" s="6">
        <f t="shared" si="36"/>
        <v>2.2701191338626553E-2</v>
      </c>
      <c r="S181" s="2"/>
      <c r="T181" s="7">
        <v>16453.38</v>
      </c>
      <c r="U181" s="2"/>
      <c r="V181" s="6">
        <f t="shared" si="37"/>
        <v>2.0364066141127551E-2</v>
      </c>
      <c r="W181" s="2"/>
      <c r="X181" s="7">
        <f t="shared" si="38"/>
        <v>-56.860000000000582</v>
      </c>
      <c r="Y181" s="2"/>
      <c r="Z181" s="6">
        <f t="shared" si="39"/>
        <v>-3.4558248821822978E-3</v>
      </c>
    </row>
    <row r="182" spans="1:26" s="24" customFormat="1" hidden="1" outlineLevel="2" x14ac:dyDescent="0.25">
      <c r="A182" s="29"/>
      <c r="B182" s="11" t="str">
        <f>CONCATENATE("          ", "6322", " - ", "EQUIPMENT DEPRECIATION EXPENSE")</f>
        <v xml:space="preserve">          6322 - EQUIPMENT DEPRECIATION EXPENSE</v>
      </c>
      <c r="C182" s="11"/>
      <c r="D182" s="7">
        <v>13491.35</v>
      </c>
      <c r="E182" s="2"/>
      <c r="F182" s="6">
        <f t="shared" si="32"/>
        <v>1.8678946371936199E-2</v>
      </c>
      <c r="G182" s="2"/>
      <c r="H182" s="7">
        <v>13157.13</v>
      </c>
      <c r="I182" s="2"/>
      <c r="J182" s="6">
        <f t="shared" si="33"/>
        <v>1.6284354068733204E-2</v>
      </c>
      <c r="K182" s="2"/>
      <c r="L182" s="7">
        <f t="shared" si="34"/>
        <v>334.22000000000116</v>
      </c>
      <c r="M182" s="2"/>
      <c r="N182" s="6">
        <f t="shared" si="35"/>
        <v>2.5402196375653444E-2</v>
      </c>
      <c r="O182" s="11"/>
      <c r="P182" s="7">
        <v>13491.35</v>
      </c>
      <c r="Q182" s="2"/>
      <c r="R182" s="6">
        <f t="shared" si="36"/>
        <v>1.8678946371936199E-2</v>
      </c>
      <c r="S182" s="2"/>
      <c r="T182" s="7">
        <v>13157.13</v>
      </c>
      <c r="U182" s="2"/>
      <c r="V182" s="6">
        <f t="shared" si="37"/>
        <v>1.6284354068733204E-2</v>
      </c>
      <c r="W182" s="2"/>
      <c r="X182" s="7">
        <f t="shared" si="38"/>
        <v>334.22000000000116</v>
      </c>
      <c r="Y182" s="2"/>
      <c r="Z182" s="6">
        <f t="shared" si="39"/>
        <v>2.5402196375653444E-2</v>
      </c>
    </row>
    <row r="183" spans="1:26" s="28" customFormat="1" outlineLevel="1" collapsed="1" x14ac:dyDescent="0.25">
      <c r="A183" s="27"/>
      <c r="B183" s="14" t="str">
        <f>CONCATENATE("     ","Discounts and Markdowns                           ")</f>
        <v xml:space="preserve">     Discounts and Markdowns                           </v>
      </c>
      <c r="C183" s="14"/>
      <c r="D183" s="1">
        <f>SUM(OSRRefD22_6x_0)</f>
        <v>37393.86</v>
      </c>
      <c r="E183" s="1"/>
      <c r="F183" s="5">
        <f t="shared" ref="F183:F185" si="40">IF(D$12=0,0,D183/D$12)</f>
        <v>5.1772276723952029E-2</v>
      </c>
      <c r="G183" s="1"/>
      <c r="H183" s="1">
        <f>SUM(OSRRefH22_6x_0)</f>
        <v>30005.01</v>
      </c>
      <c r="I183" s="1"/>
      <c r="J183" s="5">
        <f t="shared" ref="J183:J185" si="41">IF(H$12=0,0,H183/H$12)</f>
        <v>3.7136686091562551E-2</v>
      </c>
      <c r="K183" s="1"/>
      <c r="L183" s="1">
        <f t="shared" ref="L183:L185" si="42">+D183-H183</f>
        <v>7388.8500000000022</v>
      </c>
      <c r="M183" s="1"/>
      <c r="N183" s="5">
        <f t="shared" ref="N183:N185" si="43">IF(H183=0,0,L183/H183)</f>
        <v>0.24625387560277442</v>
      </c>
      <c r="O183" s="14"/>
      <c r="P183" s="1">
        <f>SUM(OSRRefP22_6x_0)</f>
        <v>37393.86</v>
      </c>
      <c r="Q183" s="1"/>
      <c r="R183" s="5">
        <f t="shared" ref="R183:R185" si="44">IF(P$12=0,0,P183/P$12)</f>
        <v>5.1772276723952029E-2</v>
      </c>
      <c r="S183" s="1"/>
      <c r="T183" s="1">
        <f>SUM(OSRRefT22_6x_0)</f>
        <v>30005.01</v>
      </c>
      <c r="U183" s="1"/>
      <c r="V183" s="5">
        <f t="shared" ref="V183:V185" si="45">IF(T$12=0,0,T183/T$12)</f>
        <v>3.7136686091562551E-2</v>
      </c>
      <c r="W183" s="1"/>
      <c r="X183" s="1">
        <f t="shared" ref="X183:X185" si="46">+P183-T183</f>
        <v>7388.8500000000022</v>
      </c>
      <c r="Y183" s="1"/>
      <c r="Z183" s="5">
        <f t="shared" ref="Z183:Z185" si="47">IF(T183=0,0,X183/T183)</f>
        <v>0.24625387560277442</v>
      </c>
    </row>
    <row r="184" spans="1:26" s="24" customFormat="1" hidden="1" outlineLevel="2" x14ac:dyDescent="0.25">
      <c r="A184" s="29"/>
      <c r="B184" s="11" t="str">
        <f>CONCATENATE("          ", "6382", " - ", "DISCOUNTS/MARK DOWNS")</f>
        <v xml:space="preserve">          6382 - DISCOUNTS/MARK DOWNS</v>
      </c>
      <c r="C184" s="11"/>
      <c r="D184" s="7">
        <v>37837.57</v>
      </c>
      <c r="E184" s="2"/>
      <c r="F184" s="6">
        <f t="shared" si="40"/>
        <v>5.2386598885536435E-2</v>
      </c>
      <c r="G184" s="2"/>
      <c r="H184" s="7">
        <v>30915.17</v>
      </c>
      <c r="I184" s="2"/>
      <c r="J184" s="6">
        <f t="shared" si="41"/>
        <v>3.8263175508266516E-2</v>
      </c>
      <c r="K184" s="2"/>
      <c r="L184" s="7">
        <f t="shared" si="42"/>
        <v>6922.4000000000015</v>
      </c>
      <c r="M184" s="2"/>
      <c r="N184" s="6">
        <f t="shared" si="43"/>
        <v>0.2239159609990824</v>
      </c>
      <c r="O184" s="11"/>
      <c r="P184" s="7">
        <v>37837.57</v>
      </c>
      <c r="Q184" s="2"/>
      <c r="R184" s="6">
        <f t="shared" si="44"/>
        <v>5.2386598885536435E-2</v>
      </c>
      <c r="S184" s="2"/>
      <c r="T184" s="7">
        <v>30915.17</v>
      </c>
      <c r="U184" s="2"/>
      <c r="V184" s="6">
        <f t="shared" si="45"/>
        <v>3.8263175508266516E-2</v>
      </c>
      <c r="W184" s="2"/>
      <c r="X184" s="7">
        <f t="shared" si="46"/>
        <v>6922.4000000000015</v>
      </c>
      <c r="Y184" s="2"/>
      <c r="Z184" s="6">
        <f t="shared" si="47"/>
        <v>0.2239159609990824</v>
      </c>
    </row>
    <row r="185" spans="1:26" s="24" customFormat="1" hidden="1" outlineLevel="2" x14ac:dyDescent="0.25">
      <c r="A185" s="29"/>
      <c r="B185" s="11" t="str">
        <f>CONCATENATE("          ", "9175", " - ", "EARNED DISCOUNTS")</f>
        <v xml:space="preserve">          9175 - EARNED DISCOUNTS</v>
      </c>
      <c r="C185" s="11"/>
      <c r="D185" s="7">
        <v>-443.71</v>
      </c>
      <c r="E185" s="2"/>
      <c r="F185" s="6">
        <f t="shared" si="40"/>
        <v>-6.1432216158440855E-4</v>
      </c>
      <c r="G185" s="2"/>
      <c r="H185" s="7">
        <v>-910.16</v>
      </c>
      <c r="I185" s="2"/>
      <c r="J185" s="6">
        <f t="shared" si="41"/>
        <v>-1.1264894167039628E-3</v>
      </c>
      <c r="K185" s="2"/>
      <c r="L185" s="7">
        <f t="shared" si="42"/>
        <v>466.45</v>
      </c>
      <c r="M185" s="2"/>
      <c r="N185" s="6">
        <f t="shared" si="43"/>
        <v>-0.51249230904456355</v>
      </c>
      <c r="O185" s="11"/>
      <c r="P185" s="7">
        <v>-443.71</v>
      </c>
      <c r="Q185" s="2"/>
      <c r="R185" s="6">
        <f t="shared" si="44"/>
        <v>-6.1432216158440855E-4</v>
      </c>
      <c r="S185" s="2"/>
      <c r="T185" s="7">
        <v>-910.16</v>
      </c>
      <c r="U185" s="2"/>
      <c r="V185" s="6">
        <f t="shared" si="45"/>
        <v>-1.1264894167039628E-3</v>
      </c>
      <c r="W185" s="2"/>
      <c r="X185" s="7">
        <f t="shared" si="46"/>
        <v>466.45</v>
      </c>
      <c r="Y185" s="2"/>
      <c r="Z185" s="6">
        <f t="shared" si="47"/>
        <v>-0.51249230904456355</v>
      </c>
    </row>
    <row r="186" spans="1:26" s="28" customFormat="1" outlineLevel="1" collapsed="1" x14ac:dyDescent="0.25">
      <c r="A186" s="27"/>
      <c r="B186" s="14" t="str">
        <f>CONCATENATE("     ","Donations                                         ")</f>
        <v xml:space="preserve">     Donations                                         </v>
      </c>
      <c r="C186" s="14"/>
      <c r="D186" s="1">
        <f>SUM(OSRRefD22_7x_0)</f>
        <v>925.42</v>
      </c>
      <c r="E186" s="1"/>
      <c r="F186" s="5">
        <f t="shared" ref="F186:F194" si="48">IF(D$12=0,0,D186/D$12)</f>
        <v>1.2812558084637339E-3</v>
      </c>
      <c r="G186" s="1"/>
      <c r="H186" s="1">
        <f>SUM(OSRRefH22_7x_0)</f>
        <v>1436.21</v>
      </c>
      <c r="I186" s="1"/>
      <c r="J186" s="5">
        <f t="shared" ref="J186:J194" si="49">IF(H$12=0,0,H186/H$12)</f>
        <v>1.7775724764485352E-3</v>
      </c>
      <c r="K186" s="1"/>
      <c r="L186" s="1">
        <f t="shared" ref="L186:L194" si="50">+D186-H186</f>
        <v>-510.79000000000008</v>
      </c>
      <c r="M186" s="1"/>
      <c r="N186" s="5">
        <f t="shared" ref="N186:N194" si="51">IF(H186=0,0,L186/H186)</f>
        <v>-0.35565133232605262</v>
      </c>
      <c r="O186" s="14"/>
      <c r="P186" s="1">
        <f>SUM(OSRRefP22_7x_0)</f>
        <v>925.42</v>
      </c>
      <c r="Q186" s="1"/>
      <c r="R186" s="5">
        <f t="shared" ref="R186:R194" si="52">IF(P$12=0,0,P186/P$12)</f>
        <v>1.2812558084637339E-3</v>
      </c>
      <c r="S186" s="1"/>
      <c r="T186" s="1">
        <f>SUM(OSRRefT22_7x_0)</f>
        <v>1436.21</v>
      </c>
      <c r="U186" s="1"/>
      <c r="V186" s="5">
        <f t="shared" ref="V186:V194" si="53">IF(T$12=0,0,T186/T$12)</f>
        <v>1.7775724764485352E-3</v>
      </c>
      <c r="W186" s="1"/>
      <c r="X186" s="1">
        <f t="shared" ref="X186:X194" si="54">+P186-T186</f>
        <v>-510.79000000000008</v>
      </c>
      <c r="Y186" s="1"/>
      <c r="Z186" s="5">
        <f t="shared" ref="Z186:Z194" si="55">IF(T186=0,0,X186/T186)</f>
        <v>-0.35565133232605262</v>
      </c>
    </row>
    <row r="187" spans="1:26" s="24" customFormat="1" hidden="1" outlineLevel="2" x14ac:dyDescent="0.25">
      <c r="A187" s="29"/>
      <c r="B187" s="11" t="str">
        <f>CONCATENATE("          ", "6399", " - ", "DONATION-ON CAMPUS")</f>
        <v xml:space="preserve">          6399 - DONATION-ON CAMPUS</v>
      </c>
      <c r="C187" s="11"/>
      <c r="D187" s="7">
        <v>925.42</v>
      </c>
      <c r="E187" s="2"/>
      <c r="F187" s="6">
        <f t="shared" si="48"/>
        <v>1.2812558084637339E-3</v>
      </c>
      <c r="G187" s="2"/>
      <c r="H187" s="7">
        <v>1436.21</v>
      </c>
      <c r="I187" s="2"/>
      <c r="J187" s="6">
        <f t="shared" si="49"/>
        <v>1.7775724764485352E-3</v>
      </c>
      <c r="K187" s="2"/>
      <c r="L187" s="7">
        <f t="shared" si="50"/>
        <v>-510.79000000000008</v>
      </c>
      <c r="M187" s="2"/>
      <c r="N187" s="6">
        <f t="shared" si="51"/>
        <v>-0.35565133232605262</v>
      </c>
      <c r="O187" s="11"/>
      <c r="P187" s="7">
        <v>925.42</v>
      </c>
      <c r="Q187" s="2"/>
      <c r="R187" s="6">
        <f t="shared" si="52"/>
        <v>1.2812558084637339E-3</v>
      </c>
      <c r="S187" s="2"/>
      <c r="T187" s="7">
        <v>1436.21</v>
      </c>
      <c r="U187" s="2"/>
      <c r="V187" s="6">
        <f t="shared" si="53"/>
        <v>1.7775724764485352E-3</v>
      </c>
      <c r="W187" s="2"/>
      <c r="X187" s="7">
        <f t="shared" si="54"/>
        <v>-510.79000000000008</v>
      </c>
      <c r="Y187" s="2"/>
      <c r="Z187" s="6">
        <f t="shared" si="55"/>
        <v>-0.35565133232605262</v>
      </c>
    </row>
    <row r="188" spans="1:26" s="28" customFormat="1" outlineLevel="1" collapsed="1" x14ac:dyDescent="0.25">
      <c r="A188" s="27"/>
      <c r="B188" s="14" t="str">
        <f>CONCATENATE("     ","Employees' Appreciation                           ")</f>
        <v xml:space="preserve">     Employees' Appreciation                           </v>
      </c>
      <c r="C188" s="14"/>
      <c r="D188" s="1">
        <f>SUM(OSRRefD22_8x_0)</f>
        <v>393.54</v>
      </c>
      <c r="E188" s="1"/>
      <c r="F188" s="5">
        <f t="shared" si="48"/>
        <v>5.4486115586740926E-4</v>
      </c>
      <c r="G188" s="1"/>
      <c r="H188" s="1">
        <f>SUM(OSRRefH22_8x_0)</f>
        <v>315.22000000000003</v>
      </c>
      <c r="I188" s="1"/>
      <c r="J188" s="5">
        <f t="shared" si="49"/>
        <v>3.9014238588096955E-4</v>
      </c>
      <c r="K188" s="1"/>
      <c r="L188" s="1">
        <f t="shared" si="50"/>
        <v>78.319999999999993</v>
      </c>
      <c r="M188" s="1"/>
      <c r="N188" s="5">
        <f t="shared" si="51"/>
        <v>0.248461392043652</v>
      </c>
      <c r="O188" s="14"/>
      <c r="P188" s="1">
        <f>SUM(OSRRefP22_8x_0)</f>
        <v>393.54</v>
      </c>
      <c r="Q188" s="1"/>
      <c r="R188" s="5">
        <f t="shared" si="52"/>
        <v>5.4486115586740926E-4</v>
      </c>
      <c r="S188" s="1"/>
      <c r="T188" s="1">
        <f>SUM(OSRRefT22_8x_0)</f>
        <v>315.22000000000003</v>
      </c>
      <c r="U188" s="1"/>
      <c r="V188" s="5">
        <f t="shared" si="53"/>
        <v>3.9014238588096955E-4</v>
      </c>
      <c r="W188" s="1"/>
      <c r="X188" s="1">
        <f t="shared" si="54"/>
        <v>78.319999999999993</v>
      </c>
      <c r="Y188" s="1"/>
      <c r="Z188" s="5">
        <f t="shared" si="55"/>
        <v>0.248461392043652</v>
      </c>
    </row>
    <row r="189" spans="1:26" s="24" customFormat="1" hidden="1" outlineLevel="2" x14ac:dyDescent="0.25">
      <c r="A189" s="29"/>
      <c r="B189" s="11" t="str">
        <f>CONCATENATE("          ", "6277", " - ", "EMPLOYEE APPRECIATION")</f>
        <v xml:space="preserve">          6277 - EMPLOYEE APPRECIATION</v>
      </c>
      <c r="C189" s="11"/>
      <c r="D189" s="7">
        <v>393.54</v>
      </c>
      <c r="E189" s="2"/>
      <c r="F189" s="6">
        <f t="shared" si="48"/>
        <v>5.4486115586740926E-4</v>
      </c>
      <c r="G189" s="2"/>
      <c r="H189" s="7">
        <v>315.22000000000003</v>
      </c>
      <c r="I189" s="2"/>
      <c r="J189" s="6">
        <f t="shared" si="49"/>
        <v>3.9014238588096955E-4</v>
      </c>
      <c r="K189" s="2"/>
      <c r="L189" s="7">
        <f t="shared" si="50"/>
        <v>78.319999999999993</v>
      </c>
      <c r="M189" s="2"/>
      <c r="N189" s="6">
        <f t="shared" si="51"/>
        <v>0.248461392043652</v>
      </c>
      <c r="O189" s="11"/>
      <c r="P189" s="7">
        <v>393.54</v>
      </c>
      <c r="Q189" s="2"/>
      <c r="R189" s="6">
        <f t="shared" si="52"/>
        <v>5.4486115586740926E-4</v>
      </c>
      <c r="S189" s="2"/>
      <c r="T189" s="7">
        <v>315.22000000000003</v>
      </c>
      <c r="U189" s="2"/>
      <c r="V189" s="6">
        <f t="shared" si="53"/>
        <v>3.9014238588096955E-4</v>
      </c>
      <c r="W189" s="2"/>
      <c r="X189" s="7">
        <f t="shared" si="54"/>
        <v>78.319999999999993</v>
      </c>
      <c r="Y189" s="2"/>
      <c r="Z189" s="6">
        <f t="shared" si="55"/>
        <v>0.248461392043652</v>
      </c>
    </row>
    <row r="190" spans="1:26" s="28" customFormat="1" outlineLevel="1" collapsed="1" x14ac:dyDescent="0.25">
      <c r="A190" s="27"/>
      <c r="B190" s="14" t="str">
        <f>CONCATENATE("     ","Equipment Rental                                  ")</f>
        <v xml:space="preserve">     Equipment Rental                                  </v>
      </c>
      <c r="C190" s="14"/>
      <c r="D190" s="1">
        <f>SUM(OSRRefD22_9x_0)</f>
        <v>1296.9000000000001</v>
      </c>
      <c r="E190" s="1"/>
      <c r="F190" s="5">
        <f t="shared" si="48"/>
        <v>1.7955746126046732E-3</v>
      </c>
      <c r="G190" s="1"/>
      <c r="H190" s="1">
        <f>SUM(OSRRefH22_9x_0)</f>
        <v>3401.69</v>
      </c>
      <c r="I190" s="1"/>
      <c r="J190" s="5">
        <f t="shared" si="49"/>
        <v>4.2102133513972307E-3</v>
      </c>
      <c r="K190" s="1"/>
      <c r="L190" s="1">
        <f t="shared" si="50"/>
        <v>-2104.79</v>
      </c>
      <c r="M190" s="1"/>
      <c r="N190" s="5">
        <f t="shared" si="51"/>
        <v>-0.61874832803694635</v>
      </c>
      <c r="O190" s="14"/>
      <c r="P190" s="1">
        <f>SUM(OSRRefP22_9x_0)</f>
        <v>1296.9000000000001</v>
      </c>
      <c r="Q190" s="1"/>
      <c r="R190" s="5">
        <f t="shared" si="52"/>
        <v>1.7955746126046732E-3</v>
      </c>
      <c r="S190" s="1"/>
      <c r="T190" s="1">
        <f>SUM(OSRRefT22_9x_0)</f>
        <v>3401.69</v>
      </c>
      <c r="U190" s="1"/>
      <c r="V190" s="5">
        <f t="shared" si="53"/>
        <v>4.2102133513972307E-3</v>
      </c>
      <c r="W190" s="1"/>
      <c r="X190" s="1">
        <f t="shared" si="54"/>
        <v>-2104.79</v>
      </c>
      <c r="Y190" s="1"/>
      <c r="Z190" s="5">
        <f t="shared" si="55"/>
        <v>-0.61874832803694635</v>
      </c>
    </row>
    <row r="191" spans="1:26" s="24" customFormat="1" hidden="1" outlineLevel="2" x14ac:dyDescent="0.25">
      <c r="A191" s="29"/>
      <c r="B191" s="11" t="str">
        <f>CONCATENATE("          ", "6351", " - ", "EQUIPMENT RENTAL")</f>
        <v xml:space="preserve">          6351 - EQUIPMENT RENTAL</v>
      </c>
      <c r="C191" s="11"/>
      <c r="D191" s="7">
        <v>1296.9000000000001</v>
      </c>
      <c r="E191" s="2"/>
      <c r="F191" s="6">
        <f t="shared" si="48"/>
        <v>1.7955746126046732E-3</v>
      </c>
      <c r="G191" s="2"/>
      <c r="H191" s="7">
        <v>3401.69</v>
      </c>
      <c r="I191" s="2"/>
      <c r="J191" s="6">
        <f t="shared" si="49"/>
        <v>4.2102133513972307E-3</v>
      </c>
      <c r="K191" s="2"/>
      <c r="L191" s="7">
        <f t="shared" si="50"/>
        <v>-2104.79</v>
      </c>
      <c r="M191" s="2"/>
      <c r="N191" s="6">
        <f t="shared" si="51"/>
        <v>-0.61874832803694635</v>
      </c>
      <c r="O191" s="11"/>
      <c r="P191" s="7">
        <v>1296.9000000000001</v>
      </c>
      <c r="Q191" s="2"/>
      <c r="R191" s="6">
        <f t="shared" si="52"/>
        <v>1.7955746126046732E-3</v>
      </c>
      <c r="S191" s="2"/>
      <c r="T191" s="7">
        <v>3401.69</v>
      </c>
      <c r="U191" s="2"/>
      <c r="V191" s="6">
        <f t="shared" si="53"/>
        <v>4.2102133513972307E-3</v>
      </c>
      <c r="W191" s="2"/>
      <c r="X191" s="7">
        <f t="shared" si="54"/>
        <v>-2104.79</v>
      </c>
      <c r="Y191" s="2"/>
      <c r="Z191" s="6">
        <f t="shared" si="55"/>
        <v>-0.61874832803694635</v>
      </c>
    </row>
    <row r="192" spans="1:26" s="28" customFormat="1" outlineLevel="1" collapsed="1" x14ac:dyDescent="0.25">
      <c r="A192" s="27"/>
      <c r="B192" s="14" t="str">
        <f>CONCATENATE("     ","Freight out/Postage                               ")</f>
        <v xml:space="preserve">     Freight out/Postage                               </v>
      </c>
      <c r="C192" s="14"/>
      <c r="D192" s="1">
        <f>SUM(OSRRefD22_10x_0)</f>
        <v>-2231.83</v>
      </c>
      <c r="E192" s="1"/>
      <c r="F192" s="5">
        <f t="shared" si="48"/>
        <v>-3.0899971375198455E-3</v>
      </c>
      <c r="G192" s="1"/>
      <c r="H192" s="1">
        <f>SUM(OSRRefH22_10x_0)</f>
        <v>12.610000000000127</v>
      </c>
      <c r="I192" s="1"/>
      <c r="J192" s="5">
        <f t="shared" si="49"/>
        <v>1.5607180654650959E-5</v>
      </c>
      <c r="K192" s="1"/>
      <c r="L192" s="1">
        <f t="shared" si="50"/>
        <v>-2244.44</v>
      </c>
      <c r="M192" s="1"/>
      <c r="N192" s="5">
        <f t="shared" si="51"/>
        <v>-177.98889770023612</v>
      </c>
      <c r="O192" s="14"/>
      <c r="P192" s="1">
        <f>SUM(OSRRefP22_10x_0)</f>
        <v>-2231.83</v>
      </c>
      <c r="Q192" s="1"/>
      <c r="R192" s="5">
        <f t="shared" si="52"/>
        <v>-3.0899971375198455E-3</v>
      </c>
      <c r="S192" s="1"/>
      <c r="T192" s="1">
        <f>SUM(OSRRefT22_10x_0)</f>
        <v>12.610000000000127</v>
      </c>
      <c r="U192" s="1"/>
      <c r="V192" s="5">
        <f t="shared" si="53"/>
        <v>1.5607180654650959E-5</v>
      </c>
      <c r="W192" s="1"/>
      <c r="X192" s="1">
        <f t="shared" si="54"/>
        <v>-2244.44</v>
      </c>
      <c r="Y192" s="1"/>
      <c r="Z192" s="5">
        <f t="shared" si="55"/>
        <v>-177.98889770023612</v>
      </c>
    </row>
    <row r="193" spans="1:26" s="24" customFormat="1" hidden="1" outlineLevel="2" x14ac:dyDescent="0.25">
      <c r="A193" s="29"/>
      <c r="B193" s="11" t="str">
        <f>CONCATENATE("          ", "6305", " - ", "FREIGHT OUT")</f>
        <v xml:space="preserve">          6305 - FREIGHT OUT</v>
      </c>
      <c r="C193" s="11"/>
      <c r="D193" s="7">
        <v>1417.72</v>
      </c>
      <c r="E193" s="2"/>
      <c r="F193" s="6">
        <f t="shared" si="48"/>
        <v>1.9628514455870901E-3</v>
      </c>
      <c r="G193" s="2"/>
      <c r="H193" s="7">
        <v>2539.5100000000002</v>
      </c>
      <c r="I193" s="2"/>
      <c r="J193" s="6">
        <f t="shared" si="49"/>
        <v>3.1431079575172292E-3</v>
      </c>
      <c r="K193" s="2"/>
      <c r="L193" s="7">
        <f t="shared" si="50"/>
        <v>-1121.7900000000002</v>
      </c>
      <c r="M193" s="2"/>
      <c r="N193" s="6">
        <f t="shared" si="51"/>
        <v>-0.44173482285952803</v>
      </c>
      <c r="O193" s="11"/>
      <c r="P193" s="7">
        <v>1417.72</v>
      </c>
      <c r="Q193" s="2"/>
      <c r="R193" s="6">
        <f t="shared" si="52"/>
        <v>1.9628514455870901E-3</v>
      </c>
      <c r="S193" s="2"/>
      <c r="T193" s="7">
        <v>2539.5100000000002</v>
      </c>
      <c r="U193" s="2"/>
      <c r="V193" s="6">
        <f t="shared" si="53"/>
        <v>3.1431079575172292E-3</v>
      </c>
      <c r="W193" s="2"/>
      <c r="X193" s="7">
        <f t="shared" si="54"/>
        <v>-1121.7900000000002</v>
      </c>
      <c r="Y193" s="2"/>
      <c r="Z193" s="6">
        <f t="shared" si="55"/>
        <v>-0.44173482285952803</v>
      </c>
    </row>
    <row r="194" spans="1:26" s="24" customFormat="1" hidden="1" outlineLevel="2" x14ac:dyDescent="0.25">
      <c r="A194" s="29"/>
      <c r="B194" s="11" t="str">
        <f>CONCATENATE("          ", "6307", " - ", "POSTAGE")</f>
        <v xml:space="preserve">          6307 - POSTAGE</v>
      </c>
      <c r="C194" s="11"/>
      <c r="D194" s="7">
        <v>-3649.55</v>
      </c>
      <c r="E194" s="2"/>
      <c r="F194" s="6">
        <f t="shared" si="48"/>
        <v>-5.0528485831069364E-3</v>
      </c>
      <c r="G194" s="2"/>
      <c r="H194" s="7">
        <v>-2526.9</v>
      </c>
      <c r="I194" s="2"/>
      <c r="J194" s="6">
        <f t="shared" si="49"/>
        <v>-3.1275007768625782E-3</v>
      </c>
      <c r="K194" s="2"/>
      <c r="L194" s="7">
        <f t="shared" si="50"/>
        <v>-1122.6500000000001</v>
      </c>
      <c r="M194" s="2"/>
      <c r="N194" s="6">
        <f t="shared" si="51"/>
        <v>0.44427955202026198</v>
      </c>
      <c r="O194" s="11"/>
      <c r="P194" s="7">
        <v>-3649.55</v>
      </c>
      <c r="Q194" s="2"/>
      <c r="R194" s="6">
        <f t="shared" si="52"/>
        <v>-5.0528485831069364E-3</v>
      </c>
      <c r="S194" s="2"/>
      <c r="T194" s="7">
        <v>-2526.9</v>
      </c>
      <c r="U194" s="2"/>
      <c r="V194" s="6">
        <f t="shared" si="53"/>
        <v>-3.1275007768625782E-3</v>
      </c>
      <c r="W194" s="2"/>
      <c r="X194" s="7">
        <f t="shared" si="54"/>
        <v>-1122.6500000000001</v>
      </c>
      <c r="Y194" s="2"/>
      <c r="Z194" s="6">
        <f t="shared" si="55"/>
        <v>0.44427955202026198</v>
      </c>
    </row>
    <row r="195" spans="1:26" s="28" customFormat="1" outlineLevel="1" collapsed="1" x14ac:dyDescent="0.25">
      <c r="A195" s="27"/>
      <c r="B195" s="14" t="str">
        <f>CONCATENATE("     ","General                                           ")</f>
        <v xml:space="preserve">     General                                           </v>
      </c>
      <c r="C195" s="14"/>
      <c r="D195" s="1">
        <f>SUM(OSRRefD22_11x_0)</f>
        <v>776.18</v>
      </c>
      <c r="E195" s="1"/>
      <c r="F195" s="5">
        <f t="shared" ref="F195:F208" si="56">IF(D$12=0,0,D195/D$12)</f>
        <v>1.0746311225318028E-3</v>
      </c>
      <c r="G195" s="1"/>
      <c r="H195" s="1">
        <f>SUM(OSRRefH22_11x_0)</f>
        <v>-460.18</v>
      </c>
      <c r="I195" s="1"/>
      <c r="J195" s="5">
        <f t="shared" ref="J195:J208" si="57">IF(H$12=0,0,H195/H$12)</f>
        <v>-5.6955689085306941E-4</v>
      </c>
      <c r="K195" s="1"/>
      <c r="L195" s="1">
        <f t="shared" ref="L195:L208" si="58">+D195-H195</f>
        <v>1236.3599999999999</v>
      </c>
      <c r="M195" s="1"/>
      <c r="N195" s="5">
        <f t="shared" ref="N195:N208" si="59">IF(H195=0,0,L195/H195)</f>
        <v>-2.6866878178104217</v>
      </c>
      <c r="O195" s="14"/>
      <c r="P195" s="1">
        <f>SUM(OSRRefP22_11x_0)</f>
        <v>776.18</v>
      </c>
      <c r="Q195" s="1"/>
      <c r="R195" s="5">
        <f t="shared" ref="R195:R208" si="60">IF(P$12=0,0,P195/P$12)</f>
        <v>1.0746311225318028E-3</v>
      </c>
      <c r="S195" s="1"/>
      <c r="T195" s="1">
        <f>SUM(OSRRefT22_11x_0)</f>
        <v>-460.18</v>
      </c>
      <c r="U195" s="1"/>
      <c r="V195" s="5">
        <f t="shared" ref="V195:V208" si="61">IF(T$12=0,0,T195/T$12)</f>
        <v>-5.6955689085306941E-4</v>
      </c>
      <c r="W195" s="1"/>
      <c r="X195" s="1">
        <f t="shared" ref="X195:X208" si="62">+P195-T195</f>
        <v>1236.3599999999999</v>
      </c>
      <c r="Y195" s="1"/>
      <c r="Z195" s="5">
        <f t="shared" ref="Z195:Z208" si="63">IF(T195=0,0,X195/T195)</f>
        <v>-2.6866878178104217</v>
      </c>
    </row>
    <row r="196" spans="1:26" s="24" customFormat="1" hidden="1" outlineLevel="2" x14ac:dyDescent="0.25">
      <c r="A196" s="29"/>
      <c r="B196" s="11" t="str">
        <f>CONCATENATE("          ", "6279", " - ", "GENERAL EXPENSE")</f>
        <v xml:space="preserve">          6279 - GENERAL EXPENSE</v>
      </c>
      <c r="C196" s="11"/>
      <c r="D196" s="7">
        <v>776.18</v>
      </c>
      <c r="E196" s="2"/>
      <c r="F196" s="6">
        <f t="shared" si="56"/>
        <v>1.0746311225318028E-3</v>
      </c>
      <c r="G196" s="2"/>
      <c r="H196" s="7">
        <v>-460.18</v>
      </c>
      <c r="I196" s="2"/>
      <c r="J196" s="6">
        <f t="shared" si="57"/>
        <v>-5.6955689085306941E-4</v>
      </c>
      <c r="K196" s="2"/>
      <c r="L196" s="7">
        <f t="shared" si="58"/>
        <v>1236.3599999999999</v>
      </c>
      <c r="M196" s="2"/>
      <c r="N196" s="6">
        <f t="shared" si="59"/>
        <v>-2.6866878178104217</v>
      </c>
      <c r="O196" s="11"/>
      <c r="P196" s="7">
        <v>776.18</v>
      </c>
      <c r="Q196" s="2"/>
      <c r="R196" s="6">
        <f t="shared" si="60"/>
        <v>1.0746311225318028E-3</v>
      </c>
      <c r="S196" s="2"/>
      <c r="T196" s="7">
        <v>-460.18</v>
      </c>
      <c r="U196" s="2"/>
      <c r="V196" s="6">
        <f t="shared" si="61"/>
        <v>-5.6955689085306941E-4</v>
      </c>
      <c r="W196" s="2"/>
      <c r="X196" s="7">
        <f t="shared" si="62"/>
        <v>1236.3599999999999</v>
      </c>
      <c r="Y196" s="2"/>
      <c r="Z196" s="6">
        <f t="shared" si="63"/>
        <v>-2.6866878178104217</v>
      </c>
    </row>
    <row r="197" spans="1:26" s="28" customFormat="1" outlineLevel="1" collapsed="1" x14ac:dyDescent="0.25">
      <c r="A197" s="27"/>
      <c r="B197" s="14" t="str">
        <f>CONCATENATE("     ","Insurance                                         ")</f>
        <v xml:space="preserve">     Insurance                                         </v>
      </c>
      <c r="C197" s="14"/>
      <c r="D197" s="1">
        <f>SUM(OSRRefD22_12x_0)</f>
        <v>4044.74</v>
      </c>
      <c r="E197" s="1"/>
      <c r="F197" s="5">
        <f t="shared" si="56"/>
        <v>5.5999941850463607E-3</v>
      </c>
      <c r="G197" s="1"/>
      <c r="H197" s="1">
        <f>SUM(OSRRefH22_12x_0)</f>
        <v>3809.97</v>
      </c>
      <c r="I197" s="1"/>
      <c r="J197" s="5">
        <f t="shared" si="57"/>
        <v>4.7155345026804055E-3</v>
      </c>
      <c r="K197" s="1"/>
      <c r="L197" s="1">
        <f t="shared" si="58"/>
        <v>234.76999999999998</v>
      </c>
      <c r="M197" s="1"/>
      <c r="N197" s="5">
        <f t="shared" si="59"/>
        <v>6.1619907768302638E-2</v>
      </c>
      <c r="O197" s="14"/>
      <c r="P197" s="1">
        <f>SUM(OSRRefP22_12x_0)</f>
        <v>4044.74</v>
      </c>
      <c r="Q197" s="1"/>
      <c r="R197" s="5">
        <f t="shared" si="60"/>
        <v>5.5999941850463607E-3</v>
      </c>
      <c r="S197" s="1"/>
      <c r="T197" s="1">
        <f>SUM(OSRRefT22_12x_0)</f>
        <v>3809.97</v>
      </c>
      <c r="U197" s="1"/>
      <c r="V197" s="5">
        <f t="shared" si="61"/>
        <v>4.7155345026804055E-3</v>
      </c>
      <c r="W197" s="1"/>
      <c r="X197" s="1">
        <f t="shared" si="62"/>
        <v>234.76999999999998</v>
      </c>
      <c r="Y197" s="1"/>
      <c r="Z197" s="5">
        <f t="shared" si="63"/>
        <v>6.1619907768302638E-2</v>
      </c>
    </row>
    <row r="198" spans="1:26" s="24" customFormat="1" hidden="1" outlineLevel="2" x14ac:dyDescent="0.25">
      <c r="A198" s="29"/>
      <c r="B198" s="11" t="str">
        <f>CONCATENATE("          ", "6314", " - ", "LIABILITY INSURANCE")</f>
        <v xml:space="preserve">          6314 - LIABILITY INSURANCE</v>
      </c>
      <c r="C198" s="11"/>
      <c r="D198" s="7">
        <v>4044.74</v>
      </c>
      <c r="E198" s="2"/>
      <c r="F198" s="6">
        <f t="shared" si="56"/>
        <v>5.5999941850463607E-3</v>
      </c>
      <c r="G198" s="2"/>
      <c r="H198" s="7">
        <v>3809.97</v>
      </c>
      <c r="I198" s="2"/>
      <c r="J198" s="6">
        <f t="shared" si="57"/>
        <v>4.7155345026804055E-3</v>
      </c>
      <c r="K198" s="2"/>
      <c r="L198" s="7">
        <f t="shared" si="58"/>
        <v>234.76999999999998</v>
      </c>
      <c r="M198" s="2"/>
      <c r="N198" s="6">
        <f t="shared" si="59"/>
        <v>6.1619907768302638E-2</v>
      </c>
      <c r="O198" s="11"/>
      <c r="P198" s="7">
        <v>4044.74</v>
      </c>
      <c r="Q198" s="2"/>
      <c r="R198" s="6">
        <f t="shared" si="60"/>
        <v>5.5999941850463607E-3</v>
      </c>
      <c r="S198" s="2"/>
      <c r="T198" s="7">
        <v>3809.97</v>
      </c>
      <c r="U198" s="2"/>
      <c r="V198" s="6">
        <f t="shared" si="61"/>
        <v>4.7155345026804055E-3</v>
      </c>
      <c r="W198" s="2"/>
      <c r="X198" s="7">
        <f t="shared" si="62"/>
        <v>234.76999999999998</v>
      </c>
      <c r="Y198" s="2"/>
      <c r="Z198" s="6">
        <f t="shared" si="63"/>
        <v>6.1619907768302638E-2</v>
      </c>
    </row>
    <row r="199" spans="1:26" s="28" customFormat="1" outlineLevel="1" collapsed="1" x14ac:dyDescent="0.25">
      <c r="A199" s="27"/>
      <c r="B199" s="14" t="str">
        <f>CONCATENATE("     ","Inventory Adjustment                              ")</f>
        <v xml:space="preserve">     Inventory Adjustment                              </v>
      </c>
      <c r="C199" s="14"/>
      <c r="D199" s="1">
        <f>SUM(OSRRefD22_13x_0)</f>
        <v>4150</v>
      </c>
      <c r="E199" s="1"/>
      <c r="F199" s="5">
        <f t="shared" si="56"/>
        <v>5.7457279993132805E-3</v>
      </c>
      <c r="G199" s="1"/>
      <c r="H199" s="1">
        <f>SUM(OSRRefH22_13x_0)</f>
        <v>10000</v>
      </c>
      <c r="I199" s="1"/>
      <c r="J199" s="5">
        <f t="shared" si="57"/>
        <v>1.237682843350579E-2</v>
      </c>
      <c r="K199" s="1"/>
      <c r="L199" s="1">
        <f t="shared" si="58"/>
        <v>-5850</v>
      </c>
      <c r="M199" s="1"/>
      <c r="N199" s="5">
        <f t="shared" si="59"/>
        <v>-0.58499999999999996</v>
      </c>
      <c r="O199" s="14"/>
      <c r="P199" s="1">
        <f>SUM(OSRRefP22_13x_0)</f>
        <v>4150</v>
      </c>
      <c r="Q199" s="1"/>
      <c r="R199" s="5">
        <f t="shared" si="60"/>
        <v>5.7457279993132805E-3</v>
      </c>
      <c r="S199" s="1"/>
      <c r="T199" s="1">
        <f>SUM(OSRRefT22_13x_0)</f>
        <v>10000</v>
      </c>
      <c r="U199" s="1"/>
      <c r="V199" s="5">
        <f t="shared" si="61"/>
        <v>1.237682843350579E-2</v>
      </c>
      <c r="W199" s="1"/>
      <c r="X199" s="1">
        <f t="shared" si="62"/>
        <v>-5850</v>
      </c>
      <c r="Y199" s="1"/>
      <c r="Z199" s="5">
        <f t="shared" si="63"/>
        <v>-0.58499999999999996</v>
      </c>
    </row>
    <row r="200" spans="1:26" s="24" customFormat="1" hidden="1" outlineLevel="2" x14ac:dyDescent="0.25">
      <c r="A200" s="29"/>
      <c r="B200" s="11" t="str">
        <f>CONCATENATE("          ", "6408", " - ", "INVENTORY ADJUSTMENT")</f>
        <v xml:space="preserve">          6408 - INVENTORY ADJUSTMENT</v>
      </c>
      <c r="C200" s="11"/>
      <c r="D200" s="7">
        <v>4150</v>
      </c>
      <c r="E200" s="2"/>
      <c r="F200" s="6">
        <f t="shared" si="56"/>
        <v>5.7457279993132805E-3</v>
      </c>
      <c r="G200" s="2"/>
      <c r="H200" s="7">
        <v>10000</v>
      </c>
      <c r="I200" s="2"/>
      <c r="J200" s="6">
        <f t="shared" si="57"/>
        <v>1.237682843350579E-2</v>
      </c>
      <c r="K200" s="2"/>
      <c r="L200" s="7">
        <f t="shared" si="58"/>
        <v>-5850</v>
      </c>
      <c r="M200" s="2"/>
      <c r="N200" s="6">
        <f t="shared" si="59"/>
        <v>-0.58499999999999996</v>
      </c>
      <c r="O200" s="11"/>
      <c r="P200" s="7">
        <v>4150</v>
      </c>
      <c r="Q200" s="2"/>
      <c r="R200" s="6">
        <f t="shared" si="60"/>
        <v>5.7457279993132805E-3</v>
      </c>
      <c r="S200" s="2"/>
      <c r="T200" s="7">
        <v>10000</v>
      </c>
      <c r="U200" s="2"/>
      <c r="V200" s="6">
        <f t="shared" si="61"/>
        <v>1.237682843350579E-2</v>
      </c>
      <c r="W200" s="2"/>
      <c r="X200" s="7">
        <f t="shared" si="62"/>
        <v>-5850</v>
      </c>
      <c r="Y200" s="2"/>
      <c r="Z200" s="6">
        <f t="shared" si="63"/>
        <v>-0.58499999999999996</v>
      </c>
    </row>
    <row r="201" spans="1:26" s="28" customFormat="1" outlineLevel="1" collapsed="1" x14ac:dyDescent="0.25">
      <c r="A201" s="27"/>
      <c r="B201" s="14" t="str">
        <f>CONCATENATE("     ","Professional Services                             ")</f>
        <v xml:space="preserve">     Professional Services                             </v>
      </c>
      <c r="C201" s="14"/>
      <c r="D201" s="1">
        <f>SUM(OSRRefD22_14x_0)</f>
        <v>6158.41</v>
      </c>
      <c r="E201" s="1"/>
      <c r="F201" s="5">
        <f t="shared" si="56"/>
        <v>8.526397293554434E-3</v>
      </c>
      <c r="G201" s="1"/>
      <c r="H201" s="1">
        <f>SUM(OSRRefH22_14x_0)</f>
        <v>8276.43</v>
      </c>
      <c r="I201" s="1"/>
      <c r="J201" s="5">
        <f t="shared" si="57"/>
        <v>1.0243595415192033E-2</v>
      </c>
      <c r="K201" s="1"/>
      <c r="L201" s="1">
        <f t="shared" si="58"/>
        <v>-2118.0200000000004</v>
      </c>
      <c r="M201" s="1"/>
      <c r="N201" s="5">
        <f t="shared" si="59"/>
        <v>-0.25590985485287743</v>
      </c>
      <c r="O201" s="14"/>
      <c r="P201" s="1">
        <f>SUM(OSRRefP22_14x_0)</f>
        <v>6158.41</v>
      </c>
      <c r="Q201" s="1"/>
      <c r="R201" s="5">
        <f t="shared" si="60"/>
        <v>8.526397293554434E-3</v>
      </c>
      <c r="S201" s="1"/>
      <c r="T201" s="1">
        <f>SUM(OSRRefT22_14x_0)</f>
        <v>8276.43</v>
      </c>
      <c r="U201" s="1"/>
      <c r="V201" s="5">
        <f t="shared" si="61"/>
        <v>1.0243595415192033E-2</v>
      </c>
      <c r="W201" s="1"/>
      <c r="X201" s="1">
        <f t="shared" si="62"/>
        <v>-2118.0200000000004</v>
      </c>
      <c r="Y201" s="1"/>
      <c r="Z201" s="5">
        <f t="shared" si="63"/>
        <v>-0.25590985485287743</v>
      </c>
    </row>
    <row r="202" spans="1:26" s="24" customFormat="1" hidden="1" outlineLevel="2" x14ac:dyDescent="0.25">
      <c r="A202" s="29"/>
      <c r="B202" s="11" t="str">
        <f>CONCATENATE("          ", "6336", " - ", "PROFESSIONAL SERVICES")</f>
        <v xml:space="preserve">          6336 - PROFESSIONAL SERVICES</v>
      </c>
      <c r="C202" s="11"/>
      <c r="D202" s="7">
        <v>6158.41</v>
      </c>
      <c r="E202" s="2"/>
      <c r="F202" s="6">
        <f t="shared" si="56"/>
        <v>8.526397293554434E-3</v>
      </c>
      <c r="G202" s="2"/>
      <c r="H202" s="7">
        <v>8276.43</v>
      </c>
      <c r="I202" s="2"/>
      <c r="J202" s="6">
        <f t="shared" si="57"/>
        <v>1.0243595415192033E-2</v>
      </c>
      <c r="K202" s="2"/>
      <c r="L202" s="7">
        <f t="shared" si="58"/>
        <v>-2118.0200000000004</v>
      </c>
      <c r="M202" s="2"/>
      <c r="N202" s="6">
        <f t="shared" si="59"/>
        <v>-0.25590985485287743</v>
      </c>
      <c r="O202" s="11"/>
      <c r="P202" s="7">
        <v>6158.41</v>
      </c>
      <c r="Q202" s="2"/>
      <c r="R202" s="6">
        <f t="shared" si="60"/>
        <v>8.526397293554434E-3</v>
      </c>
      <c r="S202" s="2"/>
      <c r="T202" s="7">
        <v>8276.43</v>
      </c>
      <c r="U202" s="2"/>
      <c r="V202" s="6">
        <f t="shared" si="61"/>
        <v>1.0243595415192033E-2</v>
      </c>
      <c r="W202" s="2"/>
      <c r="X202" s="7">
        <f t="shared" si="62"/>
        <v>-2118.0200000000004</v>
      </c>
      <c r="Y202" s="2"/>
      <c r="Z202" s="6">
        <f t="shared" si="63"/>
        <v>-0.25590985485287743</v>
      </c>
    </row>
    <row r="203" spans="1:26" s="28" customFormat="1" outlineLevel="1" collapsed="1" x14ac:dyDescent="0.25">
      <c r="A203" s="27"/>
      <c r="B203" s="14" t="str">
        <f>CONCATENATE("     ","Rent                                              ")</f>
        <v xml:space="preserve">     Rent                                              </v>
      </c>
      <c r="C203" s="14"/>
      <c r="D203" s="1">
        <f>SUM(OSRRefD22_15x_0)</f>
        <v>6100</v>
      </c>
      <c r="E203" s="1"/>
      <c r="F203" s="5">
        <f t="shared" si="56"/>
        <v>8.4455279026050632E-3</v>
      </c>
      <c r="G203" s="1"/>
      <c r="H203" s="1">
        <f>SUM(OSRRefH22_15x_0)</f>
        <v>6201.08</v>
      </c>
      <c r="I203" s="1"/>
      <c r="J203" s="5">
        <f t="shared" si="57"/>
        <v>7.6749703262444079E-3</v>
      </c>
      <c r="K203" s="1"/>
      <c r="L203" s="1">
        <f t="shared" si="58"/>
        <v>-101.07999999999993</v>
      </c>
      <c r="M203" s="1"/>
      <c r="N203" s="5">
        <f t="shared" si="59"/>
        <v>-1.6300386384307239E-2</v>
      </c>
      <c r="O203" s="14"/>
      <c r="P203" s="1">
        <f>SUM(OSRRefP22_15x_0)</f>
        <v>6100</v>
      </c>
      <c r="Q203" s="1"/>
      <c r="R203" s="5">
        <f t="shared" si="60"/>
        <v>8.4455279026050632E-3</v>
      </c>
      <c r="S203" s="1"/>
      <c r="T203" s="1">
        <f>SUM(OSRRefT22_15x_0)</f>
        <v>6201.08</v>
      </c>
      <c r="U203" s="1"/>
      <c r="V203" s="5">
        <f t="shared" si="61"/>
        <v>7.6749703262444079E-3</v>
      </c>
      <c r="W203" s="1"/>
      <c r="X203" s="1">
        <f t="shared" si="62"/>
        <v>-101.07999999999993</v>
      </c>
      <c r="Y203" s="1"/>
      <c r="Z203" s="5">
        <f t="shared" si="63"/>
        <v>-1.6300386384307239E-2</v>
      </c>
    </row>
    <row r="204" spans="1:26" s="24" customFormat="1" hidden="1" outlineLevel="2" x14ac:dyDescent="0.25">
      <c r="A204" s="29"/>
      <c r="B204" s="11" t="str">
        <f>CONCATENATE("          ", "6273", " - ", "RENT")</f>
        <v xml:space="preserve">          6273 - RENT</v>
      </c>
      <c r="C204" s="11"/>
      <c r="D204" s="7">
        <v>6100</v>
      </c>
      <c r="E204" s="2"/>
      <c r="F204" s="6">
        <f t="shared" si="56"/>
        <v>8.4455279026050632E-3</v>
      </c>
      <c r="G204" s="2"/>
      <c r="H204" s="7">
        <v>6201.08</v>
      </c>
      <c r="I204" s="2"/>
      <c r="J204" s="6">
        <f t="shared" si="57"/>
        <v>7.6749703262444079E-3</v>
      </c>
      <c r="K204" s="2"/>
      <c r="L204" s="7">
        <f t="shared" si="58"/>
        <v>-101.07999999999993</v>
      </c>
      <c r="M204" s="2"/>
      <c r="N204" s="6">
        <f t="shared" si="59"/>
        <v>-1.6300386384307239E-2</v>
      </c>
      <c r="O204" s="11"/>
      <c r="P204" s="7">
        <v>6100</v>
      </c>
      <c r="Q204" s="2"/>
      <c r="R204" s="6">
        <f t="shared" si="60"/>
        <v>8.4455279026050632E-3</v>
      </c>
      <c r="S204" s="2"/>
      <c r="T204" s="7">
        <v>6201.08</v>
      </c>
      <c r="U204" s="2"/>
      <c r="V204" s="6">
        <f t="shared" si="61"/>
        <v>7.6749703262444079E-3</v>
      </c>
      <c r="W204" s="2"/>
      <c r="X204" s="7">
        <f t="shared" si="62"/>
        <v>-101.07999999999993</v>
      </c>
      <c r="Y204" s="2"/>
      <c r="Z204" s="6">
        <f t="shared" si="63"/>
        <v>-1.6300386384307239E-2</v>
      </c>
    </row>
    <row r="205" spans="1:26" s="28" customFormat="1" outlineLevel="1" collapsed="1" x14ac:dyDescent="0.25">
      <c r="A205" s="27"/>
      <c r="B205" s="14" t="str">
        <f>CONCATENATE("     ","Repair and Maintenance                            ")</f>
        <v xml:space="preserve">     Repair and Maintenance                            </v>
      </c>
      <c r="C205" s="14"/>
      <c r="D205" s="1">
        <f>SUM(OSRRefD22_16x_0)</f>
        <v>22745.309999999998</v>
      </c>
      <c r="E205" s="1"/>
      <c r="F205" s="5">
        <f t="shared" si="56"/>
        <v>3.1491172173508518E-2</v>
      </c>
      <c r="G205" s="1"/>
      <c r="H205" s="1">
        <f>SUM(OSRRefH22_16x_0)</f>
        <v>57456.07</v>
      </c>
      <c r="I205" s="1"/>
      <c r="J205" s="5">
        <f t="shared" si="57"/>
        <v>7.1112392085349904E-2</v>
      </c>
      <c r="K205" s="1"/>
      <c r="L205" s="1">
        <f t="shared" si="58"/>
        <v>-34710.76</v>
      </c>
      <c r="M205" s="1"/>
      <c r="N205" s="5">
        <f t="shared" si="59"/>
        <v>-0.60412694428978531</v>
      </c>
      <c r="O205" s="14"/>
      <c r="P205" s="1">
        <f>SUM(OSRRefP22_16x_0)</f>
        <v>22745.309999999998</v>
      </c>
      <c r="Q205" s="1"/>
      <c r="R205" s="5">
        <f t="shared" si="60"/>
        <v>3.1491172173508518E-2</v>
      </c>
      <c r="S205" s="1"/>
      <c r="T205" s="1">
        <f>SUM(OSRRefT22_16x_0)</f>
        <v>57456.07</v>
      </c>
      <c r="U205" s="1"/>
      <c r="V205" s="5">
        <f t="shared" si="61"/>
        <v>7.1112392085349904E-2</v>
      </c>
      <c r="W205" s="1"/>
      <c r="X205" s="1">
        <f t="shared" si="62"/>
        <v>-34710.76</v>
      </c>
      <c r="Y205" s="1"/>
      <c r="Z205" s="5">
        <f t="shared" si="63"/>
        <v>-0.60412694428978531</v>
      </c>
    </row>
    <row r="206" spans="1:26" s="24" customFormat="1" hidden="1" outlineLevel="2" x14ac:dyDescent="0.25">
      <c r="A206" s="29"/>
      <c r="B206" s="11" t="str">
        <f>CONCATENATE("          ", "6371", " - ", "COMPUTER SOFTWARE MAINTENANCE")</f>
        <v xml:space="preserve">          6371 - COMPUTER SOFTWARE MAINTENANCE</v>
      </c>
      <c r="C206" s="11"/>
      <c r="D206" s="7">
        <v>601</v>
      </c>
      <c r="E206" s="2"/>
      <c r="F206" s="6">
        <f t="shared" si="56"/>
        <v>8.3209217532223653E-4</v>
      </c>
      <c r="G206" s="2"/>
      <c r="H206" s="7">
        <v>42330.579999999994</v>
      </c>
      <c r="I206" s="2"/>
      <c r="J206" s="6">
        <f t="shared" si="57"/>
        <v>5.2391832615079147E-2</v>
      </c>
      <c r="K206" s="2"/>
      <c r="L206" s="7">
        <f t="shared" si="58"/>
        <v>-41729.579999999994</v>
      </c>
      <c r="M206" s="2"/>
      <c r="N206" s="6">
        <f t="shared" si="59"/>
        <v>-0.98580222619203417</v>
      </c>
      <c r="O206" s="11"/>
      <c r="P206" s="7">
        <v>601</v>
      </c>
      <c r="Q206" s="2"/>
      <c r="R206" s="6">
        <f t="shared" si="60"/>
        <v>8.3209217532223653E-4</v>
      </c>
      <c r="S206" s="2"/>
      <c r="T206" s="7">
        <v>42330.579999999994</v>
      </c>
      <c r="U206" s="2"/>
      <c r="V206" s="6">
        <f t="shared" si="61"/>
        <v>5.2391832615079147E-2</v>
      </c>
      <c r="W206" s="2"/>
      <c r="X206" s="7">
        <f t="shared" si="62"/>
        <v>-41729.579999999994</v>
      </c>
      <c r="Y206" s="2"/>
      <c r="Z206" s="6">
        <f t="shared" si="63"/>
        <v>-0.98580222619203417</v>
      </c>
    </row>
    <row r="207" spans="1:26" s="24" customFormat="1" hidden="1" outlineLevel="2" x14ac:dyDescent="0.25">
      <c r="A207" s="29"/>
      <c r="B207" s="11" t="str">
        <f>CONCATENATE("          ", "6373", " - ", "MAINTENANCE CONTRACTS")</f>
        <v xml:space="preserve">          6373 - MAINTENANCE CONTRACTS</v>
      </c>
      <c r="C207" s="11"/>
      <c r="D207" s="7">
        <v>6478.86</v>
      </c>
      <c r="E207" s="2"/>
      <c r="F207" s="6">
        <f t="shared" si="56"/>
        <v>8.9700644109953834E-3</v>
      </c>
      <c r="G207" s="2"/>
      <c r="H207" s="7">
        <v>10121.94</v>
      </c>
      <c r="I207" s="2"/>
      <c r="J207" s="6">
        <f t="shared" si="57"/>
        <v>1.2527751479423961E-2</v>
      </c>
      <c r="K207" s="2"/>
      <c r="L207" s="7">
        <f t="shared" si="58"/>
        <v>-3643.0800000000008</v>
      </c>
      <c r="M207" s="2"/>
      <c r="N207" s="6">
        <f t="shared" si="59"/>
        <v>-0.35991914593447505</v>
      </c>
      <c r="O207" s="11"/>
      <c r="P207" s="7">
        <v>6478.86</v>
      </c>
      <c r="Q207" s="2"/>
      <c r="R207" s="6">
        <f t="shared" si="60"/>
        <v>8.9700644109953834E-3</v>
      </c>
      <c r="S207" s="2"/>
      <c r="T207" s="7">
        <v>10121.94</v>
      </c>
      <c r="U207" s="2"/>
      <c r="V207" s="6">
        <f t="shared" si="61"/>
        <v>1.2527751479423961E-2</v>
      </c>
      <c r="W207" s="2"/>
      <c r="X207" s="7">
        <f t="shared" si="62"/>
        <v>-3643.0800000000008</v>
      </c>
      <c r="Y207" s="2"/>
      <c r="Z207" s="6">
        <f t="shared" si="63"/>
        <v>-0.35991914593447505</v>
      </c>
    </row>
    <row r="208" spans="1:26" s="24" customFormat="1" hidden="1" outlineLevel="2" x14ac:dyDescent="0.25">
      <c r="A208" s="29"/>
      <c r="B208" s="11" t="str">
        <f>CONCATENATE("          ", "6375", " - ", "OUTSIDE REPAIRS &amp; MAINTENANCE")</f>
        <v xml:space="preserve">          6375 - OUTSIDE REPAIRS &amp; MAINTENANCE</v>
      </c>
      <c r="C208" s="11"/>
      <c r="D208" s="7">
        <v>15665.449999999999</v>
      </c>
      <c r="E208" s="2"/>
      <c r="F208" s="6">
        <f t="shared" si="56"/>
        <v>2.1689015587190899E-2</v>
      </c>
      <c r="G208" s="2"/>
      <c r="H208" s="7">
        <v>5003.55</v>
      </c>
      <c r="I208" s="2"/>
      <c r="J208" s="6">
        <f t="shared" si="57"/>
        <v>6.1928079908467899E-3</v>
      </c>
      <c r="K208" s="2"/>
      <c r="L208" s="7">
        <f t="shared" si="58"/>
        <v>10661.899999999998</v>
      </c>
      <c r="M208" s="2"/>
      <c r="N208" s="6">
        <f t="shared" si="59"/>
        <v>2.1308670843700965</v>
      </c>
      <c r="O208" s="11"/>
      <c r="P208" s="7">
        <v>15665.449999999999</v>
      </c>
      <c r="Q208" s="2"/>
      <c r="R208" s="6">
        <f t="shared" si="60"/>
        <v>2.1689015587190899E-2</v>
      </c>
      <c r="S208" s="2"/>
      <c r="T208" s="7">
        <v>5003.55</v>
      </c>
      <c r="U208" s="2"/>
      <c r="V208" s="6">
        <f t="shared" si="61"/>
        <v>6.1928079908467899E-3</v>
      </c>
      <c r="W208" s="2"/>
      <c r="X208" s="7">
        <f t="shared" si="62"/>
        <v>10661.899999999998</v>
      </c>
      <c r="Y208" s="2"/>
      <c r="Z208" s="6">
        <f t="shared" si="63"/>
        <v>2.1308670843700965</v>
      </c>
    </row>
    <row r="209" spans="1:26" s="28" customFormat="1" outlineLevel="1" collapsed="1" x14ac:dyDescent="0.25">
      <c r="A209" s="27"/>
      <c r="B209" s="14" t="str">
        <f>CONCATENATE("     ","Royalty &amp; Commissions                             ")</f>
        <v xml:space="preserve">     Royalty &amp; Commissions                             </v>
      </c>
      <c r="C209" s="14"/>
      <c r="D209" s="1">
        <f>SUM(OSRRefD22_17x_0)</f>
        <v>5086.05</v>
      </c>
      <c r="E209" s="1"/>
      <c r="F209" s="5">
        <f t="shared" ref="F209:F212" si="64">IF(D$12=0,0,D209/D$12)</f>
        <v>7.0417011785318829E-3</v>
      </c>
      <c r="G209" s="1"/>
      <c r="H209" s="1">
        <f>SUM(OSRRefH22_17x_0)</f>
        <v>7337.2300000000005</v>
      </c>
      <c r="I209" s="1"/>
      <c r="J209" s="5">
        <f t="shared" ref="J209:J212" si="65">IF(H$12=0,0,H209/H$12)</f>
        <v>9.0811636887171698E-3</v>
      </c>
      <c r="K209" s="1"/>
      <c r="L209" s="1">
        <f t="shared" ref="L209:L212" si="66">+D209-H209</f>
        <v>-2251.1800000000003</v>
      </c>
      <c r="M209" s="1"/>
      <c r="N209" s="5">
        <f t="shared" ref="N209:N212" si="67">IF(H209=0,0,L209/H209)</f>
        <v>-0.30681606001174833</v>
      </c>
      <c r="O209" s="14"/>
      <c r="P209" s="1">
        <f>SUM(OSRRefP22_17x_0)</f>
        <v>5086.05</v>
      </c>
      <c r="Q209" s="1"/>
      <c r="R209" s="5">
        <f t="shared" ref="R209:R212" si="68">IF(P$12=0,0,P209/P$12)</f>
        <v>7.0417011785318829E-3</v>
      </c>
      <c r="S209" s="1"/>
      <c r="T209" s="1">
        <f>SUM(OSRRefT22_17x_0)</f>
        <v>7337.2300000000005</v>
      </c>
      <c r="U209" s="1"/>
      <c r="V209" s="5">
        <f t="shared" ref="V209:V212" si="69">IF(T$12=0,0,T209/T$12)</f>
        <v>9.0811636887171698E-3</v>
      </c>
      <c r="W209" s="1"/>
      <c r="X209" s="1">
        <f t="shared" ref="X209:X212" si="70">+P209-T209</f>
        <v>-2251.1800000000003</v>
      </c>
      <c r="Y209" s="1"/>
      <c r="Z209" s="5">
        <f t="shared" ref="Z209:Z212" si="71">IF(T209=0,0,X209/T209)</f>
        <v>-0.30681606001174833</v>
      </c>
    </row>
    <row r="210" spans="1:26" s="24" customFormat="1" hidden="1" outlineLevel="2" x14ac:dyDescent="0.25">
      <c r="A210" s="29"/>
      <c r="B210" s="11" t="str">
        <f>CONCATENATE("          ", "6253", " - ", "ROYALTY DUE ATHLETICS-LRG")</f>
        <v xml:space="preserve">          6253 - ROYALTY DUE ATHLETICS-LRG</v>
      </c>
      <c r="C210" s="11"/>
      <c r="D210" s="7">
        <v>4366.95</v>
      </c>
      <c r="E210" s="2"/>
      <c r="F210" s="6">
        <f t="shared" si="64"/>
        <v>6.0460980449641277E-3</v>
      </c>
      <c r="G210" s="2"/>
      <c r="H210" s="7">
        <v>6645.39</v>
      </c>
      <c r="I210" s="2"/>
      <c r="J210" s="6">
        <f t="shared" si="65"/>
        <v>8.2248851903735046E-3</v>
      </c>
      <c r="K210" s="2"/>
      <c r="L210" s="7">
        <f t="shared" si="66"/>
        <v>-2278.4400000000005</v>
      </c>
      <c r="M210" s="2"/>
      <c r="N210" s="6">
        <f t="shared" si="67"/>
        <v>-0.34286023845101649</v>
      </c>
      <c r="O210" s="11"/>
      <c r="P210" s="7">
        <v>4366.95</v>
      </c>
      <c r="Q210" s="2"/>
      <c r="R210" s="6">
        <f t="shared" si="68"/>
        <v>6.0460980449641277E-3</v>
      </c>
      <c r="S210" s="2"/>
      <c r="T210" s="7">
        <v>6645.39</v>
      </c>
      <c r="U210" s="2"/>
      <c r="V210" s="6">
        <f t="shared" si="69"/>
        <v>8.2248851903735046E-3</v>
      </c>
      <c r="W210" s="2"/>
      <c r="X210" s="7">
        <f t="shared" si="70"/>
        <v>-2278.4400000000005</v>
      </c>
      <c r="Y210" s="2"/>
      <c r="Z210" s="6">
        <f t="shared" si="71"/>
        <v>-0.34286023845101649</v>
      </c>
    </row>
    <row r="211" spans="1:26" s="24" customFormat="1" hidden="1" outlineLevel="2" x14ac:dyDescent="0.25">
      <c r="A211" s="29"/>
      <c r="B211" s="11" t="str">
        <f>CONCATENATE("          ", "6254", " - ", "ROYALTY &amp; COMMISSIONS")</f>
        <v xml:space="preserve">          6254 - ROYALTY &amp; COMMISSIONS</v>
      </c>
      <c r="C211" s="11"/>
      <c r="D211" s="7">
        <v>114.09</v>
      </c>
      <c r="E211" s="2"/>
      <c r="F211" s="6">
        <f t="shared" si="64"/>
        <v>1.5795906203413306E-4</v>
      </c>
      <c r="G211" s="2"/>
      <c r="H211" s="7"/>
      <c r="I211" s="2"/>
      <c r="J211" s="6">
        <f t="shared" si="65"/>
        <v>0</v>
      </c>
      <c r="K211" s="2"/>
      <c r="L211" s="7">
        <f t="shared" si="66"/>
        <v>114.09</v>
      </c>
      <c r="M211" s="2"/>
      <c r="N211" s="6">
        <f t="shared" si="67"/>
        <v>0</v>
      </c>
      <c r="O211" s="11"/>
      <c r="P211" s="7">
        <v>114.09</v>
      </c>
      <c r="Q211" s="2"/>
      <c r="R211" s="6">
        <f t="shared" si="68"/>
        <v>1.5795906203413306E-4</v>
      </c>
      <c r="S211" s="2"/>
      <c r="T211" s="7"/>
      <c r="U211" s="2"/>
      <c r="V211" s="6">
        <f t="shared" si="69"/>
        <v>0</v>
      </c>
      <c r="W211" s="2"/>
      <c r="X211" s="7">
        <f t="shared" si="70"/>
        <v>114.09</v>
      </c>
      <c r="Y211" s="2"/>
      <c r="Z211" s="6">
        <f t="shared" si="71"/>
        <v>0</v>
      </c>
    </row>
    <row r="212" spans="1:26" s="24" customFormat="1" hidden="1" outlineLevel="2" x14ac:dyDescent="0.25">
      <c r="A212" s="29"/>
      <c r="B212" s="11" t="str">
        <f>CONCATENATE("          ", "6259", " - ", "ROYALTY &amp; COMMISSIONS")</f>
        <v xml:space="preserve">          6259 - ROYALTY &amp; COMMISSIONS</v>
      </c>
      <c r="C212" s="11"/>
      <c r="D212" s="7">
        <v>605.01</v>
      </c>
      <c r="E212" s="2"/>
      <c r="F212" s="6">
        <f t="shared" si="64"/>
        <v>8.3764407153362117E-4</v>
      </c>
      <c r="G212" s="2"/>
      <c r="H212" s="7">
        <v>691.84</v>
      </c>
      <c r="I212" s="2"/>
      <c r="J212" s="6">
        <f t="shared" si="65"/>
        <v>8.5627849834366465E-4</v>
      </c>
      <c r="K212" s="2"/>
      <c r="L212" s="7">
        <f t="shared" si="66"/>
        <v>-86.830000000000041</v>
      </c>
      <c r="M212" s="2"/>
      <c r="N212" s="6">
        <f t="shared" si="67"/>
        <v>-0.12550589731729886</v>
      </c>
      <c r="O212" s="11"/>
      <c r="P212" s="7">
        <v>605.01</v>
      </c>
      <c r="Q212" s="2"/>
      <c r="R212" s="6">
        <f t="shared" si="68"/>
        <v>8.3764407153362117E-4</v>
      </c>
      <c r="S212" s="2"/>
      <c r="T212" s="7">
        <v>691.84</v>
      </c>
      <c r="U212" s="2"/>
      <c r="V212" s="6">
        <f t="shared" si="69"/>
        <v>8.5627849834366465E-4</v>
      </c>
      <c r="W212" s="2"/>
      <c r="X212" s="7">
        <f t="shared" si="70"/>
        <v>-86.830000000000041</v>
      </c>
      <c r="Y212" s="2"/>
      <c r="Z212" s="6">
        <f t="shared" si="71"/>
        <v>-0.12550589731729886</v>
      </c>
    </row>
    <row r="213" spans="1:26" s="28" customFormat="1" outlineLevel="1" collapsed="1" x14ac:dyDescent="0.25">
      <c r="A213" s="27"/>
      <c r="B213" s="14" t="str">
        <f>CONCATENATE("     ","Services                                          ")</f>
        <v xml:space="preserve">     Services                                          </v>
      </c>
      <c r="C213" s="14"/>
      <c r="D213" s="1">
        <f>SUM(OSRRefD22_18x_0)</f>
        <v>4629.08</v>
      </c>
      <c r="E213" s="1"/>
      <c r="F213" s="5">
        <f t="shared" ref="F213:F217" si="72">IF(D$12=0,0,D213/D$12)</f>
        <v>6.4090203776050892E-3</v>
      </c>
      <c r="G213" s="1"/>
      <c r="H213" s="1">
        <f>SUM(OSRRefH22_18x_0)</f>
        <v>4411.7800000000007</v>
      </c>
      <c r="I213" s="1"/>
      <c r="J213" s="5">
        <f t="shared" ref="J213:J217" si="73">IF(H$12=0,0,H213/H$12)</f>
        <v>5.4603844146372182E-3</v>
      </c>
      <c r="K213" s="1"/>
      <c r="L213" s="1">
        <f t="shared" ref="L213:L217" si="74">+D213-H213</f>
        <v>217.29999999999927</v>
      </c>
      <c r="M213" s="1"/>
      <c r="N213" s="5">
        <f t="shared" ref="N213:N217" si="75">IF(H213=0,0,L213/H213)</f>
        <v>4.9254495917747311E-2</v>
      </c>
      <c r="O213" s="14"/>
      <c r="P213" s="1">
        <f>SUM(OSRRefP22_18x_0)</f>
        <v>4629.08</v>
      </c>
      <c r="Q213" s="1"/>
      <c r="R213" s="5">
        <f t="shared" ref="R213:R217" si="76">IF(P$12=0,0,P213/P$12)</f>
        <v>6.4090203776050892E-3</v>
      </c>
      <c r="S213" s="1"/>
      <c r="T213" s="1">
        <f>SUM(OSRRefT22_18x_0)</f>
        <v>4411.7800000000007</v>
      </c>
      <c r="U213" s="1"/>
      <c r="V213" s="5">
        <f t="shared" ref="V213:V217" si="77">IF(T$12=0,0,T213/T$12)</f>
        <v>5.4603844146372182E-3</v>
      </c>
      <c r="W213" s="1"/>
      <c r="X213" s="1">
        <f t="shared" ref="X213:X217" si="78">+P213-T213</f>
        <v>217.29999999999927</v>
      </c>
      <c r="Y213" s="1"/>
      <c r="Z213" s="5">
        <f t="shared" ref="Z213:Z217" si="79">IF(T213=0,0,X213/T213)</f>
        <v>4.9254495917747311E-2</v>
      </c>
    </row>
    <row r="214" spans="1:26" s="24" customFormat="1" hidden="1" outlineLevel="2" x14ac:dyDescent="0.25">
      <c r="A214" s="29"/>
      <c r="B214" s="11" t="str">
        <f>CONCATENATE("          ", "6282", " - ", "JANITORIAL/EXTERMINATOR EXPENS")</f>
        <v xml:space="preserve">          6282 - JANITORIAL/EXTERMINATOR EXPENS</v>
      </c>
      <c r="C214" s="11"/>
      <c r="D214" s="7">
        <v>266.5</v>
      </c>
      <c r="E214" s="2"/>
      <c r="F214" s="6">
        <f t="shared" si="72"/>
        <v>3.6897265344987696E-4</v>
      </c>
      <c r="G214" s="2"/>
      <c r="H214" s="7">
        <v>236</v>
      </c>
      <c r="I214" s="2"/>
      <c r="J214" s="6">
        <f t="shared" si="73"/>
        <v>2.9209315103073663E-4</v>
      </c>
      <c r="K214" s="2"/>
      <c r="L214" s="7">
        <f t="shared" si="74"/>
        <v>30.5</v>
      </c>
      <c r="M214" s="2"/>
      <c r="N214" s="6">
        <f t="shared" si="75"/>
        <v>0.12923728813559321</v>
      </c>
      <c r="O214" s="11"/>
      <c r="P214" s="7">
        <v>266.5</v>
      </c>
      <c r="Q214" s="2"/>
      <c r="R214" s="6">
        <f t="shared" si="76"/>
        <v>3.6897265344987696E-4</v>
      </c>
      <c r="S214" s="2"/>
      <c r="T214" s="7">
        <v>236</v>
      </c>
      <c r="U214" s="2"/>
      <c r="V214" s="6">
        <f t="shared" si="77"/>
        <v>2.9209315103073663E-4</v>
      </c>
      <c r="W214" s="2"/>
      <c r="X214" s="7">
        <f t="shared" si="78"/>
        <v>30.5</v>
      </c>
      <c r="Y214" s="2"/>
      <c r="Z214" s="6">
        <f t="shared" si="79"/>
        <v>0.12923728813559321</v>
      </c>
    </row>
    <row r="215" spans="1:26" s="24" customFormat="1" hidden="1" outlineLevel="2" x14ac:dyDescent="0.25">
      <c r="A215" s="29"/>
      <c r="B215" s="11" t="str">
        <f>CONCATENATE("          ", "6283", " - ", "PLANT SERVICE")</f>
        <v xml:space="preserve">          6283 - PLANT SERVICE</v>
      </c>
      <c r="C215" s="11"/>
      <c r="D215" s="7">
        <v>180.66</v>
      </c>
      <c r="E215" s="2"/>
      <c r="F215" s="6">
        <f t="shared" si="72"/>
        <v>2.5012607719420175E-4</v>
      </c>
      <c r="G215" s="2"/>
      <c r="H215" s="7">
        <v>173</v>
      </c>
      <c r="I215" s="2"/>
      <c r="J215" s="6">
        <f t="shared" si="73"/>
        <v>2.1411913189965017E-4</v>
      </c>
      <c r="K215" s="2"/>
      <c r="L215" s="7">
        <f t="shared" si="74"/>
        <v>7.6599999999999966</v>
      </c>
      <c r="M215" s="2"/>
      <c r="N215" s="6">
        <f t="shared" si="75"/>
        <v>4.4277456647398822E-2</v>
      </c>
      <c r="O215" s="11"/>
      <c r="P215" s="7">
        <v>180.66</v>
      </c>
      <c r="Q215" s="2"/>
      <c r="R215" s="6">
        <f t="shared" si="76"/>
        <v>2.5012607719420175E-4</v>
      </c>
      <c r="S215" s="2"/>
      <c r="T215" s="7">
        <v>173</v>
      </c>
      <c r="U215" s="2"/>
      <c r="V215" s="6">
        <f t="shared" si="77"/>
        <v>2.1411913189965017E-4</v>
      </c>
      <c r="W215" s="2"/>
      <c r="X215" s="7">
        <f t="shared" si="78"/>
        <v>7.6599999999999966</v>
      </c>
      <c r="Y215" s="2"/>
      <c r="Z215" s="6">
        <f t="shared" si="79"/>
        <v>4.4277456647398822E-2</v>
      </c>
    </row>
    <row r="216" spans="1:26" s="24" customFormat="1" hidden="1" outlineLevel="2" x14ac:dyDescent="0.25">
      <c r="A216" s="29"/>
      <c r="B216" s="11" t="str">
        <f>CONCATENATE("          ", "6284", " - ", "TRASH REMOVAL EXPENSE")</f>
        <v xml:space="preserve">          6284 - TRASH REMOVAL EXPENSE</v>
      </c>
      <c r="C216" s="11"/>
      <c r="D216" s="7">
        <v>134.82</v>
      </c>
      <c r="E216" s="2"/>
      <c r="F216" s="6">
        <f t="shared" si="72"/>
        <v>1.8666001177528109E-4</v>
      </c>
      <c r="G216" s="2"/>
      <c r="H216" s="7">
        <v>121.46</v>
      </c>
      <c r="I216" s="2"/>
      <c r="J216" s="6">
        <f t="shared" si="73"/>
        <v>1.5032895815336131E-4</v>
      </c>
      <c r="K216" s="2"/>
      <c r="L216" s="7">
        <f t="shared" si="74"/>
        <v>13.36</v>
      </c>
      <c r="M216" s="2"/>
      <c r="N216" s="6">
        <f t="shared" si="75"/>
        <v>0.10999506010209123</v>
      </c>
      <c r="O216" s="11"/>
      <c r="P216" s="7">
        <v>134.82</v>
      </c>
      <c r="Q216" s="2"/>
      <c r="R216" s="6">
        <f t="shared" si="76"/>
        <v>1.8666001177528109E-4</v>
      </c>
      <c r="S216" s="2"/>
      <c r="T216" s="7">
        <v>121.46</v>
      </c>
      <c r="U216" s="2"/>
      <c r="V216" s="6">
        <f t="shared" si="77"/>
        <v>1.5032895815336131E-4</v>
      </c>
      <c r="W216" s="2"/>
      <c r="X216" s="7">
        <f t="shared" si="78"/>
        <v>13.36</v>
      </c>
      <c r="Y216" s="2"/>
      <c r="Z216" s="6">
        <f t="shared" si="79"/>
        <v>0.10999506010209123</v>
      </c>
    </row>
    <row r="217" spans="1:26" s="24" customFormat="1" hidden="1" outlineLevel="2" x14ac:dyDescent="0.25">
      <c r="A217" s="29"/>
      <c r="B217" s="11" t="str">
        <f>CONCATENATE("          ", "6285", " - ", "JANITORIAL SERVICES")</f>
        <v xml:space="preserve">          6285 - JANITORIAL SERVICES</v>
      </c>
      <c r="C217" s="11"/>
      <c r="D217" s="7">
        <v>4047.1</v>
      </c>
      <c r="E217" s="2"/>
      <c r="F217" s="6">
        <f t="shared" si="72"/>
        <v>5.6032616351857295E-3</v>
      </c>
      <c r="G217" s="2"/>
      <c r="H217" s="7">
        <v>3881.32</v>
      </c>
      <c r="I217" s="2"/>
      <c r="J217" s="6">
        <f t="shared" si="73"/>
        <v>4.8038431735534697E-3</v>
      </c>
      <c r="K217" s="2"/>
      <c r="L217" s="7">
        <f t="shared" si="74"/>
        <v>165.77999999999975</v>
      </c>
      <c r="M217" s="2"/>
      <c r="N217" s="6">
        <f t="shared" si="75"/>
        <v>4.271227314418799E-2</v>
      </c>
      <c r="O217" s="11"/>
      <c r="P217" s="7">
        <v>4047.1</v>
      </c>
      <c r="Q217" s="2"/>
      <c r="R217" s="6">
        <f t="shared" si="76"/>
        <v>5.6032616351857295E-3</v>
      </c>
      <c r="S217" s="2"/>
      <c r="T217" s="7">
        <v>3881.32</v>
      </c>
      <c r="U217" s="2"/>
      <c r="V217" s="6">
        <f t="shared" si="77"/>
        <v>4.8038431735534697E-3</v>
      </c>
      <c r="W217" s="2"/>
      <c r="X217" s="7">
        <f t="shared" si="78"/>
        <v>165.77999999999975</v>
      </c>
      <c r="Y217" s="2"/>
      <c r="Z217" s="6">
        <f t="shared" si="79"/>
        <v>4.271227314418799E-2</v>
      </c>
    </row>
    <row r="218" spans="1:26" s="28" customFormat="1" outlineLevel="1" collapsed="1" x14ac:dyDescent="0.25">
      <c r="A218" s="27"/>
      <c r="B218" s="14" t="str">
        <f>CONCATENATE("     ","Subscriptions &amp; Dues                              ")</f>
        <v xml:space="preserve">     Subscriptions &amp; Dues                              </v>
      </c>
      <c r="C218" s="14"/>
      <c r="D218" s="1">
        <f>SUM(OSRRefD22_19x_0)</f>
        <v>462.25</v>
      </c>
      <c r="E218" s="1"/>
      <c r="F218" s="5">
        <f t="shared" ref="F218:F220" si="80">IF(D$12=0,0,D218/D$12)</f>
        <v>6.3999102835724431E-4</v>
      </c>
      <c r="G218" s="1"/>
      <c r="H218" s="1">
        <f>SUM(OSRRefH22_19x_0)</f>
        <v>749.19</v>
      </c>
      <c r="I218" s="1"/>
      <c r="J218" s="5">
        <f t="shared" ref="J218:J220" si="81">IF(H$12=0,0,H218/H$12)</f>
        <v>9.2725960940982029E-4</v>
      </c>
      <c r="K218" s="1"/>
      <c r="L218" s="1">
        <f t="shared" ref="L218:L220" si="82">+D218-H218</f>
        <v>-286.94000000000005</v>
      </c>
      <c r="M218" s="1"/>
      <c r="N218" s="5">
        <f t="shared" ref="N218:N220" si="83">IF(H218=0,0,L218/H218)</f>
        <v>-0.38300030699822479</v>
      </c>
      <c r="O218" s="14"/>
      <c r="P218" s="1">
        <f>SUM(OSRRefP22_19x_0)</f>
        <v>462.25</v>
      </c>
      <c r="Q218" s="1"/>
      <c r="R218" s="5">
        <f t="shared" ref="R218:R220" si="84">IF(P$12=0,0,P218/P$12)</f>
        <v>6.3999102835724431E-4</v>
      </c>
      <c r="S218" s="1"/>
      <c r="T218" s="1">
        <f>SUM(OSRRefT22_19x_0)</f>
        <v>749.19</v>
      </c>
      <c r="U218" s="1"/>
      <c r="V218" s="5">
        <f t="shared" ref="V218:V220" si="85">IF(T$12=0,0,T218/T$12)</f>
        <v>9.2725960940982029E-4</v>
      </c>
      <c r="W218" s="1"/>
      <c r="X218" s="1">
        <f t="shared" ref="X218:X220" si="86">+P218-T218</f>
        <v>-286.94000000000005</v>
      </c>
      <c r="Y218" s="1"/>
      <c r="Z218" s="5">
        <f t="shared" ref="Z218:Z220" si="87">IF(T218=0,0,X218/T218)</f>
        <v>-0.38300030699822479</v>
      </c>
    </row>
    <row r="219" spans="1:26" s="24" customFormat="1" hidden="1" outlineLevel="2" x14ac:dyDescent="0.25">
      <c r="A219" s="29"/>
      <c r="B219" s="11" t="str">
        <f>CONCATENATE("          ", "6258", " - ", "MEMBERSHIP DUES")</f>
        <v xml:space="preserve">          6258 - MEMBERSHIP DUES</v>
      </c>
      <c r="C219" s="11"/>
      <c r="D219" s="7">
        <v>288.85000000000002</v>
      </c>
      <c r="E219" s="2"/>
      <c r="F219" s="6">
        <f t="shared" si="80"/>
        <v>3.9991651387991355E-4</v>
      </c>
      <c r="G219" s="2"/>
      <c r="H219" s="7">
        <v>250</v>
      </c>
      <c r="I219" s="2"/>
      <c r="J219" s="6">
        <f t="shared" si="81"/>
        <v>3.0942071083764474E-4</v>
      </c>
      <c r="K219" s="2"/>
      <c r="L219" s="7">
        <f t="shared" si="82"/>
        <v>38.850000000000023</v>
      </c>
      <c r="M219" s="2"/>
      <c r="N219" s="6">
        <f t="shared" si="83"/>
        <v>0.15540000000000009</v>
      </c>
      <c r="O219" s="11"/>
      <c r="P219" s="7">
        <v>288.85000000000002</v>
      </c>
      <c r="Q219" s="2"/>
      <c r="R219" s="6">
        <f t="shared" si="84"/>
        <v>3.9991651387991355E-4</v>
      </c>
      <c r="S219" s="2"/>
      <c r="T219" s="7">
        <v>250</v>
      </c>
      <c r="U219" s="2"/>
      <c r="V219" s="6">
        <f t="shared" si="85"/>
        <v>3.0942071083764474E-4</v>
      </c>
      <c r="W219" s="2"/>
      <c r="X219" s="7">
        <f t="shared" si="86"/>
        <v>38.850000000000023</v>
      </c>
      <c r="Y219" s="2"/>
      <c r="Z219" s="6">
        <f t="shared" si="87"/>
        <v>0.15540000000000009</v>
      </c>
    </row>
    <row r="220" spans="1:26" s="24" customFormat="1" hidden="1" outlineLevel="2" x14ac:dyDescent="0.25">
      <c r="A220" s="29"/>
      <c r="B220" s="11" t="str">
        <f>CONCATENATE("          ", "6275", " - ", "SUBSCRIPTIONS")</f>
        <v xml:space="preserve">          6275 - SUBSCRIPTIONS</v>
      </c>
      <c r="C220" s="11"/>
      <c r="D220" s="7">
        <v>173.4</v>
      </c>
      <c r="E220" s="2"/>
      <c r="F220" s="6">
        <f t="shared" si="80"/>
        <v>2.4007451447733083E-4</v>
      </c>
      <c r="G220" s="2"/>
      <c r="H220" s="7">
        <v>499.19</v>
      </c>
      <c r="I220" s="2"/>
      <c r="J220" s="6">
        <f t="shared" si="81"/>
        <v>6.1783889857217555E-4</v>
      </c>
      <c r="K220" s="2"/>
      <c r="L220" s="7">
        <f t="shared" si="82"/>
        <v>-325.78999999999996</v>
      </c>
      <c r="M220" s="2"/>
      <c r="N220" s="6">
        <f t="shared" si="83"/>
        <v>-0.65263727238125757</v>
      </c>
      <c r="O220" s="11"/>
      <c r="P220" s="7">
        <v>173.4</v>
      </c>
      <c r="Q220" s="2"/>
      <c r="R220" s="6">
        <f t="shared" si="84"/>
        <v>2.4007451447733083E-4</v>
      </c>
      <c r="S220" s="2"/>
      <c r="T220" s="7">
        <v>499.19</v>
      </c>
      <c r="U220" s="2"/>
      <c r="V220" s="6">
        <f t="shared" si="85"/>
        <v>6.1783889857217555E-4</v>
      </c>
      <c r="W220" s="2"/>
      <c r="X220" s="7">
        <f t="shared" si="86"/>
        <v>-325.78999999999996</v>
      </c>
      <c r="Y220" s="2"/>
      <c r="Z220" s="6">
        <f t="shared" si="87"/>
        <v>-0.65263727238125757</v>
      </c>
    </row>
    <row r="221" spans="1:26" s="28" customFormat="1" outlineLevel="1" collapsed="1" x14ac:dyDescent="0.25">
      <c r="A221" s="27"/>
      <c r="B221" s="14" t="str">
        <f>CONCATENATE("     ","Supplies                                          ")</f>
        <v xml:space="preserve">     Supplies                                          </v>
      </c>
      <c r="C221" s="14"/>
      <c r="D221" s="1">
        <f>SUM(OSRRefD22_20x_0)</f>
        <v>7620.79</v>
      </c>
      <c r="E221" s="1"/>
      <c r="F221" s="5">
        <f t="shared" ref="F221:F227" si="88">IF(D$12=0,0,D221/D$12)</f>
        <v>1.055108107949076E-2</v>
      </c>
      <c r="G221" s="1"/>
      <c r="H221" s="1">
        <f>SUM(OSRRefH22_20x_0)</f>
        <v>24459.22</v>
      </c>
      <c r="I221" s="1"/>
      <c r="J221" s="5">
        <f t="shared" ref="J221:J227" si="89">IF(H$12=0,0,H221/H$12)</f>
        <v>3.0272756955737352E-2</v>
      </c>
      <c r="K221" s="1"/>
      <c r="L221" s="1">
        <f t="shared" ref="L221:L227" si="90">+D221-H221</f>
        <v>-16838.43</v>
      </c>
      <c r="M221" s="1"/>
      <c r="N221" s="5">
        <f t="shared" ref="N221:N227" si="91">IF(H221=0,0,L221/H221)</f>
        <v>-0.68842873975539687</v>
      </c>
      <c r="O221" s="14"/>
      <c r="P221" s="1">
        <f>SUM(OSRRefP22_20x_0)</f>
        <v>7620.79</v>
      </c>
      <c r="Q221" s="1"/>
      <c r="R221" s="5">
        <f t="shared" ref="R221:R227" si="92">IF(P$12=0,0,P221/P$12)</f>
        <v>1.055108107949076E-2</v>
      </c>
      <c r="S221" s="1"/>
      <c r="T221" s="1">
        <f>SUM(OSRRefT22_20x_0)</f>
        <v>24459.22</v>
      </c>
      <c r="U221" s="1"/>
      <c r="V221" s="5">
        <f t="shared" ref="V221:V227" si="93">IF(T$12=0,0,T221/T$12)</f>
        <v>3.0272756955737352E-2</v>
      </c>
      <c r="W221" s="1"/>
      <c r="X221" s="1">
        <f t="shared" ref="X221:X227" si="94">+P221-T221</f>
        <v>-16838.43</v>
      </c>
      <c r="Y221" s="1"/>
      <c r="Z221" s="5">
        <f t="shared" ref="Z221:Z227" si="95">IF(T221=0,0,X221/T221)</f>
        <v>-0.68842873975539687</v>
      </c>
    </row>
    <row r="222" spans="1:26" s="24" customFormat="1" hidden="1" outlineLevel="2" x14ac:dyDescent="0.25">
      <c r="A222" s="29"/>
      <c r="B222" s="11" t="str">
        <f>CONCATENATE("          ", "6234", " - ", "EXPENDABLE SUPPLIES &amp; EQUIPMEN")</f>
        <v xml:space="preserve">          6234 - EXPENDABLE SUPPLIES &amp; EQUIPMEN</v>
      </c>
      <c r="C222" s="11"/>
      <c r="D222" s="7">
        <v>702.08</v>
      </c>
      <c r="E222" s="2"/>
      <c r="F222" s="6">
        <f t="shared" si="88"/>
        <v>9.7203872620671525E-4</v>
      </c>
      <c r="G222" s="2"/>
      <c r="H222" s="7">
        <v>357.21</v>
      </c>
      <c r="I222" s="2"/>
      <c r="J222" s="6">
        <f t="shared" si="89"/>
        <v>4.4211268847326032E-4</v>
      </c>
      <c r="K222" s="2"/>
      <c r="L222" s="7">
        <f t="shared" si="90"/>
        <v>344.87000000000006</v>
      </c>
      <c r="M222" s="2"/>
      <c r="N222" s="6">
        <f t="shared" si="91"/>
        <v>0.96545449455502386</v>
      </c>
      <c r="O222" s="11"/>
      <c r="P222" s="7">
        <v>702.08</v>
      </c>
      <c r="Q222" s="2"/>
      <c r="R222" s="6">
        <f t="shared" si="92"/>
        <v>9.7203872620671525E-4</v>
      </c>
      <c r="S222" s="2"/>
      <c r="T222" s="7">
        <v>357.21</v>
      </c>
      <c r="U222" s="2"/>
      <c r="V222" s="6">
        <f t="shared" si="93"/>
        <v>4.4211268847326032E-4</v>
      </c>
      <c r="W222" s="2"/>
      <c r="X222" s="7">
        <f t="shared" si="94"/>
        <v>344.87000000000006</v>
      </c>
      <c r="Y222" s="2"/>
      <c r="Z222" s="6">
        <f t="shared" si="95"/>
        <v>0.96545449455502386</v>
      </c>
    </row>
    <row r="223" spans="1:26" s="24" customFormat="1" hidden="1" outlineLevel="2" x14ac:dyDescent="0.25">
      <c r="A223" s="29"/>
      <c r="B223" s="11" t="str">
        <f>CONCATENATE("          ", "6237", " - ", "JANITORIAL SUPPLIES")</f>
        <v xml:space="preserve">          6237 - JANITORIAL SUPPLIES</v>
      </c>
      <c r="C223" s="11"/>
      <c r="D223" s="7">
        <v>448.83</v>
      </c>
      <c r="E223" s="2"/>
      <c r="F223" s="6">
        <f t="shared" si="88"/>
        <v>6.2141086697151322E-4</v>
      </c>
      <c r="G223" s="2"/>
      <c r="H223" s="7">
        <v>722.7</v>
      </c>
      <c r="I223" s="2"/>
      <c r="J223" s="6">
        <f t="shared" si="89"/>
        <v>8.944733908894635E-4</v>
      </c>
      <c r="K223" s="2"/>
      <c r="L223" s="7">
        <f t="shared" si="90"/>
        <v>-273.87000000000006</v>
      </c>
      <c r="M223" s="2"/>
      <c r="N223" s="6">
        <f t="shared" si="91"/>
        <v>-0.37895392278953927</v>
      </c>
      <c r="O223" s="11"/>
      <c r="P223" s="7">
        <v>448.83</v>
      </c>
      <c r="Q223" s="2"/>
      <c r="R223" s="6">
        <f t="shared" si="92"/>
        <v>6.2141086697151322E-4</v>
      </c>
      <c r="S223" s="2"/>
      <c r="T223" s="7">
        <v>722.7</v>
      </c>
      <c r="U223" s="2"/>
      <c r="V223" s="6">
        <f t="shared" si="93"/>
        <v>8.944733908894635E-4</v>
      </c>
      <c r="W223" s="2"/>
      <c r="X223" s="7">
        <f t="shared" si="94"/>
        <v>-273.87000000000006</v>
      </c>
      <c r="Y223" s="2"/>
      <c r="Z223" s="6">
        <f t="shared" si="95"/>
        <v>-0.37895392278953927</v>
      </c>
    </row>
    <row r="224" spans="1:26" s="24" customFormat="1" hidden="1" outlineLevel="2" x14ac:dyDescent="0.25">
      <c r="A224" s="29"/>
      <c r="B224" s="11" t="str">
        <f>CONCATENATE("          ", "6241", " - ", "OFFICE EXPENSE")</f>
        <v xml:space="preserve">          6241 - OFFICE EXPENSE</v>
      </c>
      <c r="C224" s="11"/>
      <c r="D224" s="7">
        <v>2490.4899999999998</v>
      </c>
      <c r="E224" s="2"/>
      <c r="F224" s="6">
        <f t="shared" si="88"/>
        <v>3.4481152108457183E-3</v>
      </c>
      <c r="G224" s="2"/>
      <c r="H224" s="7">
        <v>3268.14</v>
      </c>
      <c r="I224" s="2"/>
      <c r="J224" s="6">
        <f t="shared" si="89"/>
        <v>4.0449208076677613E-3</v>
      </c>
      <c r="K224" s="2"/>
      <c r="L224" s="7">
        <f t="shared" si="90"/>
        <v>-777.65000000000009</v>
      </c>
      <c r="M224" s="2"/>
      <c r="N224" s="6">
        <f t="shared" si="91"/>
        <v>-0.23794880268287164</v>
      </c>
      <c r="O224" s="11"/>
      <c r="P224" s="7">
        <v>2490.4899999999998</v>
      </c>
      <c r="Q224" s="2"/>
      <c r="R224" s="6">
        <f t="shared" si="92"/>
        <v>3.4481152108457183E-3</v>
      </c>
      <c r="S224" s="2"/>
      <c r="T224" s="7">
        <v>3268.14</v>
      </c>
      <c r="U224" s="2"/>
      <c r="V224" s="6">
        <f t="shared" si="93"/>
        <v>4.0449208076677613E-3</v>
      </c>
      <c r="W224" s="2"/>
      <c r="X224" s="7">
        <f t="shared" si="94"/>
        <v>-777.65000000000009</v>
      </c>
      <c r="Y224" s="2"/>
      <c r="Z224" s="6">
        <f t="shared" si="95"/>
        <v>-0.23794880268287164</v>
      </c>
    </row>
    <row r="225" spans="1:26" s="24" customFormat="1" hidden="1" outlineLevel="2" x14ac:dyDescent="0.25">
      <c r="A225" s="29"/>
      <c r="B225" s="11" t="str">
        <f>CONCATENATE("          ", "6243", " - ", "PAPER SUPPLIES")</f>
        <v xml:space="preserve">          6243 - PAPER SUPPLIES</v>
      </c>
      <c r="C225" s="11"/>
      <c r="D225" s="7">
        <v>1161.3399999999999</v>
      </c>
      <c r="E225" s="2"/>
      <c r="F225" s="6">
        <f t="shared" si="88"/>
        <v>1.607890061378912E-3</v>
      </c>
      <c r="G225" s="2"/>
      <c r="H225" s="7">
        <v>2437.0300000000002</v>
      </c>
      <c r="I225" s="2"/>
      <c r="J225" s="6">
        <f t="shared" si="89"/>
        <v>3.0162702197306618E-3</v>
      </c>
      <c r="K225" s="2"/>
      <c r="L225" s="7">
        <f t="shared" si="90"/>
        <v>-1275.6900000000003</v>
      </c>
      <c r="M225" s="2"/>
      <c r="N225" s="6">
        <f t="shared" si="91"/>
        <v>-0.52346093400573657</v>
      </c>
      <c r="O225" s="11"/>
      <c r="P225" s="7">
        <v>1161.3399999999999</v>
      </c>
      <c r="Q225" s="2"/>
      <c r="R225" s="6">
        <f t="shared" si="92"/>
        <v>1.607890061378912E-3</v>
      </c>
      <c r="S225" s="2"/>
      <c r="T225" s="7">
        <v>2437.0300000000002</v>
      </c>
      <c r="U225" s="2"/>
      <c r="V225" s="6">
        <f t="shared" si="93"/>
        <v>3.0162702197306618E-3</v>
      </c>
      <c r="W225" s="2"/>
      <c r="X225" s="7">
        <f t="shared" si="94"/>
        <v>-1275.6900000000003</v>
      </c>
      <c r="Y225" s="2"/>
      <c r="Z225" s="6">
        <f t="shared" si="95"/>
        <v>-0.52346093400573657</v>
      </c>
    </row>
    <row r="226" spans="1:26" s="24" customFormat="1" hidden="1" outlineLevel="2" x14ac:dyDescent="0.25">
      <c r="A226" s="29"/>
      <c r="B226" s="11" t="str">
        <f>CONCATENATE("          ", "6245", " - ", "PRINTING")</f>
        <v xml:space="preserve">          6245 - PRINTING</v>
      </c>
      <c r="C226" s="11"/>
      <c r="D226" s="7"/>
      <c r="E226" s="2"/>
      <c r="F226" s="6">
        <f t="shared" si="88"/>
        <v>0</v>
      </c>
      <c r="G226" s="2"/>
      <c r="H226" s="7">
        <v>1258.24</v>
      </c>
      <c r="I226" s="2"/>
      <c r="J226" s="6">
        <f t="shared" si="89"/>
        <v>1.5573020608174325E-3</v>
      </c>
      <c r="K226" s="2"/>
      <c r="L226" s="7">
        <f t="shared" si="90"/>
        <v>-1258.24</v>
      </c>
      <c r="M226" s="2"/>
      <c r="N226" s="6">
        <f t="shared" si="91"/>
        <v>-1</v>
      </c>
      <c r="O226" s="11"/>
      <c r="P226" s="7"/>
      <c r="Q226" s="2"/>
      <c r="R226" s="6">
        <f t="shared" si="92"/>
        <v>0</v>
      </c>
      <c r="S226" s="2"/>
      <c r="T226" s="7">
        <v>1258.24</v>
      </c>
      <c r="U226" s="2"/>
      <c r="V226" s="6">
        <f t="shared" si="93"/>
        <v>1.5573020608174325E-3</v>
      </c>
      <c r="W226" s="2"/>
      <c r="X226" s="7">
        <f t="shared" si="94"/>
        <v>-1258.24</v>
      </c>
      <c r="Y226" s="2"/>
      <c r="Z226" s="6">
        <f t="shared" si="95"/>
        <v>-1</v>
      </c>
    </row>
    <row r="227" spans="1:26" s="24" customFormat="1" hidden="1" outlineLevel="2" x14ac:dyDescent="0.25">
      <c r="A227" s="29"/>
      <c r="B227" s="11" t="str">
        <f>CONCATENATE("          ", "6247", " - ", "STORE SUPPLIES")</f>
        <v xml:space="preserve">          6247 - STORE SUPPLIES</v>
      </c>
      <c r="C227" s="11"/>
      <c r="D227" s="7">
        <v>2818.05</v>
      </c>
      <c r="E227" s="2"/>
      <c r="F227" s="6">
        <f t="shared" si="88"/>
        <v>3.9016262140879015E-3</v>
      </c>
      <c r="G227" s="2"/>
      <c r="H227" s="7">
        <v>16415.900000000001</v>
      </c>
      <c r="I227" s="2"/>
      <c r="J227" s="6">
        <f t="shared" si="89"/>
        <v>2.031767778815877E-2</v>
      </c>
      <c r="K227" s="2"/>
      <c r="L227" s="7">
        <f t="shared" si="90"/>
        <v>-13597.850000000002</v>
      </c>
      <c r="M227" s="2"/>
      <c r="N227" s="6">
        <f t="shared" si="91"/>
        <v>-0.82833411509573041</v>
      </c>
      <c r="O227" s="11"/>
      <c r="P227" s="7">
        <v>2818.05</v>
      </c>
      <c r="Q227" s="2"/>
      <c r="R227" s="6">
        <f t="shared" si="92"/>
        <v>3.9016262140879015E-3</v>
      </c>
      <c r="S227" s="2"/>
      <c r="T227" s="7">
        <v>16415.900000000001</v>
      </c>
      <c r="U227" s="2"/>
      <c r="V227" s="6">
        <f t="shared" si="93"/>
        <v>2.031767778815877E-2</v>
      </c>
      <c r="W227" s="2"/>
      <c r="X227" s="7">
        <f t="shared" si="94"/>
        <v>-13597.850000000002</v>
      </c>
      <c r="Y227" s="2"/>
      <c r="Z227" s="6">
        <f t="shared" si="95"/>
        <v>-0.82833411509573041</v>
      </c>
    </row>
    <row r="228" spans="1:26" s="28" customFormat="1" outlineLevel="1" collapsed="1" x14ac:dyDescent="0.25">
      <c r="A228" s="27"/>
      <c r="B228" s="14" t="str">
        <f>CONCATENATE("     ","Telephone/Data Lines                              ")</f>
        <v xml:space="preserve">     Telephone/Data Lines                              </v>
      </c>
      <c r="C228" s="14"/>
      <c r="D228" s="1">
        <f>SUM(OSRRefD22_21x_0)</f>
        <v>1966.32</v>
      </c>
      <c r="E228" s="1"/>
      <c r="F228" s="5">
        <f t="shared" ref="F228:F230" si="96">IF(D$12=0,0,D228/D$12)</f>
        <v>2.7223951517131783E-3</v>
      </c>
      <c r="G228" s="1"/>
      <c r="H228" s="1">
        <f>SUM(OSRRefH22_21x_0)</f>
        <v>2640.87</v>
      </c>
      <c r="I228" s="1"/>
      <c r="J228" s="5">
        <f t="shared" ref="J228:J230" si="97">IF(H$12=0,0,H228/H$12)</f>
        <v>3.2685594905192436E-3</v>
      </c>
      <c r="K228" s="1"/>
      <c r="L228" s="1">
        <f t="shared" ref="L228:L230" si="98">+D228-H228</f>
        <v>-674.55</v>
      </c>
      <c r="M228" s="1"/>
      <c r="N228" s="5">
        <f t="shared" ref="N228:N230" si="99">IF(H228=0,0,L228/H228)</f>
        <v>-0.25542718876733805</v>
      </c>
      <c r="O228" s="14"/>
      <c r="P228" s="1">
        <f>SUM(OSRRefP22_21x_0)</f>
        <v>1966.32</v>
      </c>
      <c r="Q228" s="1"/>
      <c r="R228" s="5">
        <f t="shared" ref="R228:R230" si="100">IF(P$12=0,0,P228/P$12)</f>
        <v>2.7223951517131783E-3</v>
      </c>
      <c r="S228" s="1"/>
      <c r="T228" s="1">
        <f>SUM(OSRRefT22_21x_0)</f>
        <v>2640.87</v>
      </c>
      <c r="U228" s="1"/>
      <c r="V228" s="5">
        <f t="shared" ref="V228:V230" si="101">IF(T$12=0,0,T228/T$12)</f>
        <v>3.2685594905192436E-3</v>
      </c>
      <c r="W228" s="1"/>
      <c r="X228" s="1">
        <f t="shared" ref="X228:X230" si="102">+P228-T228</f>
        <v>-674.55</v>
      </c>
      <c r="Y228" s="1"/>
      <c r="Z228" s="5">
        <f t="shared" ref="Z228:Z230" si="103">IF(T228=0,0,X228/T228)</f>
        <v>-0.25542718876733805</v>
      </c>
    </row>
    <row r="229" spans="1:26" s="24" customFormat="1" hidden="1" outlineLevel="2" x14ac:dyDescent="0.25">
      <c r="A229" s="29"/>
      <c r="B229" s="11" t="str">
        <f>CONCATENATE("          ", "6303", " - ", "DATA PHONE LINES")</f>
        <v xml:space="preserve">          6303 - DATA PHONE LINES</v>
      </c>
      <c r="C229" s="11"/>
      <c r="D229" s="7">
        <v>295</v>
      </c>
      <c r="E229" s="2"/>
      <c r="F229" s="6">
        <f t="shared" si="96"/>
        <v>4.0843126742106452E-4</v>
      </c>
      <c r="G229" s="2"/>
      <c r="H229" s="7"/>
      <c r="I229" s="2"/>
      <c r="J229" s="6">
        <f t="shared" si="97"/>
        <v>0</v>
      </c>
      <c r="K229" s="2"/>
      <c r="L229" s="7">
        <f t="shared" si="98"/>
        <v>295</v>
      </c>
      <c r="M229" s="2"/>
      <c r="N229" s="6">
        <f t="shared" si="99"/>
        <v>0</v>
      </c>
      <c r="O229" s="11"/>
      <c r="P229" s="7">
        <v>295</v>
      </c>
      <c r="Q229" s="2"/>
      <c r="R229" s="6">
        <f t="shared" si="100"/>
        <v>4.0843126742106452E-4</v>
      </c>
      <c r="S229" s="2"/>
      <c r="T229" s="7"/>
      <c r="U229" s="2"/>
      <c r="V229" s="6">
        <f t="shared" si="101"/>
        <v>0</v>
      </c>
      <c r="W229" s="2"/>
      <c r="X229" s="7">
        <f t="shared" si="102"/>
        <v>295</v>
      </c>
      <c r="Y229" s="2"/>
      <c r="Z229" s="6">
        <f t="shared" si="103"/>
        <v>0</v>
      </c>
    </row>
    <row r="230" spans="1:26" s="24" customFormat="1" hidden="1" outlineLevel="2" x14ac:dyDescent="0.25">
      <c r="A230" s="29"/>
      <c r="B230" s="11" t="str">
        <f>CONCATENATE("          ", "6309", " - ", "TELEPHONE")</f>
        <v xml:space="preserve">          6309 - TELEPHONE</v>
      </c>
      <c r="C230" s="11"/>
      <c r="D230" s="7">
        <v>1671.32</v>
      </c>
      <c r="E230" s="2"/>
      <c r="F230" s="6">
        <f t="shared" si="96"/>
        <v>2.3139638842921135E-3</v>
      </c>
      <c r="G230" s="2"/>
      <c r="H230" s="7">
        <v>2640.87</v>
      </c>
      <c r="I230" s="2"/>
      <c r="J230" s="6">
        <f t="shared" si="97"/>
        <v>3.2685594905192436E-3</v>
      </c>
      <c r="K230" s="2"/>
      <c r="L230" s="7">
        <f t="shared" si="98"/>
        <v>-969.55</v>
      </c>
      <c r="M230" s="2"/>
      <c r="N230" s="6">
        <f t="shared" si="99"/>
        <v>-0.36713280093302586</v>
      </c>
      <c r="O230" s="11"/>
      <c r="P230" s="7">
        <v>1671.32</v>
      </c>
      <c r="Q230" s="2"/>
      <c r="R230" s="6">
        <f t="shared" si="100"/>
        <v>2.3139638842921135E-3</v>
      </c>
      <c r="S230" s="2"/>
      <c r="T230" s="7">
        <v>2640.87</v>
      </c>
      <c r="U230" s="2"/>
      <c r="V230" s="6">
        <f t="shared" si="101"/>
        <v>3.2685594905192436E-3</v>
      </c>
      <c r="W230" s="2"/>
      <c r="X230" s="7">
        <f t="shared" si="102"/>
        <v>-969.55</v>
      </c>
      <c r="Y230" s="2"/>
      <c r="Z230" s="6">
        <f t="shared" si="103"/>
        <v>-0.36713280093302586</v>
      </c>
    </row>
    <row r="231" spans="1:26" s="28" customFormat="1" outlineLevel="1" collapsed="1" x14ac:dyDescent="0.25">
      <c r="A231" s="27"/>
      <c r="B231" s="14" t="str">
        <f>CONCATENATE("     ","Training                                          ")</f>
        <v xml:space="preserve">     Training                                          </v>
      </c>
      <c r="C231" s="14"/>
      <c r="D231" s="1">
        <f>SUM(OSRRefD22_22x_0)</f>
        <v>791.67</v>
      </c>
      <c r="E231" s="1"/>
      <c r="F231" s="5">
        <f t="shared" ref="F231:F236" si="104">IF(D$12=0,0,D231/D$12)</f>
        <v>1.096077225353336E-3</v>
      </c>
      <c r="G231" s="1"/>
      <c r="H231" s="1">
        <f>SUM(OSRRefH22_22x_0)</f>
        <v>-20.86</v>
      </c>
      <c r="I231" s="1"/>
      <c r="J231" s="5">
        <f t="shared" ref="J231:J236" si="105">IF(H$12=0,0,H231/H$12)</f>
        <v>-2.5818064112293076E-5</v>
      </c>
      <c r="K231" s="1"/>
      <c r="L231" s="1">
        <f t="shared" ref="L231:L236" si="106">+D231-H231</f>
        <v>812.53</v>
      </c>
      <c r="M231" s="1"/>
      <c r="N231" s="5">
        <f t="shared" ref="N231:N236" si="107">IF(H231=0,0,L231/H231)</f>
        <v>-38.95158197507191</v>
      </c>
      <c r="O231" s="14"/>
      <c r="P231" s="1">
        <f>SUM(OSRRefP22_22x_0)</f>
        <v>791.67</v>
      </c>
      <c r="Q231" s="1"/>
      <c r="R231" s="5">
        <f t="shared" ref="R231:R236" si="108">IF(P$12=0,0,P231/P$12)</f>
        <v>1.096077225353336E-3</v>
      </c>
      <c r="S231" s="1"/>
      <c r="T231" s="1">
        <f>SUM(OSRRefT22_22x_0)</f>
        <v>-20.86</v>
      </c>
      <c r="U231" s="1"/>
      <c r="V231" s="5">
        <f t="shared" ref="V231:V236" si="109">IF(T$12=0,0,T231/T$12)</f>
        <v>-2.5818064112293076E-5</v>
      </c>
      <c r="W231" s="1"/>
      <c r="X231" s="1">
        <f t="shared" ref="X231:X236" si="110">+P231-T231</f>
        <v>812.53</v>
      </c>
      <c r="Y231" s="1"/>
      <c r="Z231" s="5">
        <f t="shared" ref="Z231:Z236" si="111">IF(T231=0,0,X231/T231)</f>
        <v>-38.95158197507191</v>
      </c>
    </row>
    <row r="232" spans="1:26" s="24" customFormat="1" hidden="1" outlineLevel="2" x14ac:dyDescent="0.25">
      <c r="A232" s="29"/>
      <c r="B232" s="11" t="str">
        <f>CONCATENATE("          ", "6376", " - ", "TRAINING")</f>
        <v xml:space="preserve">          6376 - TRAINING</v>
      </c>
      <c r="C232" s="11"/>
      <c r="D232" s="7">
        <v>791.67</v>
      </c>
      <c r="E232" s="2"/>
      <c r="F232" s="6">
        <f t="shared" si="104"/>
        <v>1.096077225353336E-3</v>
      </c>
      <c r="G232" s="2"/>
      <c r="H232" s="7">
        <v>-20.86</v>
      </c>
      <c r="I232" s="2"/>
      <c r="J232" s="6">
        <f t="shared" si="105"/>
        <v>-2.5818064112293076E-5</v>
      </c>
      <c r="K232" s="2"/>
      <c r="L232" s="7">
        <f t="shared" si="106"/>
        <v>812.53</v>
      </c>
      <c r="M232" s="2"/>
      <c r="N232" s="6">
        <f t="shared" si="107"/>
        <v>-38.95158197507191</v>
      </c>
      <c r="O232" s="11"/>
      <c r="P232" s="7">
        <v>791.67</v>
      </c>
      <c r="Q232" s="2"/>
      <c r="R232" s="6">
        <f t="shared" si="108"/>
        <v>1.096077225353336E-3</v>
      </c>
      <c r="S232" s="2"/>
      <c r="T232" s="7">
        <v>-20.86</v>
      </c>
      <c r="U232" s="2"/>
      <c r="V232" s="6">
        <f t="shared" si="109"/>
        <v>-2.5818064112293076E-5</v>
      </c>
      <c r="W232" s="2"/>
      <c r="X232" s="7">
        <f t="shared" si="110"/>
        <v>812.53</v>
      </c>
      <c r="Y232" s="2"/>
      <c r="Z232" s="6">
        <f t="shared" si="111"/>
        <v>-38.95158197507191</v>
      </c>
    </row>
    <row r="233" spans="1:26" s="28" customFormat="1" outlineLevel="1" collapsed="1" x14ac:dyDescent="0.25">
      <c r="A233" s="27"/>
      <c r="B233" s="14" t="str">
        <f>CONCATENATE("     ","Travel                                            ")</f>
        <v xml:space="preserve">     Travel                                            </v>
      </c>
      <c r="C233" s="14"/>
      <c r="D233" s="1">
        <f>SUM(OSRRefD22_23x_0)</f>
        <v>221.68</v>
      </c>
      <c r="E233" s="1"/>
      <c r="F233" s="5">
        <f t="shared" si="104"/>
        <v>3.069187910572935E-4</v>
      </c>
      <c r="G233" s="1"/>
      <c r="H233" s="1">
        <f>SUM(OSRRefH22_23x_0)</f>
        <v>244.25</v>
      </c>
      <c r="I233" s="1"/>
      <c r="J233" s="5">
        <f t="shared" si="105"/>
        <v>3.0230403448837893E-4</v>
      </c>
      <c r="K233" s="1"/>
      <c r="L233" s="1">
        <f t="shared" si="106"/>
        <v>-22.569999999999993</v>
      </c>
      <c r="M233" s="1"/>
      <c r="N233" s="5">
        <f t="shared" si="107"/>
        <v>-9.2405322415557808E-2</v>
      </c>
      <c r="O233" s="14"/>
      <c r="P233" s="1">
        <f>SUM(OSRRefP22_23x_0)</f>
        <v>221.68</v>
      </c>
      <c r="Q233" s="1"/>
      <c r="R233" s="5">
        <f t="shared" si="108"/>
        <v>3.069187910572935E-4</v>
      </c>
      <c r="S233" s="1"/>
      <c r="T233" s="1">
        <f>SUM(OSRRefT22_23x_0)</f>
        <v>244.25</v>
      </c>
      <c r="U233" s="1"/>
      <c r="V233" s="5">
        <f t="shared" si="109"/>
        <v>3.0230403448837893E-4</v>
      </c>
      <c r="W233" s="1"/>
      <c r="X233" s="1">
        <f t="shared" si="110"/>
        <v>-22.569999999999993</v>
      </c>
      <c r="Y233" s="1"/>
      <c r="Z233" s="5">
        <f t="shared" si="111"/>
        <v>-9.2405322415557808E-2</v>
      </c>
    </row>
    <row r="234" spans="1:26" s="24" customFormat="1" hidden="1" outlineLevel="2" x14ac:dyDescent="0.25">
      <c r="A234" s="29"/>
      <c r="B234" s="11" t="str">
        <f>CONCATENATE("          ", "6292", " - ", "TRAVEL/CONFERENCE")</f>
        <v xml:space="preserve">          6292 - TRAVEL/CONFERENCE</v>
      </c>
      <c r="C234" s="11"/>
      <c r="D234" s="7">
        <v>150.47999999999999</v>
      </c>
      <c r="E234" s="2"/>
      <c r="F234" s="6">
        <f t="shared" si="104"/>
        <v>2.0834148176787046E-4</v>
      </c>
      <c r="G234" s="2"/>
      <c r="H234" s="7">
        <v>123.84</v>
      </c>
      <c r="I234" s="2"/>
      <c r="J234" s="6">
        <f t="shared" si="105"/>
        <v>1.5327464332053571E-4</v>
      </c>
      <c r="K234" s="2"/>
      <c r="L234" s="7">
        <f t="shared" si="106"/>
        <v>26.639999999999986</v>
      </c>
      <c r="M234" s="2"/>
      <c r="N234" s="6">
        <f t="shared" si="107"/>
        <v>0.21511627906976732</v>
      </c>
      <c r="O234" s="11"/>
      <c r="P234" s="7">
        <v>150.47999999999999</v>
      </c>
      <c r="Q234" s="2"/>
      <c r="R234" s="6">
        <f t="shared" si="108"/>
        <v>2.0834148176787046E-4</v>
      </c>
      <c r="S234" s="2"/>
      <c r="T234" s="7">
        <v>123.84</v>
      </c>
      <c r="U234" s="2"/>
      <c r="V234" s="6">
        <f t="shared" si="109"/>
        <v>1.5327464332053571E-4</v>
      </c>
      <c r="W234" s="2"/>
      <c r="X234" s="7">
        <f t="shared" si="110"/>
        <v>26.639999999999986</v>
      </c>
      <c r="Y234" s="2"/>
      <c r="Z234" s="6">
        <f t="shared" si="111"/>
        <v>0.21511627906976732</v>
      </c>
    </row>
    <row r="235" spans="1:26" s="24" customFormat="1" hidden="1" outlineLevel="2" x14ac:dyDescent="0.25">
      <c r="A235" s="29"/>
      <c r="B235" s="11" t="str">
        <f>CONCATENATE("          ", "6294", " - ", "TRAVEL OPERATIONAL")</f>
        <v xml:space="preserve">          6294 - TRAVEL OPERATIONAL</v>
      </c>
      <c r="C235" s="11"/>
      <c r="D235" s="7"/>
      <c r="E235" s="2"/>
      <c r="F235" s="6">
        <f t="shared" si="104"/>
        <v>0</v>
      </c>
      <c r="G235" s="2"/>
      <c r="H235" s="7">
        <v>97.06</v>
      </c>
      <c r="I235" s="2"/>
      <c r="J235" s="6">
        <f t="shared" si="105"/>
        <v>1.201294967756072E-4</v>
      </c>
      <c r="K235" s="2"/>
      <c r="L235" s="7">
        <f t="shared" si="106"/>
        <v>-97.06</v>
      </c>
      <c r="M235" s="2"/>
      <c r="N235" s="6">
        <f t="shared" si="107"/>
        <v>-1</v>
      </c>
      <c r="O235" s="11"/>
      <c r="P235" s="7"/>
      <c r="Q235" s="2"/>
      <c r="R235" s="6">
        <f t="shared" si="108"/>
        <v>0</v>
      </c>
      <c r="S235" s="2"/>
      <c r="T235" s="7">
        <v>97.06</v>
      </c>
      <c r="U235" s="2"/>
      <c r="V235" s="6">
        <f t="shared" si="109"/>
        <v>1.201294967756072E-4</v>
      </c>
      <c r="W235" s="2"/>
      <c r="X235" s="7">
        <f t="shared" si="110"/>
        <v>-97.06</v>
      </c>
      <c r="Y235" s="2"/>
      <c r="Z235" s="6">
        <f t="shared" si="111"/>
        <v>-1</v>
      </c>
    </row>
    <row r="236" spans="1:26" s="24" customFormat="1" hidden="1" outlineLevel="2" x14ac:dyDescent="0.25">
      <c r="A236" s="29"/>
      <c r="B236" s="11" t="str">
        <f>CONCATENATE("          ", "6298", " - ", "VEHICLE MILEAGE")</f>
        <v xml:space="preserve">          6298 - VEHICLE MILEAGE</v>
      </c>
      <c r="C236" s="11"/>
      <c r="D236" s="7">
        <v>71.2</v>
      </c>
      <c r="E236" s="2"/>
      <c r="F236" s="6">
        <f t="shared" si="104"/>
        <v>9.857730928942304E-5</v>
      </c>
      <c r="G236" s="2"/>
      <c r="H236" s="7">
        <v>23.35</v>
      </c>
      <c r="I236" s="2"/>
      <c r="J236" s="6">
        <f t="shared" si="105"/>
        <v>2.8899894392236022E-5</v>
      </c>
      <c r="K236" s="2"/>
      <c r="L236" s="7">
        <f t="shared" si="106"/>
        <v>47.85</v>
      </c>
      <c r="M236" s="2"/>
      <c r="N236" s="6">
        <f t="shared" si="107"/>
        <v>2.0492505353319057</v>
      </c>
      <c r="O236" s="11"/>
      <c r="P236" s="7">
        <v>71.2</v>
      </c>
      <c r="Q236" s="2"/>
      <c r="R236" s="6">
        <f t="shared" si="108"/>
        <v>9.857730928942304E-5</v>
      </c>
      <c r="S236" s="2"/>
      <c r="T236" s="7">
        <v>23.35</v>
      </c>
      <c r="U236" s="2"/>
      <c r="V236" s="6">
        <f t="shared" si="109"/>
        <v>2.8899894392236022E-5</v>
      </c>
      <c r="W236" s="2"/>
      <c r="X236" s="7">
        <f t="shared" si="110"/>
        <v>47.85</v>
      </c>
      <c r="Y236" s="2"/>
      <c r="Z236" s="6">
        <f t="shared" si="111"/>
        <v>2.0492505353319057</v>
      </c>
    </row>
    <row r="237" spans="1:26" s="28" customFormat="1" outlineLevel="1" collapsed="1" x14ac:dyDescent="0.25">
      <c r="A237" s="27"/>
      <c r="B237" s="14" t="str">
        <f>CONCATENATE("     ","Utilities                                         ")</f>
        <v xml:space="preserve">     Utilities                                         </v>
      </c>
      <c r="C237" s="14"/>
      <c r="D237" s="1">
        <f>SUM(OSRRefD22_24x_0)</f>
        <v>5636</v>
      </c>
      <c r="E237" s="1"/>
      <c r="F237" s="5">
        <f t="shared" ref="F237:F238" si="112">IF(D$12=0,0,D237/D$12)</f>
        <v>7.8031139768987108E-3</v>
      </c>
      <c r="G237" s="1"/>
      <c r="H237" s="1">
        <f>SUM(OSRRefH22_24x_0)</f>
        <v>6015.25</v>
      </c>
      <c r="I237" s="1"/>
      <c r="J237" s="5">
        <f t="shared" ref="J237:J238" si="113">IF(H$12=0,0,H237/H$12)</f>
        <v>7.4449717234645702E-3</v>
      </c>
      <c r="K237" s="1"/>
      <c r="L237" s="1">
        <f t="shared" ref="L237:L238" si="114">+D237-H237</f>
        <v>-379.25</v>
      </c>
      <c r="M237" s="1"/>
      <c r="N237" s="5">
        <f t="shared" ref="N237:N238" si="115">IF(H237=0,0,L237/H237)</f>
        <v>-6.3048086114459084E-2</v>
      </c>
      <c r="O237" s="14"/>
      <c r="P237" s="1">
        <f>SUM(OSRRefP22_24x_0)</f>
        <v>5636</v>
      </c>
      <c r="Q237" s="1"/>
      <c r="R237" s="5">
        <f t="shared" ref="R237:R238" si="116">IF(P$12=0,0,P237/P$12)</f>
        <v>7.8031139768987108E-3</v>
      </c>
      <c r="S237" s="1"/>
      <c r="T237" s="1">
        <f>SUM(OSRRefT22_24x_0)</f>
        <v>6015.25</v>
      </c>
      <c r="U237" s="1"/>
      <c r="V237" s="5">
        <f t="shared" ref="V237:V238" si="117">IF(T$12=0,0,T237/T$12)</f>
        <v>7.4449717234645702E-3</v>
      </c>
      <c r="W237" s="1"/>
      <c r="X237" s="1">
        <f t="shared" ref="X237:X238" si="118">+P237-T237</f>
        <v>-379.25</v>
      </c>
      <c r="Y237" s="1"/>
      <c r="Z237" s="5">
        <f t="shared" ref="Z237:Z238" si="119">IF(T237=0,0,X237/T237)</f>
        <v>-6.3048086114459084E-2</v>
      </c>
    </row>
    <row r="238" spans="1:26" s="24" customFormat="1" hidden="1" outlineLevel="2" x14ac:dyDescent="0.25">
      <c r="A238" s="29"/>
      <c r="B238" s="11" t="str">
        <f>CONCATENATE("          ", "6274", " - ", "UTILITIES")</f>
        <v xml:space="preserve">          6274 - UTILITIES</v>
      </c>
      <c r="C238" s="11"/>
      <c r="D238" s="7">
        <v>5636</v>
      </c>
      <c r="E238" s="2"/>
      <c r="F238" s="6">
        <f t="shared" si="112"/>
        <v>7.8031139768987108E-3</v>
      </c>
      <c r="G238" s="2"/>
      <c r="H238" s="7">
        <v>6015.25</v>
      </c>
      <c r="I238" s="2"/>
      <c r="J238" s="6">
        <f t="shared" si="113"/>
        <v>7.4449717234645702E-3</v>
      </c>
      <c r="K238" s="2"/>
      <c r="L238" s="7">
        <f t="shared" si="114"/>
        <v>-379.25</v>
      </c>
      <c r="M238" s="2"/>
      <c r="N238" s="6">
        <f t="shared" si="115"/>
        <v>-6.3048086114459084E-2</v>
      </c>
      <c r="O238" s="11"/>
      <c r="P238" s="7">
        <v>5636</v>
      </c>
      <c r="Q238" s="2"/>
      <c r="R238" s="6">
        <f t="shared" si="116"/>
        <v>7.8031139768987108E-3</v>
      </c>
      <c r="S238" s="2"/>
      <c r="T238" s="7">
        <v>6015.25</v>
      </c>
      <c r="U238" s="2"/>
      <c r="V238" s="6">
        <f t="shared" si="117"/>
        <v>7.4449717234645702E-3</v>
      </c>
      <c r="W238" s="2"/>
      <c r="X238" s="7">
        <f t="shared" si="118"/>
        <v>-379.25</v>
      </c>
      <c r="Y238" s="2"/>
      <c r="Z238" s="6">
        <f t="shared" si="119"/>
        <v>-6.3048086114459084E-2</v>
      </c>
    </row>
    <row r="239" spans="1:26" s="54" customFormat="1" x14ac:dyDescent="0.25">
      <c r="A239" s="37"/>
      <c r="B239" s="37"/>
      <c r="C239" s="37"/>
      <c r="D239" s="1"/>
      <c r="E239" s="1"/>
      <c r="F239" s="5"/>
      <c r="G239" s="1"/>
      <c r="H239" s="1"/>
      <c r="I239" s="1"/>
      <c r="J239" s="5"/>
      <c r="K239" s="1"/>
      <c r="L239" s="1"/>
      <c r="M239" s="1"/>
      <c r="N239" s="5"/>
      <c r="O239" s="37"/>
      <c r="P239" s="1"/>
      <c r="Q239" s="1"/>
      <c r="R239" s="5"/>
      <c r="S239" s="1"/>
      <c r="T239" s="1"/>
      <c r="U239" s="1"/>
      <c r="V239" s="5"/>
      <c r="W239" s="1"/>
      <c r="X239" s="1"/>
      <c r="Y239" s="1"/>
      <c r="Z239" s="5"/>
    </row>
    <row r="240" spans="1:26" s="23" customFormat="1" collapsed="1" x14ac:dyDescent="0.25">
      <c r="A240" s="10"/>
      <c r="B240" s="26" t="s">
        <v>0</v>
      </c>
      <c r="C240" s="10"/>
      <c r="D240" s="4">
        <f>SUM(OSRRefD25x_0)</f>
        <v>70884.909999999989</v>
      </c>
      <c r="E240" s="4"/>
      <c r="F240" s="12">
        <f t="shared" ref="F240:F247" si="120">IF(D$12=0,0,D240/D$12)</f>
        <v>9.8141063160434194E-2</v>
      </c>
      <c r="G240" s="4"/>
      <c r="H240" s="4">
        <f>SUM(OSRRefH25x_0)</f>
        <v>79938.64</v>
      </c>
      <c r="I240" s="4"/>
      <c r="J240" s="12">
        <f t="shared" ref="J240:J247" si="121">IF(H$12=0,0,H240/H$12)</f>
        <v>9.8938683248778331E-2</v>
      </c>
      <c r="K240" s="4"/>
      <c r="L240" s="4">
        <f t="shared" ref="L240:L247" si="122">+D240-H240</f>
        <v>-9053.7300000000105</v>
      </c>
      <c r="M240" s="4"/>
      <c r="N240" s="12">
        <f t="shared" ref="N240:N247" si="123">IF(H240=0,0,L240/H240)</f>
        <v>-0.11325849426510147</v>
      </c>
      <c r="O240" s="10"/>
      <c r="P240" s="4">
        <f>SUM(OSRRefP25x_0)</f>
        <v>70884.909999999989</v>
      </c>
      <c r="Q240" s="4"/>
      <c r="R240" s="12">
        <f t="shared" ref="R240:R247" si="124">IF(P$12=0,0,P240/P$12)</f>
        <v>9.8141063160434194E-2</v>
      </c>
      <c r="S240" s="4"/>
      <c r="T240" s="4">
        <f>SUM(OSRRefT25x_0)</f>
        <v>79938.64</v>
      </c>
      <c r="U240" s="4"/>
      <c r="V240" s="12">
        <f t="shared" ref="V240:V247" si="125">IF(T$12=0,0,T240/T$12)</f>
        <v>9.8938683248778331E-2</v>
      </c>
      <c r="W240" s="4"/>
      <c r="X240" s="4">
        <f t="shared" ref="X240:X247" si="126">+P240-T240</f>
        <v>-9053.7300000000105</v>
      </c>
      <c r="Y240" s="4"/>
      <c r="Z240" s="12">
        <f t="shared" ref="Z240:Z247" si="127">IF(T240=0,0,X240/T240)</f>
        <v>-0.11325849426510147</v>
      </c>
    </row>
    <row r="241" spans="1:26" s="24" customFormat="1" hidden="1" outlineLevel="1" x14ac:dyDescent="0.25">
      <c r="A241" s="50"/>
      <c r="B241" s="11" t="str">
        <f>CONCATENATE("          ", "4098", " - ", "TAXABLE SALES-GRAD RENTALS")</f>
        <v xml:space="preserve">          4098 - TAXABLE SALES-GRAD RENTALS</v>
      </c>
      <c r="C241" s="11"/>
      <c r="D241" s="2">
        <f>--74.7</f>
        <v>74.7</v>
      </c>
      <c r="E241" s="2"/>
      <c r="F241" s="22">
        <f t="shared" si="120"/>
        <v>1.0342310398763906E-4</v>
      </c>
      <c r="G241" s="2"/>
      <c r="H241" s="2">
        <f>0</f>
        <v>0</v>
      </c>
      <c r="I241" s="2"/>
      <c r="J241" s="22">
        <f t="shared" si="121"/>
        <v>0</v>
      </c>
      <c r="K241" s="2"/>
      <c r="L241" s="2">
        <f t="shared" si="122"/>
        <v>74.7</v>
      </c>
      <c r="M241" s="2"/>
      <c r="N241" s="22">
        <f t="shared" si="123"/>
        <v>0</v>
      </c>
      <c r="O241" s="11"/>
      <c r="P241" s="2">
        <f>--74.7</f>
        <v>74.7</v>
      </c>
      <c r="Q241" s="2"/>
      <c r="R241" s="22">
        <f t="shared" si="124"/>
        <v>1.0342310398763906E-4</v>
      </c>
      <c r="S241" s="2"/>
      <c r="T241" s="2">
        <f>0</f>
        <v>0</v>
      </c>
      <c r="U241" s="2"/>
      <c r="V241" s="22">
        <f t="shared" si="125"/>
        <v>0</v>
      </c>
      <c r="W241" s="2"/>
      <c r="X241" s="2">
        <f t="shared" si="126"/>
        <v>74.7</v>
      </c>
      <c r="Y241" s="2"/>
      <c r="Z241" s="22">
        <f t="shared" si="127"/>
        <v>0</v>
      </c>
    </row>
    <row r="242" spans="1:26" s="24" customFormat="1" hidden="1" outlineLevel="1" x14ac:dyDescent="0.25">
      <c r="A242" s="50"/>
      <c r="B242" s="11" t="str">
        <f>CONCATENATE("          ", "4187", " - ", "NON-TAXABLE SALES-COMPUTER REP")</f>
        <v xml:space="preserve">          4187 - NON-TAXABLE SALES-COMPUTER REP</v>
      </c>
      <c r="C242" s="11"/>
      <c r="D242" s="2">
        <f>--781.89</f>
        <v>781.89</v>
      </c>
      <c r="E242" s="2"/>
      <c r="F242" s="22">
        <f t="shared" si="120"/>
        <v>1.0825366904537496E-3</v>
      </c>
      <c r="G242" s="2"/>
      <c r="H242" s="2">
        <f>--314.73</f>
        <v>314.73</v>
      </c>
      <c r="I242" s="2"/>
      <c r="J242" s="22">
        <f t="shared" si="121"/>
        <v>3.8953592128772774E-4</v>
      </c>
      <c r="K242" s="2"/>
      <c r="L242" s="2">
        <f t="shared" si="122"/>
        <v>467.15999999999997</v>
      </c>
      <c r="M242" s="2"/>
      <c r="N242" s="22">
        <f t="shared" si="123"/>
        <v>1.4843198932418262</v>
      </c>
      <c r="O242" s="11"/>
      <c r="P242" s="2">
        <f>--781.89</f>
        <v>781.89</v>
      </c>
      <c r="Q242" s="2"/>
      <c r="R242" s="22">
        <f t="shared" si="124"/>
        <v>1.0825366904537496E-3</v>
      </c>
      <c r="S242" s="2"/>
      <c r="T242" s="2">
        <f>--314.73</f>
        <v>314.73</v>
      </c>
      <c r="U242" s="2"/>
      <c r="V242" s="22">
        <f t="shared" si="125"/>
        <v>3.8953592128772774E-4</v>
      </c>
      <c r="W242" s="2"/>
      <c r="X242" s="2">
        <f t="shared" si="126"/>
        <v>467.15999999999997</v>
      </c>
      <c r="Y242" s="2"/>
      <c r="Z242" s="22">
        <f t="shared" si="127"/>
        <v>1.4843198932418262</v>
      </c>
    </row>
    <row r="243" spans="1:26" s="24" customFormat="1" hidden="1" outlineLevel="1" x14ac:dyDescent="0.25">
      <c r="A243" s="50"/>
      <c r="B243" s="11" t="str">
        <f>CONCATENATE("          ", "4198", " - ", "NON-TAXABLE SALES-GRAD RENTALS")</f>
        <v xml:space="preserve">          4198 - NON-TAXABLE SALES-GRAD RENTALS</v>
      </c>
      <c r="C243" s="11"/>
      <c r="D243" s="2">
        <f>--255</f>
        <v>255</v>
      </c>
      <c r="E243" s="2"/>
      <c r="F243" s="22">
        <f t="shared" si="120"/>
        <v>3.5305075658431E-4</v>
      </c>
      <c r="G243" s="2"/>
      <c r="H243" s="2">
        <f>--345</f>
        <v>345</v>
      </c>
      <c r="I243" s="2"/>
      <c r="J243" s="22">
        <f t="shared" si="121"/>
        <v>4.2700058095594977E-4</v>
      </c>
      <c r="K243" s="2"/>
      <c r="L243" s="2">
        <f t="shared" si="122"/>
        <v>-90</v>
      </c>
      <c r="M243" s="2"/>
      <c r="N243" s="22">
        <f t="shared" si="123"/>
        <v>-0.2608695652173913</v>
      </c>
      <c r="O243" s="11"/>
      <c r="P243" s="2">
        <f>--255</f>
        <v>255</v>
      </c>
      <c r="Q243" s="2"/>
      <c r="R243" s="22">
        <f t="shared" si="124"/>
        <v>3.5305075658431E-4</v>
      </c>
      <c r="S243" s="2"/>
      <c r="T243" s="2">
        <f>--345</f>
        <v>345</v>
      </c>
      <c r="U243" s="2"/>
      <c r="V243" s="22">
        <f t="shared" si="125"/>
        <v>4.2700058095594977E-4</v>
      </c>
      <c r="W243" s="2"/>
      <c r="X243" s="2">
        <f t="shared" si="126"/>
        <v>-90</v>
      </c>
      <c r="Y243" s="2"/>
      <c r="Z243" s="22">
        <f t="shared" si="127"/>
        <v>-0.2608695652173913</v>
      </c>
    </row>
    <row r="244" spans="1:26" s="24" customFormat="1" hidden="1" outlineLevel="1" x14ac:dyDescent="0.25">
      <c r="A244" s="50"/>
      <c r="B244" s="11" t="str">
        <f>CONCATENATE("          ", "4387", " - ", "SALES RETURN NON TAXABLE-COMPU")</f>
        <v xml:space="preserve">          4387 - SALES RETURN NON TAXABLE-COMPU</v>
      </c>
      <c r="C244" s="11"/>
      <c r="D244" s="2">
        <f>-630.8</f>
        <v>-630.79999999999995</v>
      </c>
      <c r="E244" s="2"/>
      <c r="F244" s="22">
        <f t="shared" si="120"/>
        <v>-8.7335065589561858E-4</v>
      </c>
      <c r="G244" s="2"/>
      <c r="H244" s="2">
        <f>0</f>
        <v>0</v>
      </c>
      <c r="I244" s="2"/>
      <c r="J244" s="22">
        <f t="shared" si="121"/>
        <v>0</v>
      </c>
      <c r="K244" s="2"/>
      <c r="L244" s="2">
        <f t="shared" si="122"/>
        <v>-630.79999999999995</v>
      </c>
      <c r="M244" s="2"/>
      <c r="N244" s="22">
        <f t="shared" si="123"/>
        <v>0</v>
      </c>
      <c r="O244" s="11"/>
      <c r="P244" s="2">
        <f>-630.8</f>
        <v>-630.79999999999995</v>
      </c>
      <c r="Q244" s="2"/>
      <c r="R244" s="22">
        <f t="shared" si="124"/>
        <v>-8.7335065589561858E-4</v>
      </c>
      <c r="S244" s="2"/>
      <c r="T244" s="2">
        <f>0</f>
        <v>0</v>
      </c>
      <c r="U244" s="2"/>
      <c r="V244" s="22">
        <f t="shared" si="125"/>
        <v>0</v>
      </c>
      <c r="W244" s="2"/>
      <c r="X244" s="2">
        <f t="shared" si="126"/>
        <v>-630.79999999999995</v>
      </c>
      <c r="Y244" s="2"/>
      <c r="Z244" s="22">
        <f t="shared" si="127"/>
        <v>0</v>
      </c>
    </row>
    <row r="245" spans="1:26" s="24" customFormat="1" hidden="1" outlineLevel="1" x14ac:dyDescent="0.25">
      <c r="A245" s="50"/>
      <c r="B245" s="11" t="str">
        <f>CONCATENATE("          ", "9150", " - ", "MISC. INCOME")</f>
        <v xml:space="preserve">          9150 - MISC. INCOME</v>
      </c>
      <c r="C245" s="11"/>
      <c r="D245" s="2">
        <f>--70498.61</f>
        <v>70498.61</v>
      </c>
      <c r="E245" s="2"/>
      <c r="F245" s="22">
        <f t="shared" si="120"/>
        <v>9.7606225877028246E-2</v>
      </c>
      <c r="G245" s="2"/>
      <c r="H245" s="2">
        <f>--78247.21</f>
        <v>78247.210000000006</v>
      </c>
      <c r="I245" s="2"/>
      <c r="J245" s="22">
        <f t="shared" si="121"/>
        <v>9.6845229357049867E-2</v>
      </c>
      <c r="K245" s="2"/>
      <c r="L245" s="2">
        <f t="shared" si="122"/>
        <v>-7748.6000000000058</v>
      </c>
      <c r="M245" s="2"/>
      <c r="N245" s="22">
        <f t="shared" si="123"/>
        <v>-9.9027172981630981E-2</v>
      </c>
      <c r="O245" s="11"/>
      <c r="P245" s="2">
        <f>--70498.61</f>
        <v>70498.61</v>
      </c>
      <c r="Q245" s="2"/>
      <c r="R245" s="22">
        <f t="shared" si="124"/>
        <v>9.7606225877028246E-2</v>
      </c>
      <c r="S245" s="2"/>
      <c r="T245" s="2">
        <f>--78247.21</f>
        <v>78247.210000000006</v>
      </c>
      <c r="U245" s="2"/>
      <c r="V245" s="22">
        <f t="shared" si="125"/>
        <v>9.6845229357049867E-2</v>
      </c>
      <c r="W245" s="2"/>
      <c r="X245" s="2">
        <f t="shared" si="126"/>
        <v>-7748.6000000000058</v>
      </c>
      <c r="Y245" s="2"/>
      <c r="Z245" s="22">
        <f t="shared" si="127"/>
        <v>-9.9027172981630981E-2</v>
      </c>
    </row>
    <row r="246" spans="1:26" s="24" customFormat="1" hidden="1" outlineLevel="1" x14ac:dyDescent="0.25">
      <c r="A246" s="50"/>
      <c r="B246" s="11" t="str">
        <f>CONCATENATE("          ", "9151", " - ", "MISC. INCOME")</f>
        <v xml:space="preserve">          9151 - MISC. INCOME</v>
      </c>
      <c r="C246" s="11"/>
      <c r="D246" s="2">
        <f>-94.49</f>
        <v>-94.49</v>
      </c>
      <c r="E246" s="2"/>
      <c r="F246" s="22">
        <f t="shared" si="120"/>
        <v>-1.3082261172412334E-4</v>
      </c>
      <c r="G246" s="2"/>
      <c r="H246" s="2">
        <f>--259.36</f>
        <v>259.36</v>
      </c>
      <c r="I246" s="2"/>
      <c r="J246" s="22">
        <f t="shared" si="121"/>
        <v>3.2100542225140617E-4</v>
      </c>
      <c r="K246" s="2"/>
      <c r="L246" s="2">
        <f t="shared" si="122"/>
        <v>-353.85</v>
      </c>
      <c r="M246" s="2"/>
      <c r="N246" s="22">
        <f t="shared" si="123"/>
        <v>-1.3643198642813079</v>
      </c>
      <c r="O246" s="11"/>
      <c r="P246" s="2">
        <f>-94.49</f>
        <v>-94.49</v>
      </c>
      <c r="Q246" s="2"/>
      <c r="R246" s="22">
        <f t="shared" si="124"/>
        <v>-1.3082261172412334E-4</v>
      </c>
      <c r="S246" s="2"/>
      <c r="T246" s="2">
        <f>--259.36</f>
        <v>259.36</v>
      </c>
      <c r="U246" s="2"/>
      <c r="V246" s="22">
        <f t="shared" si="125"/>
        <v>3.2100542225140617E-4</v>
      </c>
      <c r="W246" s="2"/>
      <c r="X246" s="2">
        <f t="shared" si="126"/>
        <v>-353.85</v>
      </c>
      <c r="Y246" s="2"/>
      <c r="Z246" s="22">
        <f t="shared" si="127"/>
        <v>-1.3643198642813079</v>
      </c>
    </row>
    <row r="247" spans="1:26" s="24" customFormat="1" hidden="1" outlineLevel="1" x14ac:dyDescent="0.25">
      <c r="A247" s="50"/>
      <c r="B247" s="11" t="str">
        <f>CONCATENATE("          ", "9152", " - ", "MISC. INCOME")</f>
        <v xml:space="preserve">          9152 - MISC. INCOME</v>
      </c>
      <c r="C247" s="11"/>
      <c r="D247" s="2">
        <f>0</f>
        <v>0</v>
      </c>
      <c r="E247" s="2"/>
      <c r="F247" s="22">
        <f t="shared" si="120"/>
        <v>0</v>
      </c>
      <c r="G247" s="2"/>
      <c r="H247" s="2">
        <f>--772.34</f>
        <v>772.34</v>
      </c>
      <c r="I247" s="2"/>
      <c r="J247" s="22">
        <f t="shared" si="121"/>
        <v>9.559119672333862E-4</v>
      </c>
      <c r="K247" s="2"/>
      <c r="L247" s="2">
        <f t="shared" si="122"/>
        <v>-772.34</v>
      </c>
      <c r="M247" s="2"/>
      <c r="N247" s="22">
        <f t="shared" si="123"/>
        <v>-1</v>
      </c>
      <c r="O247" s="11"/>
      <c r="P247" s="2">
        <f>0</f>
        <v>0</v>
      </c>
      <c r="Q247" s="2"/>
      <c r="R247" s="22">
        <f t="shared" si="124"/>
        <v>0</v>
      </c>
      <c r="S247" s="2"/>
      <c r="T247" s="2">
        <f>--772.34</f>
        <v>772.34</v>
      </c>
      <c r="U247" s="2"/>
      <c r="V247" s="22">
        <f t="shared" si="125"/>
        <v>9.559119672333862E-4</v>
      </c>
      <c r="W247" s="2"/>
      <c r="X247" s="2">
        <f t="shared" si="126"/>
        <v>-772.34</v>
      </c>
      <c r="Y247" s="2"/>
      <c r="Z247" s="22">
        <f t="shared" si="127"/>
        <v>-1</v>
      </c>
    </row>
    <row r="248" spans="1:26" x14ac:dyDescent="0.25">
      <c r="A248" s="9"/>
      <c r="B248" s="10"/>
      <c r="C248" s="10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O248" s="10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x14ac:dyDescent="0.25">
      <c r="A249" s="10"/>
      <c r="B249" s="25" t="s">
        <v>3</v>
      </c>
      <c r="C249" s="25"/>
      <c r="D249" s="21">
        <f>+D153-D155+D240</f>
        <v>-123876.17999999957</v>
      </c>
      <c r="E249" s="13"/>
      <c r="F249" s="20">
        <f>IF(D$12=0,0,D249/D$12)</f>
        <v>-0.17150815322264323</v>
      </c>
      <c r="G249" s="13"/>
      <c r="H249" s="21">
        <f>+H153-H155+H240</f>
        <v>-133571.82000000024</v>
      </c>
      <c r="I249" s="13"/>
      <c r="J249" s="20">
        <f>IF(H$12=0,0,H249/H$12)</f>
        <v>-0.16531954996911202</v>
      </c>
      <c r="K249" s="16"/>
      <c r="L249" s="21">
        <f>+D249-H249</f>
        <v>9695.6400000006688</v>
      </c>
      <c r="M249" s="16"/>
      <c r="N249" s="20">
        <f>IF(H249=0,0,L249/H249)</f>
        <v>-7.2587466428178121E-2</v>
      </c>
      <c r="O249" s="26"/>
      <c r="P249" s="21">
        <f>+P153-P155+P240</f>
        <v>-123876.17999999957</v>
      </c>
      <c r="Q249" s="13"/>
      <c r="R249" s="20">
        <f>IF(P$12=0,0,P249/P$12)</f>
        <v>-0.17150815322264323</v>
      </c>
      <c r="S249" s="13"/>
      <c r="T249" s="21">
        <f>+T153-T155+T240</f>
        <v>-133571.82000000024</v>
      </c>
      <c r="U249" s="13"/>
      <c r="V249" s="20">
        <f>IF(T$12=0,0,T249/T$12)</f>
        <v>-0.16531954996911202</v>
      </c>
      <c r="W249" s="16"/>
      <c r="X249" s="21">
        <f>+P249-T249</f>
        <v>9695.6400000006688</v>
      </c>
      <c r="Y249" s="16"/>
      <c r="Z249" s="20">
        <f>IF(T249=0,0,X249/T249)</f>
        <v>-7.2587466428178121E-2</v>
      </c>
    </row>
    <row r="250" spans="1:26" x14ac:dyDescent="0.25">
      <c r="A250" s="9"/>
      <c r="B250" s="10"/>
      <c r="C250" s="9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x14ac:dyDescent="0.25">
      <c r="A251" s="51"/>
      <c r="B251" s="10" t="s">
        <v>13</v>
      </c>
      <c r="C251" s="10"/>
      <c r="D251" s="4">
        <v>150182.41999999998</v>
      </c>
      <c r="E251" s="4"/>
      <c r="F251" s="12">
        <f>IF(D$12=0,0,D251/D$12)</f>
        <v>0.20792947845750043</v>
      </c>
      <c r="G251" s="4"/>
      <c r="H251" s="4">
        <v>165875</v>
      </c>
      <c r="I251" s="4"/>
      <c r="J251" s="12">
        <f>IF(H$12=0,0,H251/H$12)</f>
        <v>0.2053006416407773</v>
      </c>
      <c r="K251" s="4"/>
      <c r="L251" s="4">
        <f>+D251-H251</f>
        <v>-15692.580000000016</v>
      </c>
      <c r="M251" s="4"/>
      <c r="N251" s="12">
        <f>IF(H251=0,0,L251/H251)</f>
        <v>-9.460485305199709E-2</v>
      </c>
      <c r="O251" s="10"/>
      <c r="P251" s="4">
        <v>150182.41999999998</v>
      </c>
      <c r="Q251" s="4"/>
      <c r="R251" s="12">
        <f>IF(P$12=0,0,P251/P$12)</f>
        <v>0.20792947845750043</v>
      </c>
      <c r="S251" s="4"/>
      <c r="T251" s="4">
        <v>165875</v>
      </c>
      <c r="U251" s="4"/>
      <c r="V251" s="12">
        <f>IF(T$12=0,0,T251/T$12)</f>
        <v>0.2053006416407773</v>
      </c>
      <c r="W251" s="4"/>
      <c r="X251" s="4">
        <f>+P251-T251</f>
        <v>-15692.580000000016</v>
      </c>
      <c r="Y251" s="4"/>
      <c r="Z251" s="12">
        <f>IF(T251=0,0,X251/T251)</f>
        <v>-9.460485305199709E-2</v>
      </c>
    </row>
    <row r="252" spans="1:26" x14ac:dyDescent="0.25">
      <c r="A252" s="9"/>
      <c r="B252" s="10"/>
      <c r="C252" s="10"/>
      <c r="D252" s="3"/>
      <c r="E252" s="3"/>
      <c r="F252" s="8"/>
      <c r="G252" s="3"/>
      <c r="H252" s="3"/>
      <c r="I252" s="3"/>
      <c r="J252" s="8"/>
      <c r="K252" s="3"/>
      <c r="L252" s="3"/>
      <c r="M252" s="3"/>
      <c r="N252" s="8"/>
      <c r="O252" s="10"/>
      <c r="P252" s="3"/>
      <c r="Q252" s="3"/>
      <c r="R252" s="8"/>
      <c r="S252" s="3"/>
      <c r="T252" s="3"/>
      <c r="U252" s="3"/>
      <c r="V252" s="8"/>
      <c r="W252" s="3"/>
      <c r="X252" s="3"/>
      <c r="Y252" s="3"/>
      <c r="Z252" s="8"/>
    </row>
    <row r="253" spans="1:26" s="23" customFormat="1" ht="15.75" thickBot="1" x14ac:dyDescent="0.3">
      <c r="A253" s="10"/>
      <c r="B253" s="25" t="s">
        <v>4</v>
      </c>
      <c r="C253" s="25"/>
      <c r="D253" s="33">
        <f>+D249-D251</f>
        <v>-274058.59999999957</v>
      </c>
      <c r="E253" s="13"/>
      <c r="F253" s="34">
        <f>IF(D$12=0,0,D253/D$12)</f>
        <v>-0.37943763168014366</v>
      </c>
      <c r="G253" s="13"/>
      <c r="H253" s="33">
        <f>+H249-H251</f>
        <v>-299446.82000000024</v>
      </c>
      <c r="I253" s="13"/>
      <c r="J253" s="34">
        <f>IF(H$12=0,0,H253/H$12)</f>
        <v>-0.37062019160988929</v>
      </c>
      <c r="K253" s="16"/>
      <c r="L253" s="33">
        <f>D253-H253</f>
        <v>25388.220000000671</v>
      </c>
      <c r="M253" s="16"/>
      <c r="N253" s="34">
        <f>IF(H253=0,0,L253/H253)</f>
        <v>-8.4783735556118608E-2</v>
      </c>
      <c r="O253" s="26"/>
      <c r="P253" s="33">
        <f>+P249-P251</f>
        <v>-274058.59999999957</v>
      </c>
      <c r="Q253" s="13"/>
      <c r="R253" s="34">
        <f>IF(P$12=0,0,P253/P$12)</f>
        <v>-0.37943763168014366</v>
      </c>
      <c r="S253" s="13"/>
      <c r="T253" s="33">
        <f>+T249-T251</f>
        <v>-299446.82000000024</v>
      </c>
      <c r="U253" s="13"/>
      <c r="V253" s="34">
        <f>IF(T$12=0,0,T253/T$12)</f>
        <v>-0.37062019160988929</v>
      </c>
      <c r="W253" s="16"/>
      <c r="X253" s="33">
        <f>P253-T253</f>
        <v>25388.220000000671</v>
      </c>
      <c r="Y253" s="16"/>
      <c r="Z253" s="34">
        <f>IF(T253=0,0,X253/T253)</f>
        <v>-8.4783735556118608E-2</v>
      </c>
    </row>
    <row r="254" spans="1:26" ht="15.75" thickTop="1" x14ac:dyDescent="0.25">
      <c r="A254" s="9"/>
      <c r="B254" s="9"/>
      <c r="C254" s="9"/>
      <c r="D254" s="3"/>
      <c r="E254" s="3"/>
      <c r="F254" s="8"/>
      <c r="G254" s="3"/>
      <c r="H254" s="3"/>
      <c r="I254" s="3"/>
      <c r="J254" s="8"/>
      <c r="K254" s="3"/>
      <c r="L254" s="3"/>
      <c r="M254" s="3"/>
      <c r="N254" s="8"/>
      <c r="P254" s="3"/>
      <c r="Q254" s="3"/>
      <c r="R254" s="8"/>
      <c r="S254" s="3"/>
      <c r="T254" s="3"/>
      <c r="U254" s="3"/>
      <c r="V254" s="8"/>
      <c r="W254" s="3"/>
      <c r="X254" s="3"/>
      <c r="Y254" s="3"/>
      <c r="Z254" s="8"/>
    </row>
    <row r="255" spans="1:26" x14ac:dyDescent="0.25">
      <c r="A255" s="9"/>
      <c r="B255" s="9"/>
      <c r="C255" s="9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ht="15.75" thickBot="1" x14ac:dyDescent="0.3">
      <c r="A256" s="10"/>
      <c r="B256" s="25" t="s">
        <v>5</v>
      </c>
      <c r="C256" s="25"/>
      <c r="D256" s="31">
        <f>SUM(D253:D255)</f>
        <v>-274058.59999999957</v>
      </c>
      <c r="E256" s="13"/>
      <c r="F256" s="30">
        <f>IF(D$12=0,0,D256/D$12)</f>
        <v>-0.37943763168014366</v>
      </c>
      <c r="G256" s="13"/>
      <c r="H256" s="31">
        <f>SUM(H253:H255)</f>
        <v>-299446.82000000024</v>
      </c>
      <c r="I256" s="13"/>
      <c r="J256" s="30">
        <f>IF(H$12=0,0,H256/H$12)</f>
        <v>-0.37062019160988929</v>
      </c>
      <c r="K256" s="16"/>
      <c r="L256" s="31">
        <f>+D256-H256</f>
        <v>25388.220000000671</v>
      </c>
      <c r="M256" s="16"/>
      <c r="N256" s="30">
        <f>IF(H256=0,0,L256/H256)</f>
        <v>-8.4783735556118608E-2</v>
      </c>
      <c r="O256" s="26"/>
      <c r="P256" s="31">
        <f>SUM(P253:P255)</f>
        <v>-274058.59999999957</v>
      </c>
      <c r="Q256" s="13"/>
      <c r="R256" s="30">
        <f>IF(P$12=0,0,P256/P$12)</f>
        <v>-0.37943763168014366</v>
      </c>
      <c r="S256" s="13"/>
      <c r="T256" s="31">
        <f>SUM(T253:T255)</f>
        <v>-299446.82000000024</v>
      </c>
      <c r="U256" s="13"/>
      <c r="V256" s="30">
        <f>IF(T$12=0,0,T256/T$12)</f>
        <v>-0.37062019160988929</v>
      </c>
      <c r="W256" s="16"/>
      <c r="X256" s="31">
        <f>+P256-T256</f>
        <v>25388.220000000671</v>
      </c>
      <c r="Y256" s="16"/>
      <c r="Z256" s="30">
        <f>IF(T256=0,0,X256/T256)</f>
        <v>-8.4783735556118608E-2</v>
      </c>
    </row>
    <row r="257" spans="1:24" ht="15.75" thickTop="1" x14ac:dyDescent="0.25">
      <c r="A257" s="9"/>
      <c r="C257" s="9"/>
      <c r="D257" s="18"/>
      <c r="E257" s="18"/>
      <c r="G257" s="18"/>
      <c r="H257" s="18"/>
      <c r="I257" s="18"/>
      <c r="J257" s="43"/>
      <c r="K257" s="18"/>
      <c r="L257" s="18"/>
      <c r="M257" s="18"/>
      <c r="P257" s="18"/>
      <c r="Q257" s="18"/>
      <c r="R257" s="43"/>
      <c r="S257" s="18"/>
      <c r="T257" s="18"/>
      <c r="U257" s="18"/>
      <c r="V257" s="43"/>
      <c r="W257" s="18"/>
      <c r="X257" s="18"/>
    </row>
    <row r="258" spans="1:24" x14ac:dyDescent="0.25">
      <c r="A258" s="9"/>
      <c r="B258" s="56">
        <v>43726.681337071757</v>
      </c>
      <c r="D258" s="18"/>
      <c r="E258" s="18"/>
      <c r="G258" s="18"/>
      <c r="H258" s="18"/>
      <c r="I258" s="18"/>
      <c r="J258" s="43"/>
      <c r="K258" s="18"/>
      <c r="L258" s="18"/>
      <c r="M258" s="18"/>
      <c r="P258" s="18"/>
      <c r="Q258" s="18"/>
      <c r="R258" s="43"/>
      <c r="S258" s="18"/>
      <c r="T258" s="18"/>
      <c r="U258" s="18"/>
      <c r="V258" s="43"/>
      <c r="W258" s="18"/>
      <c r="X258" s="18"/>
    </row>
    <row r="259" spans="1:24" x14ac:dyDescent="0.25">
      <c r="A259" s="9"/>
      <c r="B259" s="53" t="s">
        <v>313</v>
      </c>
      <c r="D259" s="18"/>
      <c r="E259" s="18"/>
      <c r="G259" s="18"/>
      <c r="H259" s="18"/>
      <c r="I259" s="18"/>
      <c r="J259" s="43"/>
      <c r="K259" s="18"/>
      <c r="L259" s="18"/>
      <c r="M259" s="18"/>
      <c r="P259" s="18"/>
      <c r="Q259" s="18"/>
      <c r="R259" s="43"/>
      <c r="S259" s="18"/>
      <c r="T259" s="18"/>
      <c r="U259" s="18"/>
      <c r="V259" s="43"/>
      <c r="W259" s="18"/>
      <c r="X259" s="18"/>
    </row>
    <row r="260" spans="1:24" x14ac:dyDescent="0.25">
      <c r="A260" s="9"/>
      <c r="B260" s="59"/>
      <c r="D260" s="18"/>
      <c r="E260" s="18"/>
      <c r="G260" s="18"/>
      <c r="H260" s="18"/>
      <c r="I260" s="18"/>
      <c r="J260" s="43"/>
      <c r="K260" s="18"/>
      <c r="L260" s="18"/>
      <c r="M260" s="18"/>
      <c r="P260" s="18"/>
      <c r="Q260" s="18"/>
      <c r="R260" s="43"/>
      <c r="S260" s="18"/>
      <c r="T260" s="18"/>
      <c r="U260" s="18"/>
      <c r="V260" s="43"/>
      <c r="W260" s="18"/>
      <c r="X260" s="18"/>
    </row>
    <row r="261" spans="1:24" x14ac:dyDescent="0.25">
      <c r="D261" s="18"/>
      <c r="E261" s="18"/>
      <c r="G261" s="18"/>
      <c r="H261" s="18"/>
      <c r="I261" s="18"/>
      <c r="J261" s="43"/>
      <c r="K261" s="18"/>
      <c r="L261" s="18"/>
      <c r="M261" s="18"/>
      <c r="P261" s="18"/>
      <c r="Q261" s="18"/>
      <c r="R261" s="43"/>
      <c r="S261" s="18"/>
      <c r="T261" s="18"/>
      <c r="U261" s="18"/>
      <c r="V261" s="43"/>
      <c r="W261" s="18"/>
      <c r="X261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","301", " - ", "Bookstore")</f>
        <v>Department 301 - Bookstore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124443.05999999997</v>
      </c>
      <c r="E18" s="19"/>
      <c r="F18" s="35">
        <f t="shared" ref="F18:F27" si="0">IF(D$12=0,0,D18/D$12)</f>
        <v>0</v>
      </c>
      <c r="G18" s="19"/>
      <c r="H18" s="19">
        <f>SUM(OSRRefH22x_0)</f>
        <v>172302.93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-47859.870000000024</v>
      </c>
      <c r="M18" s="4"/>
      <c r="N18" s="35">
        <f t="shared" ref="N18:N27" si="3">IF(H18=0,0,L18/H18)</f>
        <v>-0.27776585110885826</v>
      </c>
      <c r="O18" s="10"/>
      <c r="P18" s="19">
        <f>SUM(OSRRefP22x_0)</f>
        <v>124443.05999999997</v>
      </c>
      <c r="Q18" s="19"/>
      <c r="R18" s="35">
        <f t="shared" ref="R18:R27" si="4">IF(P$12=0,0,P18/P$12)</f>
        <v>0</v>
      </c>
      <c r="S18" s="19"/>
      <c r="T18" s="19">
        <f>SUM(OSRRefT22x_0)</f>
        <v>172302.93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-47859.870000000024</v>
      </c>
      <c r="Y18" s="4"/>
      <c r="Z18" s="35">
        <f t="shared" ref="Z18:Z27" si="7">IF(T18=0,0,X18/T18)</f>
        <v>-0.27776585110885826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14335.359999999997</v>
      </c>
      <c r="E19" s="1"/>
      <c r="F19" s="5">
        <f t="shared" si="0"/>
        <v>0</v>
      </c>
      <c r="G19" s="1"/>
      <c r="H19" s="1">
        <f>SUM(OSRRefH22_0x_0)</f>
        <v>11584.42</v>
      </c>
      <c r="I19" s="1"/>
      <c r="J19" s="5">
        <f t="shared" si="1"/>
        <v>0</v>
      </c>
      <c r="K19" s="1"/>
      <c r="L19" s="1">
        <f t="shared" si="2"/>
        <v>2750.9399999999969</v>
      </c>
      <c r="M19" s="1"/>
      <c r="N19" s="5">
        <f t="shared" si="3"/>
        <v>0.23746894535937033</v>
      </c>
      <c r="O19" s="14"/>
      <c r="P19" s="1">
        <f>SUM(OSRRefP22_0x_0)</f>
        <v>14335.359999999997</v>
      </c>
      <c r="Q19" s="1"/>
      <c r="R19" s="5">
        <f t="shared" si="4"/>
        <v>0</v>
      </c>
      <c r="S19" s="1"/>
      <c r="T19" s="1">
        <f>SUM(OSRRefT22_0x_0)</f>
        <v>11584.42</v>
      </c>
      <c r="U19" s="1"/>
      <c r="V19" s="5">
        <f t="shared" si="5"/>
        <v>0</v>
      </c>
      <c r="W19" s="1"/>
      <c r="X19" s="1">
        <f t="shared" si="6"/>
        <v>2750.9399999999969</v>
      </c>
      <c r="Y19" s="1"/>
      <c r="Z19" s="5">
        <f t="shared" si="7"/>
        <v>0.23746894535937033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2562.7399999999998</v>
      </c>
      <c r="E20" s="2"/>
      <c r="F20" s="6">
        <f t="shared" si="0"/>
        <v>0</v>
      </c>
      <c r="G20" s="2"/>
      <c r="H20" s="7">
        <v>2378.9899999999998</v>
      </c>
      <c r="I20" s="2"/>
      <c r="J20" s="6">
        <f t="shared" si="1"/>
        <v>0</v>
      </c>
      <c r="K20" s="2"/>
      <c r="L20" s="7">
        <f t="shared" si="2"/>
        <v>183.75</v>
      </c>
      <c r="M20" s="2"/>
      <c r="N20" s="6">
        <f t="shared" si="3"/>
        <v>7.7238660103657444E-2</v>
      </c>
      <c r="O20" s="11"/>
      <c r="P20" s="7">
        <v>2562.7399999999998</v>
      </c>
      <c r="Q20" s="2"/>
      <c r="R20" s="6">
        <f t="shared" si="4"/>
        <v>0</v>
      </c>
      <c r="S20" s="2"/>
      <c r="T20" s="7">
        <v>2378.9899999999998</v>
      </c>
      <c r="U20" s="2"/>
      <c r="V20" s="6">
        <f t="shared" si="5"/>
        <v>0</v>
      </c>
      <c r="W20" s="2"/>
      <c r="X20" s="7">
        <f t="shared" si="6"/>
        <v>183.75</v>
      </c>
      <c r="Y20" s="2"/>
      <c r="Z20" s="6">
        <f t="shared" si="7"/>
        <v>7.7238660103657444E-2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346.87</v>
      </c>
      <c r="E21" s="2"/>
      <c r="F21" s="6">
        <f t="shared" si="0"/>
        <v>0</v>
      </c>
      <c r="G21" s="2"/>
      <c r="H21" s="7">
        <v>384.68</v>
      </c>
      <c r="I21" s="2"/>
      <c r="J21" s="6">
        <f t="shared" si="1"/>
        <v>0</v>
      </c>
      <c r="K21" s="2"/>
      <c r="L21" s="7">
        <f t="shared" si="2"/>
        <v>-37.81</v>
      </c>
      <c r="M21" s="2"/>
      <c r="N21" s="6">
        <f t="shared" si="3"/>
        <v>-9.8289487366122502E-2</v>
      </c>
      <c r="O21" s="11"/>
      <c r="P21" s="7">
        <v>346.87</v>
      </c>
      <c r="Q21" s="2"/>
      <c r="R21" s="6">
        <f t="shared" si="4"/>
        <v>0</v>
      </c>
      <c r="S21" s="2"/>
      <c r="T21" s="7">
        <v>384.68</v>
      </c>
      <c r="U21" s="2"/>
      <c r="V21" s="6">
        <f t="shared" si="5"/>
        <v>0</v>
      </c>
      <c r="W21" s="2"/>
      <c r="X21" s="7">
        <f t="shared" si="6"/>
        <v>-37.81</v>
      </c>
      <c r="Y21" s="2"/>
      <c r="Z21" s="6">
        <f t="shared" si="7"/>
        <v>-9.8289487366122502E-2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5472.97</v>
      </c>
      <c r="E22" s="2"/>
      <c r="F22" s="6">
        <f t="shared" si="0"/>
        <v>0</v>
      </c>
      <c r="G22" s="2"/>
      <c r="H22" s="7">
        <v>2182.21</v>
      </c>
      <c r="I22" s="2"/>
      <c r="J22" s="6">
        <f t="shared" si="1"/>
        <v>0</v>
      </c>
      <c r="K22" s="2"/>
      <c r="L22" s="7">
        <f t="shared" si="2"/>
        <v>3290.76</v>
      </c>
      <c r="M22" s="2"/>
      <c r="N22" s="6">
        <f t="shared" si="3"/>
        <v>1.5079941893768245</v>
      </c>
      <c r="O22" s="11"/>
      <c r="P22" s="7">
        <v>5472.97</v>
      </c>
      <c r="Q22" s="2"/>
      <c r="R22" s="6">
        <f t="shared" si="4"/>
        <v>0</v>
      </c>
      <c r="S22" s="2"/>
      <c r="T22" s="7">
        <v>2182.21</v>
      </c>
      <c r="U22" s="2"/>
      <c r="V22" s="6">
        <f t="shared" si="5"/>
        <v>0</v>
      </c>
      <c r="W22" s="2"/>
      <c r="X22" s="7">
        <f t="shared" si="6"/>
        <v>3290.76</v>
      </c>
      <c r="Y22" s="2"/>
      <c r="Z22" s="6">
        <f t="shared" si="7"/>
        <v>1.5079941893768245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87.63</v>
      </c>
      <c r="E23" s="2"/>
      <c r="F23" s="6">
        <f t="shared" si="0"/>
        <v>0</v>
      </c>
      <c r="G23" s="2"/>
      <c r="H23" s="7">
        <v>130.46</v>
      </c>
      <c r="I23" s="2"/>
      <c r="J23" s="6">
        <f t="shared" si="1"/>
        <v>0</v>
      </c>
      <c r="K23" s="2"/>
      <c r="L23" s="7">
        <f t="shared" si="2"/>
        <v>-42.830000000000013</v>
      </c>
      <c r="M23" s="2"/>
      <c r="N23" s="6">
        <f t="shared" si="3"/>
        <v>-0.32829986202667494</v>
      </c>
      <c r="O23" s="11"/>
      <c r="P23" s="7">
        <v>87.63</v>
      </c>
      <c r="Q23" s="2"/>
      <c r="R23" s="6">
        <f t="shared" si="4"/>
        <v>0</v>
      </c>
      <c r="S23" s="2"/>
      <c r="T23" s="7">
        <v>130.46</v>
      </c>
      <c r="U23" s="2"/>
      <c r="V23" s="6">
        <f t="shared" si="5"/>
        <v>0</v>
      </c>
      <c r="W23" s="2"/>
      <c r="X23" s="7">
        <f t="shared" si="6"/>
        <v>-42.830000000000013</v>
      </c>
      <c r="Y23" s="2"/>
      <c r="Z23" s="6">
        <f t="shared" si="7"/>
        <v>-0.32829986202667494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1730.14</v>
      </c>
      <c r="E24" s="2"/>
      <c r="F24" s="6">
        <f t="shared" si="0"/>
        <v>0</v>
      </c>
      <c r="G24" s="2"/>
      <c r="H24" s="7">
        <v>2322.88</v>
      </c>
      <c r="I24" s="2"/>
      <c r="J24" s="6">
        <f t="shared" si="1"/>
        <v>0</v>
      </c>
      <c r="K24" s="2"/>
      <c r="L24" s="7">
        <f t="shared" si="2"/>
        <v>-592.74</v>
      </c>
      <c r="M24" s="2"/>
      <c r="N24" s="6">
        <f t="shared" si="3"/>
        <v>-0.25517461082793774</v>
      </c>
      <c r="O24" s="11"/>
      <c r="P24" s="7">
        <v>1730.14</v>
      </c>
      <c r="Q24" s="2"/>
      <c r="R24" s="6">
        <f t="shared" si="4"/>
        <v>0</v>
      </c>
      <c r="S24" s="2"/>
      <c r="T24" s="7">
        <v>2322.88</v>
      </c>
      <c r="U24" s="2"/>
      <c r="V24" s="6">
        <f t="shared" si="5"/>
        <v>0</v>
      </c>
      <c r="W24" s="2"/>
      <c r="X24" s="7">
        <f t="shared" si="6"/>
        <v>-592.74</v>
      </c>
      <c r="Y24" s="2"/>
      <c r="Z24" s="6">
        <f t="shared" si="7"/>
        <v>-0.25517461082793774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2207.2199999999998</v>
      </c>
      <c r="E25" s="2"/>
      <c r="F25" s="6">
        <f t="shared" si="0"/>
        <v>0</v>
      </c>
      <c r="G25" s="2"/>
      <c r="H25" s="7">
        <v>2155.61</v>
      </c>
      <c r="I25" s="2"/>
      <c r="J25" s="6">
        <f t="shared" si="1"/>
        <v>0</v>
      </c>
      <c r="K25" s="2"/>
      <c r="L25" s="7">
        <f t="shared" si="2"/>
        <v>51.609999999999673</v>
      </c>
      <c r="M25" s="2"/>
      <c r="N25" s="6">
        <f t="shared" si="3"/>
        <v>2.3942178780020352E-2</v>
      </c>
      <c r="O25" s="11"/>
      <c r="P25" s="7">
        <v>2207.2199999999998</v>
      </c>
      <c r="Q25" s="2"/>
      <c r="R25" s="6">
        <f t="shared" si="4"/>
        <v>0</v>
      </c>
      <c r="S25" s="2"/>
      <c r="T25" s="7">
        <v>2155.61</v>
      </c>
      <c r="U25" s="2"/>
      <c r="V25" s="6">
        <f t="shared" si="5"/>
        <v>0</v>
      </c>
      <c r="W25" s="2"/>
      <c r="X25" s="7">
        <f t="shared" si="6"/>
        <v>51.609999999999673</v>
      </c>
      <c r="Y25" s="2"/>
      <c r="Z25" s="6">
        <f t="shared" si="7"/>
        <v>2.3942178780020352E-2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1546.58</v>
      </c>
      <c r="E26" s="2"/>
      <c r="F26" s="6">
        <f t="shared" si="0"/>
        <v>0</v>
      </c>
      <c r="G26" s="2"/>
      <c r="H26" s="7">
        <v>1624.86</v>
      </c>
      <c r="I26" s="2"/>
      <c r="J26" s="6">
        <f t="shared" si="1"/>
        <v>0</v>
      </c>
      <c r="K26" s="2"/>
      <c r="L26" s="7">
        <f t="shared" si="2"/>
        <v>-78.279999999999973</v>
      </c>
      <c r="M26" s="2"/>
      <c r="N26" s="6">
        <f t="shared" si="3"/>
        <v>-4.8176458279482526E-2</v>
      </c>
      <c r="O26" s="11"/>
      <c r="P26" s="7">
        <v>1546.58</v>
      </c>
      <c r="Q26" s="2"/>
      <c r="R26" s="6">
        <f t="shared" si="4"/>
        <v>0</v>
      </c>
      <c r="S26" s="2"/>
      <c r="T26" s="7">
        <v>1624.86</v>
      </c>
      <c r="U26" s="2"/>
      <c r="V26" s="6">
        <f t="shared" si="5"/>
        <v>0</v>
      </c>
      <c r="W26" s="2"/>
      <c r="X26" s="7">
        <f t="shared" si="6"/>
        <v>-78.279999999999973</v>
      </c>
      <c r="Y26" s="2"/>
      <c r="Z26" s="6">
        <f t="shared" si="7"/>
        <v>-4.8176458279482526E-2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381.21</v>
      </c>
      <c r="E27" s="2"/>
      <c r="F27" s="6">
        <f t="shared" si="0"/>
        <v>0</v>
      </c>
      <c r="G27" s="2"/>
      <c r="H27" s="7">
        <v>404.73</v>
      </c>
      <c r="I27" s="2"/>
      <c r="J27" s="6">
        <f t="shared" si="1"/>
        <v>0</v>
      </c>
      <c r="K27" s="2"/>
      <c r="L27" s="7">
        <f t="shared" si="2"/>
        <v>-23.520000000000039</v>
      </c>
      <c r="M27" s="2"/>
      <c r="N27" s="6">
        <f t="shared" si="3"/>
        <v>-5.8112815951375081E-2</v>
      </c>
      <c r="O27" s="11"/>
      <c r="P27" s="7">
        <v>381.21</v>
      </c>
      <c r="Q27" s="2"/>
      <c r="R27" s="6">
        <f t="shared" si="4"/>
        <v>0</v>
      </c>
      <c r="S27" s="2"/>
      <c r="T27" s="7">
        <v>404.73</v>
      </c>
      <c r="U27" s="2"/>
      <c r="V27" s="6">
        <f t="shared" si="5"/>
        <v>0</v>
      </c>
      <c r="W27" s="2"/>
      <c r="X27" s="7">
        <f t="shared" si="6"/>
        <v>-23.520000000000039</v>
      </c>
      <c r="Y27" s="2"/>
      <c r="Z27" s="6">
        <f t="shared" si="7"/>
        <v>-5.8112815951375081E-2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37776.719999999994</v>
      </c>
      <c r="E28" s="1"/>
      <c r="F28" s="5">
        <f t="shared" ref="F28:F33" si="8">IF(D$12=0,0,D28/D$12)</f>
        <v>0</v>
      </c>
      <c r="G28" s="1"/>
      <c r="H28" s="1">
        <f>SUM(OSRRefH22_1x_0)</f>
        <v>37170.550000000003</v>
      </c>
      <c r="I28" s="1"/>
      <c r="J28" s="5">
        <f t="shared" ref="J28:J33" si="9">IF(H$12=0,0,H28/H$12)</f>
        <v>0</v>
      </c>
      <c r="K28" s="1"/>
      <c r="L28" s="1">
        <f t="shared" ref="L28:L33" si="10">+D28-H28</f>
        <v>606.16999999999098</v>
      </c>
      <c r="M28" s="1"/>
      <c r="N28" s="5">
        <f t="shared" ref="N28:N33" si="11">IF(H28=0,0,L28/H28)</f>
        <v>1.6307802817014837E-2</v>
      </c>
      <c r="O28" s="14"/>
      <c r="P28" s="1">
        <f>SUM(OSRRefP22_1x_0)</f>
        <v>37776.719999999994</v>
      </c>
      <c r="Q28" s="1"/>
      <c r="R28" s="5">
        <f t="shared" ref="R28:R33" si="12">IF(P$12=0,0,P28/P$12)</f>
        <v>0</v>
      </c>
      <c r="S28" s="1"/>
      <c r="T28" s="1">
        <f>SUM(OSRRefT22_1x_0)</f>
        <v>37170.550000000003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606.16999999999098</v>
      </c>
      <c r="Y28" s="1"/>
      <c r="Z28" s="5">
        <f t="shared" ref="Z28:Z33" si="15">IF(T28=0,0,X28/T28)</f>
        <v>1.6307802817014837E-2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12860.28</v>
      </c>
      <c r="E29" s="2"/>
      <c r="F29" s="6">
        <f t="shared" si="8"/>
        <v>0</v>
      </c>
      <c r="G29" s="2"/>
      <c r="H29" s="7">
        <v>13006</v>
      </c>
      <c r="I29" s="2"/>
      <c r="J29" s="6">
        <f t="shared" si="9"/>
        <v>0</v>
      </c>
      <c r="K29" s="2"/>
      <c r="L29" s="7">
        <f t="shared" si="10"/>
        <v>-145.71999999999935</v>
      </c>
      <c r="M29" s="2"/>
      <c r="N29" s="6">
        <f t="shared" si="11"/>
        <v>-1.1204059664770056E-2</v>
      </c>
      <c r="O29" s="11"/>
      <c r="P29" s="7">
        <v>12860.28</v>
      </c>
      <c r="Q29" s="2"/>
      <c r="R29" s="6">
        <f t="shared" si="12"/>
        <v>0</v>
      </c>
      <c r="S29" s="2"/>
      <c r="T29" s="7">
        <v>13006</v>
      </c>
      <c r="U29" s="2"/>
      <c r="V29" s="6">
        <f t="shared" si="13"/>
        <v>0</v>
      </c>
      <c r="W29" s="2"/>
      <c r="X29" s="7">
        <f t="shared" si="14"/>
        <v>-145.71999999999935</v>
      </c>
      <c r="Y29" s="2"/>
      <c r="Z29" s="6">
        <f t="shared" si="15"/>
        <v>-1.1204059664770056E-2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6389.75</v>
      </c>
      <c r="E30" s="2"/>
      <c r="F30" s="6">
        <f t="shared" si="8"/>
        <v>0</v>
      </c>
      <c r="G30" s="2"/>
      <c r="H30" s="7">
        <v>8540.4699999999993</v>
      </c>
      <c r="I30" s="2"/>
      <c r="J30" s="6">
        <f t="shared" si="9"/>
        <v>0</v>
      </c>
      <c r="K30" s="2"/>
      <c r="L30" s="7">
        <f t="shared" si="10"/>
        <v>-2150.7199999999993</v>
      </c>
      <c r="M30" s="2"/>
      <c r="N30" s="6">
        <f t="shared" si="11"/>
        <v>-0.25182689008918707</v>
      </c>
      <c r="O30" s="11"/>
      <c r="P30" s="7">
        <v>6389.75</v>
      </c>
      <c r="Q30" s="2"/>
      <c r="R30" s="6">
        <f t="shared" si="12"/>
        <v>0</v>
      </c>
      <c r="S30" s="2"/>
      <c r="T30" s="7">
        <v>8540.4699999999993</v>
      </c>
      <c r="U30" s="2"/>
      <c r="V30" s="6">
        <f t="shared" si="13"/>
        <v>0</v>
      </c>
      <c r="W30" s="2"/>
      <c r="X30" s="7">
        <f t="shared" si="14"/>
        <v>-2150.7199999999993</v>
      </c>
      <c r="Y30" s="2"/>
      <c r="Z30" s="6">
        <f t="shared" si="15"/>
        <v>-0.25182689008918707</v>
      </c>
    </row>
    <row r="31" spans="1:26" s="24" customFormat="1" hidden="1" outlineLevel="2" x14ac:dyDescent="0.25">
      <c r="A31" s="29"/>
      <c r="B31" s="11" t="str">
        <f>CONCATENATE("          ", "6005", " - ", "TEMPORARY WAGES-HOURLY")</f>
        <v xml:space="preserve">          6005 - TEMPORARY WAGES-HOURLY</v>
      </c>
      <c r="C31" s="11"/>
      <c r="D31" s="7">
        <v>8269.24</v>
      </c>
      <c r="E31" s="2"/>
      <c r="F31" s="6">
        <f t="shared" si="8"/>
        <v>0</v>
      </c>
      <c r="G31" s="2"/>
      <c r="H31" s="7">
        <v>3595</v>
      </c>
      <c r="I31" s="2"/>
      <c r="J31" s="6">
        <f t="shared" si="9"/>
        <v>0</v>
      </c>
      <c r="K31" s="2"/>
      <c r="L31" s="7">
        <f t="shared" si="10"/>
        <v>4674.24</v>
      </c>
      <c r="M31" s="2"/>
      <c r="N31" s="6">
        <f t="shared" si="11"/>
        <v>1.3002058414464532</v>
      </c>
      <c r="O31" s="11"/>
      <c r="P31" s="7">
        <v>8269.24</v>
      </c>
      <c r="Q31" s="2"/>
      <c r="R31" s="6">
        <f t="shared" si="12"/>
        <v>0</v>
      </c>
      <c r="S31" s="2"/>
      <c r="T31" s="7">
        <v>3595</v>
      </c>
      <c r="U31" s="2"/>
      <c r="V31" s="6">
        <f t="shared" si="13"/>
        <v>0</v>
      </c>
      <c r="W31" s="2"/>
      <c r="X31" s="7">
        <f t="shared" si="14"/>
        <v>4674.24</v>
      </c>
      <c r="Y31" s="2"/>
      <c r="Z31" s="6">
        <f t="shared" si="15"/>
        <v>1.3002058414464532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7">
        <v>1380.94</v>
      </c>
      <c r="E32" s="2"/>
      <c r="F32" s="6">
        <f t="shared" si="8"/>
        <v>0</v>
      </c>
      <c r="G32" s="2"/>
      <c r="H32" s="7">
        <v>516.12</v>
      </c>
      <c r="I32" s="2"/>
      <c r="J32" s="6">
        <f t="shared" si="9"/>
        <v>0</v>
      </c>
      <c r="K32" s="2"/>
      <c r="L32" s="7">
        <f t="shared" si="10"/>
        <v>864.82</v>
      </c>
      <c r="M32" s="2"/>
      <c r="N32" s="6">
        <f t="shared" si="11"/>
        <v>1.6756180733162831</v>
      </c>
      <c r="O32" s="11"/>
      <c r="P32" s="7">
        <v>1380.94</v>
      </c>
      <c r="Q32" s="2"/>
      <c r="R32" s="6">
        <f t="shared" si="12"/>
        <v>0</v>
      </c>
      <c r="S32" s="2"/>
      <c r="T32" s="7">
        <v>516.12</v>
      </c>
      <c r="U32" s="2"/>
      <c r="V32" s="6">
        <f t="shared" si="13"/>
        <v>0</v>
      </c>
      <c r="W32" s="2"/>
      <c r="X32" s="7">
        <f t="shared" si="14"/>
        <v>864.82</v>
      </c>
      <c r="Y32" s="2"/>
      <c r="Z32" s="6">
        <f t="shared" si="15"/>
        <v>1.6756180733162831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8876.51</v>
      </c>
      <c r="E33" s="2"/>
      <c r="F33" s="6">
        <f t="shared" si="8"/>
        <v>0</v>
      </c>
      <c r="G33" s="2"/>
      <c r="H33" s="7">
        <v>11512.96</v>
      </c>
      <c r="I33" s="2"/>
      <c r="J33" s="6">
        <f t="shared" si="9"/>
        <v>0</v>
      </c>
      <c r="K33" s="2"/>
      <c r="L33" s="7">
        <f t="shared" si="10"/>
        <v>-2636.4499999999989</v>
      </c>
      <c r="M33" s="2"/>
      <c r="N33" s="6">
        <f t="shared" si="11"/>
        <v>-0.22899845044193667</v>
      </c>
      <c r="O33" s="11"/>
      <c r="P33" s="7">
        <v>8876.51</v>
      </c>
      <c r="Q33" s="2"/>
      <c r="R33" s="6">
        <f t="shared" si="12"/>
        <v>0</v>
      </c>
      <c r="S33" s="2"/>
      <c r="T33" s="7">
        <v>11512.96</v>
      </c>
      <c r="U33" s="2"/>
      <c r="V33" s="6">
        <f t="shared" si="13"/>
        <v>0</v>
      </c>
      <c r="W33" s="2"/>
      <c r="X33" s="7">
        <f t="shared" si="14"/>
        <v>-2636.4499999999989</v>
      </c>
      <c r="Y33" s="2"/>
      <c r="Z33" s="6">
        <f t="shared" si="15"/>
        <v>-0.22899845044193667</v>
      </c>
    </row>
    <row r="34" spans="1:26" s="28" customFormat="1" outlineLevel="1" collapsed="1" x14ac:dyDescent="0.25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111.3</v>
      </c>
      <c r="E34" s="1"/>
      <c r="F34" s="5">
        <f t="shared" ref="F34:F42" si="16">IF(D$12=0,0,D34/D$12)</f>
        <v>0</v>
      </c>
      <c r="G34" s="1"/>
      <c r="H34" s="1">
        <f>SUM(OSRRefH22_2x_0)</f>
        <v>2936.87</v>
      </c>
      <c r="I34" s="1"/>
      <c r="J34" s="5">
        <f t="shared" ref="J34:J42" si="17">IF(H$12=0,0,H34/H$12)</f>
        <v>0</v>
      </c>
      <c r="K34" s="1"/>
      <c r="L34" s="1">
        <f t="shared" ref="L34:L42" si="18">+D34-H34</f>
        <v>-2825.5699999999997</v>
      </c>
      <c r="M34" s="1"/>
      <c r="N34" s="5">
        <f t="shared" ref="N34:N42" si="19">IF(H34=0,0,L34/H34)</f>
        <v>-0.96210251049586804</v>
      </c>
      <c r="O34" s="14"/>
      <c r="P34" s="1">
        <f>SUM(OSRRefP22_2x_0)</f>
        <v>111.3</v>
      </c>
      <c r="Q34" s="1"/>
      <c r="R34" s="5">
        <f t="shared" ref="R34:R42" si="20">IF(P$12=0,0,P34/P$12)</f>
        <v>0</v>
      </c>
      <c r="S34" s="1"/>
      <c r="T34" s="1">
        <f>SUM(OSRRefT22_2x_0)</f>
        <v>2936.87</v>
      </c>
      <c r="U34" s="1"/>
      <c r="V34" s="5">
        <f t="shared" ref="V34:V42" si="21">IF(T$12=0,0,T34/T$12)</f>
        <v>0</v>
      </c>
      <c r="W34" s="1"/>
      <c r="X34" s="1">
        <f t="shared" ref="X34:X42" si="22">+P34-T34</f>
        <v>-2825.5699999999997</v>
      </c>
      <c r="Y34" s="1"/>
      <c r="Z34" s="5">
        <f t="shared" ref="Z34:Z42" si="23">IF(T34=0,0,X34/T34)</f>
        <v>-0.96210251049586804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7">
        <v>111.3</v>
      </c>
      <c r="E35" s="2"/>
      <c r="F35" s="6">
        <f t="shared" si="16"/>
        <v>0</v>
      </c>
      <c r="G35" s="2"/>
      <c r="H35" s="7">
        <v>2936.87</v>
      </c>
      <c r="I35" s="2"/>
      <c r="J35" s="6">
        <f t="shared" si="17"/>
        <v>0</v>
      </c>
      <c r="K35" s="2"/>
      <c r="L35" s="7">
        <f t="shared" si="18"/>
        <v>-2825.5699999999997</v>
      </c>
      <c r="M35" s="2"/>
      <c r="N35" s="6">
        <f t="shared" si="19"/>
        <v>-0.96210251049586804</v>
      </c>
      <c r="O35" s="11"/>
      <c r="P35" s="7">
        <v>111.3</v>
      </c>
      <c r="Q35" s="2"/>
      <c r="R35" s="6">
        <f t="shared" si="20"/>
        <v>0</v>
      </c>
      <c r="S35" s="2"/>
      <c r="T35" s="7">
        <v>2936.87</v>
      </c>
      <c r="U35" s="2"/>
      <c r="V35" s="6">
        <f t="shared" si="21"/>
        <v>0</v>
      </c>
      <c r="W35" s="2"/>
      <c r="X35" s="7">
        <f t="shared" si="22"/>
        <v>-2825.5699999999997</v>
      </c>
      <c r="Y35" s="2"/>
      <c r="Z35" s="6">
        <f t="shared" si="23"/>
        <v>-0.96210251049586804</v>
      </c>
    </row>
    <row r="36" spans="1:26" s="28" customFormat="1" outlineLevel="1" collapsed="1" x14ac:dyDescent="0.25">
      <c r="A36" s="27"/>
      <c r="B36" s="14" t="str">
        <f>CONCATENATE("     ","Bad Debts/Over/Short                              ")</f>
        <v xml:space="preserve">     Bad Debts/Over/Short                              </v>
      </c>
      <c r="C36" s="14"/>
      <c r="D36" s="1">
        <f>SUM(OSRRefD22_3x_0)</f>
        <v>-12.95</v>
      </c>
      <c r="E36" s="1"/>
      <c r="F36" s="5">
        <f t="shared" si="16"/>
        <v>0</v>
      </c>
      <c r="G36" s="1"/>
      <c r="H36" s="1">
        <f>SUM(OSRRefH22_3x_0)</f>
        <v>-20.62</v>
      </c>
      <c r="I36" s="1"/>
      <c r="J36" s="5">
        <f t="shared" si="17"/>
        <v>0</v>
      </c>
      <c r="K36" s="1"/>
      <c r="L36" s="1">
        <f t="shared" si="18"/>
        <v>7.6700000000000017</v>
      </c>
      <c r="M36" s="1"/>
      <c r="N36" s="5">
        <f t="shared" si="19"/>
        <v>-0.37196896217264797</v>
      </c>
      <c r="O36" s="14"/>
      <c r="P36" s="1">
        <f>SUM(OSRRefP22_3x_0)</f>
        <v>-12.95</v>
      </c>
      <c r="Q36" s="1"/>
      <c r="R36" s="5">
        <f t="shared" si="20"/>
        <v>0</v>
      </c>
      <c r="S36" s="1"/>
      <c r="T36" s="1">
        <f>SUM(OSRRefT22_3x_0)</f>
        <v>-20.62</v>
      </c>
      <c r="U36" s="1"/>
      <c r="V36" s="5">
        <f t="shared" si="21"/>
        <v>0</v>
      </c>
      <c r="W36" s="1"/>
      <c r="X36" s="1">
        <f t="shared" si="22"/>
        <v>7.6700000000000017</v>
      </c>
      <c r="Y36" s="1"/>
      <c r="Z36" s="5">
        <f t="shared" si="23"/>
        <v>-0.37196896217264797</v>
      </c>
    </row>
    <row r="37" spans="1:26" s="24" customFormat="1" hidden="1" outlineLevel="2" x14ac:dyDescent="0.25">
      <c r="A37" s="29"/>
      <c r="B37" s="11" t="str">
        <f>CONCATENATE("          ", "6272", " - ", "CASH (OVER/SHORT)")</f>
        <v xml:space="preserve">          6272 - CASH (OVER/SHORT)</v>
      </c>
      <c r="C37" s="11"/>
      <c r="D37" s="7">
        <v>-12.95</v>
      </c>
      <c r="E37" s="2"/>
      <c r="F37" s="6">
        <f t="shared" si="16"/>
        <v>0</v>
      </c>
      <c r="G37" s="2"/>
      <c r="H37" s="7">
        <v>-20.62</v>
      </c>
      <c r="I37" s="2"/>
      <c r="J37" s="6">
        <f t="shared" si="17"/>
        <v>0</v>
      </c>
      <c r="K37" s="2"/>
      <c r="L37" s="7">
        <f t="shared" si="18"/>
        <v>7.6700000000000017</v>
      </c>
      <c r="M37" s="2"/>
      <c r="N37" s="6">
        <f t="shared" si="19"/>
        <v>-0.37196896217264797</v>
      </c>
      <c r="O37" s="11"/>
      <c r="P37" s="7">
        <v>-12.95</v>
      </c>
      <c r="Q37" s="2"/>
      <c r="R37" s="6">
        <f t="shared" si="20"/>
        <v>0</v>
      </c>
      <c r="S37" s="2"/>
      <c r="T37" s="7">
        <v>-20.62</v>
      </c>
      <c r="U37" s="2"/>
      <c r="V37" s="6">
        <f t="shared" si="21"/>
        <v>0</v>
      </c>
      <c r="W37" s="2"/>
      <c r="X37" s="7">
        <f t="shared" si="22"/>
        <v>7.6700000000000017</v>
      </c>
      <c r="Y37" s="2"/>
      <c r="Z37" s="6">
        <f t="shared" si="23"/>
        <v>-0.37196896217264797</v>
      </c>
    </row>
    <row r="38" spans="1:26" s="28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SUM(OSRRefD22_4x_0)</f>
        <v>5108.18</v>
      </c>
      <c r="E38" s="1"/>
      <c r="F38" s="5">
        <f t="shared" si="16"/>
        <v>0</v>
      </c>
      <c r="G38" s="1"/>
      <c r="H38" s="1">
        <f>SUM(OSRRefH22_4x_0)</f>
        <v>4394.71</v>
      </c>
      <c r="I38" s="1"/>
      <c r="J38" s="5">
        <f t="shared" si="17"/>
        <v>0</v>
      </c>
      <c r="K38" s="1"/>
      <c r="L38" s="1">
        <f t="shared" si="18"/>
        <v>713.47000000000025</v>
      </c>
      <c r="M38" s="1"/>
      <c r="N38" s="5">
        <f t="shared" si="19"/>
        <v>0.16234745864914868</v>
      </c>
      <c r="O38" s="14"/>
      <c r="P38" s="1">
        <f>SUM(OSRRefP22_4x_0)</f>
        <v>5108.18</v>
      </c>
      <c r="Q38" s="1"/>
      <c r="R38" s="5">
        <f t="shared" si="20"/>
        <v>0</v>
      </c>
      <c r="S38" s="1"/>
      <c r="T38" s="1">
        <f>SUM(OSRRefT22_4x_0)</f>
        <v>4394.71</v>
      </c>
      <c r="U38" s="1"/>
      <c r="V38" s="5">
        <f t="shared" si="21"/>
        <v>0</v>
      </c>
      <c r="W38" s="1"/>
      <c r="X38" s="1">
        <f t="shared" si="22"/>
        <v>713.47000000000025</v>
      </c>
      <c r="Y38" s="1"/>
      <c r="Z38" s="5">
        <f t="shared" si="23"/>
        <v>0.16234745864914868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5108.18</v>
      </c>
      <c r="E39" s="2"/>
      <c r="F39" s="6">
        <f t="shared" si="16"/>
        <v>0</v>
      </c>
      <c r="G39" s="2"/>
      <c r="H39" s="7">
        <v>4394.71</v>
      </c>
      <c r="I39" s="2"/>
      <c r="J39" s="6">
        <f t="shared" si="17"/>
        <v>0</v>
      </c>
      <c r="K39" s="2"/>
      <c r="L39" s="7">
        <f t="shared" si="18"/>
        <v>713.47000000000025</v>
      </c>
      <c r="M39" s="2"/>
      <c r="N39" s="6">
        <f t="shared" si="19"/>
        <v>0.16234745864914868</v>
      </c>
      <c r="O39" s="11"/>
      <c r="P39" s="7">
        <v>5108.18</v>
      </c>
      <c r="Q39" s="2"/>
      <c r="R39" s="6">
        <f t="shared" si="20"/>
        <v>0</v>
      </c>
      <c r="S39" s="2"/>
      <c r="T39" s="7">
        <v>4394.71</v>
      </c>
      <c r="U39" s="2"/>
      <c r="V39" s="6">
        <f t="shared" si="21"/>
        <v>0</v>
      </c>
      <c r="W39" s="2"/>
      <c r="X39" s="7">
        <f t="shared" si="22"/>
        <v>713.47000000000025</v>
      </c>
      <c r="Y39" s="2"/>
      <c r="Z39" s="6">
        <f t="shared" si="23"/>
        <v>0.16234745864914868</v>
      </c>
    </row>
    <row r="40" spans="1:26" s="28" customFormat="1" outlineLevel="1" collapsed="1" x14ac:dyDescent="0.25">
      <c r="A40" s="27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SUM(OSRRefD22_5x_0)</f>
        <v>29607.43</v>
      </c>
      <c r="E40" s="1"/>
      <c r="F40" s="5">
        <f t="shared" si="16"/>
        <v>0</v>
      </c>
      <c r="G40" s="1"/>
      <c r="H40" s="1">
        <f>SUM(OSRRefH22_5x_0)</f>
        <v>29330.07</v>
      </c>
      <c r="I40" s="1"/>
      <c r="J40" s="5">
        <f t="shared" si="17"/>
        <v>0</v>
      </c>
      <c r="K40" s="1"/>
      <c r="L40" s="1">
        <f t="shared" si="18"/>
        <v>277.36000000000058</v>
      </c>
      <c r="M40" s="1"/>
      <c r="N40" s="5">
        <f t="shared" si="19"/>
        <v>9.4565065818117914E-3</v>
      </c>
      <c r="O40" s="14"/>
      <c r="P40" s="1">
        <f>SUM(OSRRefP22_5x_0)</f>
        <v>29607.43</v>
      </c>
      <c r="Q40" s="1"/>
      <c r="R40" s="5">
        <f t="shared" si="20"/>
        <v>0</v>
      </c>
      <c r="S40" s="1"/>
      <c r="T40" s="1">
        <f>SUM(OSRRefT22_5x_0)</f>
        <v>29330.07</v>
      </c>
      <c r="U40" s="1"/>
      <c r="V40" s="5">
        <f t="shared" si="21"/>
        <v>0</v>
      </c>
      <c r="W40" s="1"/>
      <c r="X40" s="1">
        <f t="shared" si="22"/>
        <v>277.36000000000058</v>
      </c>
      <c r="Y40" s="1"/>
      <c r="Z40" s="5">
        <f t="shared" si="23"/>
        <v>9.4565065818117914E-3</v>
      </c>
    </row>
    <row r="41" spans="1:26" s="24" customFormat="1" hidden="1" outlineLevel="2" x14ac:dyDescent="0.25">
      <c r="A41" s="29"/>
      <c r="B41" s="11" t="str">
        <f>CONCATENATE("          ", "6321", " - ", "BUILDING DEPRECIATION")</f>
        <v xml:space="preserve">          6321 - BUILDING DEPRECIATION</v>
      </c>
      <c r="C41" s="11"/>
      <c r="D41" s="7">
        <v>16396.52</v>
      </c>
      <c r="E41" s="2"/>
      <c r="F41" s="6">
        <f t="shared" si="16"/>
        <v>0</v>
      </c>
      <c r="G41" s="2"/>
      <c r="H41" s="7">
        <v>16453.38</v>
      </c>
      <c r="I41" s="2"/>
      <c r="J41" s="6">
        <f t="shared" si="17"/>
        <v>0</v>
      </c>
      <c r="K41" s="2"/>
      <c r="L41" s="7">
        <f t="shared" si="18"/>
        <v>-56.860000000000582</v>
      </c>
      <c r="M41" s="2"/>
      <c r="N41" s="6">
        <f t="shared" si="19"/>
        <v>-3.4558248821822978E-3</v>
      </c>
      <c r="O41" s="11"/>
      <c r="P41" s="7">
        <v>16396.52</v>
      </c>
      <c r="Q41" s="2"/>
      <c r="R41" s="6">
        <f t="shared" si="20"/>
        <v>0</v>
      </c>
      <c r="S41" s="2"/>
      <c r="T41" s="7">
        <v>16453.38</v>
      </c>
      <c r="U41" s="2"/>
      <c r="V41" s="6">
        <f t="shared" si="21"/>
        <v>0</v>
      </c>
      <c r="W41" s="2"/>
      <c r="X41" s="7">
        <f t="shared" si="22"/>
        <v>-56.860000000000582</v>
      </c>
      <c r="Y41" s="2"/>
      <c r="Z41" s="6">
        <f t="shared" si="23"/>
        <v>-3.4558248821822978E-3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13210.91</v>
      </c>
      <c r="E42" s="2"/>
      <c r="F42" s="6">
        <f t="shared" si="16"/>
        <v>0</v>
      </c>
      <c r="G42" s="2"/>
      <c r="H42" s="7">
        <v>12876.69</v>
      </c>
      <c r="I42" s="2"/>
      <c r="J42" s="6">
        <f t="shared" si="17"/>
        <v>0</v>
      </c>
      <c r="K42" s="2"/>
      <c r="L42" s="7">
        <f t="shared" si="18"/>
        <v>334.21999999999935</v>
      </c>
      <c r="M42" s="2"/>
      <c r="N42" s="6">
        <f t="shared" si="19"/>
        <v>2.5955427986539967E-2</v>
      </c>
      <c r="O42" s="11"/>
      <c r="P42" s="7">
        <v>13210.91</v>
      </c>
      <c r="Q42" s="2"/>
      <c r="R42" s="6">
        <f t="shared" si="20"/>
        <v>0</v>
      </c>
      <c r="S42" s="2"/>
      <c r="T42" s="7">
        <v>12876.69</v>
      </c>
      <c r="U42" s="2"/>
      <c r="V42" s="6">
        <f t="shared" si="21"/>
        <v>0</v>
      </c>
      <c r="W42" s="2"/>
      <c r="X42" s="7">
        <f t="shared" si="22"/>
        <v>334.21999999999935</v>
      </c>
      <c r="Y42" s="2"/>
      <c r="Z42" s="6">
        <f t="shared" si="23"/>
        <v>2.5955427986539967E-2</v>
      </c>
    </row>
    <row r="43" spans="1:26" s="28" customFormat="1" outlineLevel="1" collapsed="1" x14ac:dyDescent="0.25">
      <c r="A43" s="27"/>
      <c r="B43" s="14" t="str">
        <f>CONCATENATE("     ","Discounts and Markdowns                           ")</f>
        <v xml:space="preserve">     Discounts and Markdowns                           </v>
      </c>
      <c r="C43" s="14"/>
      <c r="D43" s="1">
        <f>SUM(OSRRefD22_6x_0)</f>
        <v>-391.71</v>
      </c>
      <c r="E43" s="1"/>
      <c r="F43" s="5">
        <f t="shared" ref="F43:F45" si="24">IF(D$12=0,0,D43/D$12)</f>
        <v>0</v>
      </c>
      <c r="G43" s="1"/>
      <c r="H43" s="1">
        <f>SUM(OSRRefH22_6x_0)</f>
        <v>-209.7</v>
      </c>
      <c r="I43" s="1"/>
      <c r="J43" s="5">
        <f t="shared" ref="J43:J45" si="25">IF(H$12=0,0,H43/H$12)</f>
        <v>0</v>
      </c>
      <c r="K43" s="1"/>
      <c r="L43" s="1">
        <f t="shared" ref="L43:L45" si="26">+D43-H43</f>
        <v>-182.01</v>
      </c>
      <c r="M43" s="1"/>
      <c r="N43" s="5">
        <f t="shared" ref="N43:N45" si="27">IF(H43=0,0,L43/H43)</f>
        <v>0.86795422031473535</v>
      </c>
      <c r="O43" s="14"/>
      <c r="P43" s="1">
        <f>SUM(OSRRefP22_6x_0)</f>
        <v>-391.71</v>
      </c>
      <c r="Q43" s="1"/>
      <c r="R43" s="5">
        <f t="shared" ref="R43:R45" si="28">IF(P$12=0,0,P43/P$12)</f>
        <v>0</v>
      </c>
      <c r="S43" s="1"/>
      <c r="T43" s="1">
        <f>SUM(OSRRefT22_6x_0)</f>
        <v>-209.7</v>
      </c>
      <c r="U43" s="1"/>
      <c r="V43" s="5">
        <f t="shared" ref="V43:V45" si="29">IF(T$12=0,0,T43/T$12)</f>
        <v>0</v>
      </c>
      <c r="W43" s="1"/>
      <c r="X43" s="1">
        <f t="shared" ref="X43:X45" si="30">+P43-T43</f>
        <v>-182.01</v>
      </c>
      <c r="Y43" s="1"/>
      <c r="Z43" s="5">
        <f t="shared" ref="Z43:Z45" si="31">IF(T43=0,0,X43/T43)</f>
        <v>0.86795422031473535</v>
      </c>
    </row>
    <row r="44" spans="1:26" s="24" customFormat="1" hidden="1" outlineLevel="2" x14ac:dyDescent="0.25">
      <c r="A44" s="29"/>
      <c r="B44" s="11" t="str">
        <f>CONCATENATE("          ", "6382", " - ", "DISCOUNTS/MARK DOWNS")</f>
        <v xml:space="preserve">          6382 - DISCOUNTS/MARK DOWNS</v>
      </c>
      <c r="C44" s="11"/>
      <c r="D44" s="7">
        <v>52</v>
      </c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52</v>
      </c>
      <c r="M44" s="2"/>
      <c r="N44" s="6">
        <f t="shared" si="27"/>
        <v>0</v>
      </c>
      <c r="O44" s="11"/>
      <c r="P44" s="7">
        <v>52</v>
      </c>
      <c r="Q44" s="2"/>
      <c r="R44" s="6">
        <f t="shared" si="28"/>
        <v>0</v>
      </c>
      <c r="S44" s="2"/>
      <c r="T44" s="7"/>
      <c r="U44" s="2"/>
      <c r="V44" s="6">
        <f t="shared" si="29"/>
        <v>0</v>
      </c>
      <c r="W44" s="2"/>
      <c r="X44" s="7">
        <f t="shared" si="30"/>
        <v>52</v>
      </c>
      <c r="Y44" s="2"/>
      <c r="Z44" s="6">
        <f t="shared" si="31"/>
        <v>0</v>
      </c>
    </row>
    <row r="45" spans="1:26" s="24" customFormat="1" hidden="1" outlineLevel="2" x14ac:dyDescent="0.25">
      <c r="A45" s="29"/>
      <c r="B45" s="11" t="str">
        <f>CONCATENATE("          ", "9175", " - ", "EARNED DISCOUNTS")</f>
        <v xml:space="preserve">          9175 - EARNED DISCOUNTS</v>
      </c>
      <c r="C45" s="11"/>
      <c r="D45" s="7">
        <v>-443.71</v>
      </c>
      <c r="E45" s="2"/>
      <c r="F45" s="6">
        <f t="shared" si="24"/>
        <v>0</v>
      </c>
      <c r="G45" s="2"/>
      <c r="H45" s="7">
        <v>-209.7</v>
      </c>
      <c r="I45" s="2"/>
      <c r="J45" s="6">
        <f t="shared" si="25"/>
        <v>0</v>
      </c>
      <c r="K45" s="2"/>
      <c r="L45" s="7">
        <f t="shared" si="26"/>
        <v>-234.01</v>
      </c>
      <c r="M45" s="2"/>
      <c r="N45" s="6">
        <f t="shared" si="27"/>
        <v>1.115927515498331</v>
      </c>
      <c r="O45" s="11"/>
      <c r="P45" s="7">
        <v>-443.71</v>
      </c>
      <c r="Q45" s="2"/>
      <c r="R45" s="6">
        <f t="shared" si="28"/>
        <v>0</v>
      </c>
      <c r="S45" s="2"/>
      <c r="T45" s="7">
        <v>-209.7</v>
      </c>
      <c r="U45" s="2"/>
      <c r="V45" s="6">
        <f t="shared" si="29"/>
        <v>0</v>
      </c>
      <c r="W45" s="2"/>
      <c r="X45" s="7">
        <f t="shared" si="30"/>
        <v>-234.01</v>
      </c>
      <c r="Y45" s="2"/>
      <c r="Z45" s="6">
        <f t="shared" si="31"/>
        <v>1.115927515498331</v>
      </c>
    </row>
    <row r="46" spans="1:26" s="28" customFormat="1" outlineLevel="1" collapsed="1" x14ac:dyDescent="0.25">
      <c r="A46" s="27"/>
      <c r="B46" s="14" t="str">
        <f>CONCATENATE("     ","Donations                                         ")</f>
        <v xml:space="preserve">     Donations                                         </v>
      </c>
      <c r="C46" s="14"/>
      <c r="D46" s="1">
        <f>SUM(OSRRefD22_7x_0)</f>
        <v>925.42</v>
      </c>
      <c r="E46" s="1"/>
      <c r="F46" s="5">
        <f t="shared" ref="F46:F63" si="32">IF(D$12=0,0,D46/D$12)</f>
        <v>0</v>
      </c>
      <c r="G46" s="1"/>
      <c r="H46" s="1">
        <f>SUM(OSRRefH22_7x_0)</f>
        <v>1336.21</v>
      </c>
      <c r="I46" s="1"/>
      <c r="J46" s="5">
        <f t="shared" ref="J46:J63" si="33">IF(H$12=0,0,H46/H$12)</f>
        <v>0</v>
      </c>
      <c r="K46" s="1"/>
      <c r="L46" s="1">
        <f t="shared" ref="L46:L63" si="34">+D46-H46</f>
        <v>-410.79000000000008</v>
      </c>
      <c r="M46" s="1"/>
      <c r="N46" s="5">
        <f t="shared" ref="N46:N63" si="35">IF(H46=0,0,L46/H46)</f>
        <v>-0.30742922145471152</v>
      </c>
      <c r="O46" s="14"/>
      <c r="P46" s="1">
        <f>SUM(OSRRefP22_7x_0)</f>
        <v>925.42</v>
      </c>
      <c r="Q46" s="1"/>
      <c r="R46" s="5">
        <f t="shared" ref="R46:R63" si="36">IF(P$12=0,0,P46/P$12)</f>
        <v>0</v>
      </c>
      <c r="S46" s="1"/>
      <c r="T46" s="1">
        <f>SUM(OSRRefT22_7x_0)</f>
        <v>1336.21</v>
      </c>
      <c r="U46" s="1"/>
      <c r="V46" s="5">
        <f t="shared" ref="V46:V63" si="37">IF(T$12=0,0,T46/T$12)</f>
        <v>0</v>
      </c>
      <c r="W46" s="1"/>
      <c r="X46" s="1">
        <f t="shared" ref="X46:X63" si="38">+P46-T46</f>
        <v>-410.79000000000008</v>
      </c>
      <c r="Y46" s="1"/>
      <c r="Z46" s="5">
        <f t="shared" ref="Z46:Z63" si="39">IF(T46=0,0,X46/T46)</f>
        <v>-0.30742922145471152</v>
      </c>
    </row>
    <row r="47" spans="1:26" s="24" customFormat="1" hidden="1" outlineLevel="2" x14ac:dyDescent="0.25">
      <c r="A47" s="29"/>
      <c r="B47" s="11" t="str">
        <f>CONCATENATE("          ", "6399", " - ", "DONATION-ON CAMPUS")</f>
        <v xml:space="preserve">          6399 - DONATION-ON CAMPUS</v>
      </c>
      <c r="C47" s="11"/>
      <c r="D47" s="7">
        <v>925.42</v>
      </c>
      <c r="E47" s="2"/>
      <c r="F47" s="6">
        <f t="shared" si="32"/>
        <v>0</v>
      </c>
      <c r="G47" s="2"/>
      <c r="H47" s="7">
        <v>1336.21</v>
      </c>
      <c r="I47" s="2"/>
      <c r="J47" s="6">
        <f t="shared" si="33"/>
        <v>0</v>
      </c>
      <c r="K47" s="2"/>
      <c r="L47" s="7">
        <f t="shared" si="34"/>
        <v>-410.79000000000008</v>
      </c>
      <c r="M47" s="2"/>
      <c r="N47" s="6">
        <f t="shared" si="35"/>
        <v>-0.30742922145471152</v>
      </c>
      <c r="O47" s="11"/>
      <c r="P47" s="7">
        <v>925.42</v>
      </c>
      <c r="Q47" s="2"/>
      <c r="R47" s="6">
        <f t="shared" si="36"/>
        <v>0</v>
      </c>
      <c r="S47" s="2"/>
      <c r="T47" s="7">
        <v>1336.21</v>
      </c>
      <c r="U47" s="2"/>
      <c r="V47" s="6">
        <f t="shared" si="37"/>
        <v>0</v>
      </c>
      <c r="W47" s="2"/>
      <c r="X47" s="7">
        <f t="shared" si="38"/>
        <v>-410.79000000000008</v>
      </c>
      <c r="Y47" s="2"/>
      <c r="Z47" s="6">
        <f t="shared" si="39"/>
        <v>-0.30742922145471152</v>
      </c>
    </row>
    <row r="48" spans="1:26" s="28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SUM(OSRRefD22_8x_0)</f>
        <v>259.63</v>
      </c>
      <c r="E48" s="1"/>
      <c r="F48" s="5">
        <f t="shared" si="32"/>
        <v>0</v>
      </c>
      <c r="G48" s="1"/>
      <c r="H48" s="1">
        <f>SUM(OSRRefH22_8x_0)</f>
        <v>141.62</v>
      </c>
      <c r="I48" s="1"/>
      <c r="J48" s="5">
        <f t="shared" si="33"/>
        <v>0</v>
      </c>
      <c r="K48" s="1"/>
      <c r="L48" s="1">
        <f t="shared" si="34"/>
        <v>118.00999999999999</v>
      </c>
      <c r="M48" s="1"/>
      <c r="N48" s="5">
        <f t="shared" si="35"/>
        <v>0.8332862590029656</v>
      </c>
      <c r="O48" s="14"/>
      <c r="P48" s="1">
        <f>SUM(OSRRefP22_8x_0)</f>
        <v>259.63</v>
      </c>
      <c r="Q48" s="1"/>
      <c r="R48" s="5">
        <f t="shared" si="36"/>
        <v>0</v>
      </c>
      <c r="S48" s="1"/>
      <c r="T48" s="1">
        <f>SUM(OSRRefT22_8x_0)</f>
        <v>141.62</v>
      </c>
      <c r="U48" s="1"/>
      <c r="V48" s="5">
        <f t="shared" si="37"/>
        <v>0</v>
      </c>
      <c r="W48" s="1"/>
      <c r="X48" s="1">
        <f t="shared" si="38"/>
        <v>118.00999999999999</v>
      </c>
      <c r="Y48" s="1"/>
      <c r="Z48" s="5">
        <f t="shared" si="39"/>
        <v>0.8332862590029656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7">
        <v>259.63</v>
      </c>
      <c r="E49" s="2"/>
      <c r="F49" s="6">
        <f t="shared" si="32"/>
        <v>0</v>
      </c>
      <c r="G49" s="2"/>
      <c r="H49" s="7">
        <v>141.62</v>
      </c>
      <c r="I49" s="2"/>
      <c r="J49" s="6">
        <f t="shared" si="33"/>
        <v>0</v>
      </c>
      <c r="K49" s="2"/>
      <c r="L49" s="7">
        <f t="shared" si="34"/>
        <v>118.00999999999999</v>
      </c>
      <c r="M49" s="2"/>
      <c r="N49" s="6">
        <f t="shared" si="35"/>
        <v>0.8332862590029656</v>
      </c>
      <c r="O49" s="11"/>
      <c r="P49" s="7">
        <v>259.63</v>
      </c>
      <c r="Q49" s="2"/>
      <c r="R49" s="6">
        <f t="shared" si="36"/>
        <v>0</v>
      </c>
      <c r="S49" s="2"/>
      <c r="T49" s="7">
        <v>141.62</v>
      </c>
      <c r="U49" s="2"/>
      <c r="V49" s="6">
        <f t="shared" si="37"/>
        <v>0</v>
      </c>
      <c r="W49" s="2"/>
      <c r="X49" s="7">
        <f t="shared" si="38"/>
        <v>118.00999999999999</v>
      </c>
      <c r="Y49" s="2"/>
      <c r="Z49" s="6">
        <f t="shared" si="39"/>
        <v>0.8332862590029656</v>
      </c>
    </row>
    <row r="50" spans="1:26" s="28" customFormat="1" outlineLevel="1" collapsed="1" x14ac:dyDescent="0.25">
      <c r="A50" s="27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SUM(OSRRefD22_9x_0)</f>
        <v>0</v>
      </c>
      <c r="E50" s="1"/>
      <c r="F50" s="5">
        <f t="shared" si="32"/>
        <v>0</v>
      </c>
      <c r="G50" s="1"/>
      <c r="H50" s="1">
        <f>SUM(OSRRefH22_9x_0)</f>
        <v>5.56</v>
      </c>
      <c r="I50" s="1"/>
      <c r="J50" s="5">
        <f t="shared" si="33"/>
        <v>0</v>
      </c>
      <c r="K50" s="1"/>
      <c r="L50" s="1">
        <f t="shared" si="34"/>
        <v>-5.56</v>
      </c>
      <c r="M50" s="1"/>
      <c r="N50" s="5">
        <f t="shared" si="35"/>
        <v>-1</v>
      </c>
      <c r="O50" s="14"/>
      <c r="P50" s="1">
        <f>SUM(OSRRefP22_9x_0)</f>
        <v>0</v>
      </c>
      <c r="Q50" s="1"/>
      <c r="R50" s="5">
        <f t="shared" si="36"/>
        <v>0</v>
      </c>
      <c r="S50" s="1"/>
      <c r="T50" s="1">
        <f>SUM(OSRRefT22_9x_0)</f>
        <v>5.56</v>
      </c>
      <c r="U50" s="1"/>
      <c r="V50" s="5">
        <f t="shared" si="37"/>
        <v>0</v>
      </c>
      <c r="W50" s="1"/>
      <c r="X50" s="1">
        <f t="shared" si="38"/>
        <v>-5.56</v>
      </c>
      <c r="Y50" s="1"/>
      <c r="Z50" s="5">
        <f t="shared" si="39"/>
        <v>-1</v>
      </c>
    </row>
    <row r="51" spans="1:26" s="24" customFormat="1" hidden="1" outlineLevel="2" x14ac:dyDescent="0.25">
      <c r="A51" s="29"/>
      <c r="B51" s="11" t="str">
        <f>CONCATENATE("          ", "6307", " - ", "POSTAGE")</f>
        <v xml:space="preserve">          6307 - POSTAGE</v>
      </c>
      <c r="C51" s="11"/>
      <c r="D51" s="7"/>
      <c r="E51" s="2"/>
      <c r="F51" s="6">
        <f t="shared" si="32"/>
        <v>0</v>
      </c>
      <c r="G51" s="2"/>
      <c r="H51" s="7">
        <v>5.56</v>
      </c>
      <c r="I51" s="2"/>
      <c r="J51" s="6">
        <f t="shared" si="33"/>
        <v>0</v>
      </c>
      <c r="K51" s="2"/>
      <c r="L51" s="7">
        <f t="shared" si="34"/>
        <v>-5.56</v>
      </c>
      <c r="M51" s="2"/>
      <c r="N51" s="6">
        <f t="shared" si="35"/>
        <v>-1</v>
      </c>
      <c r="O51" s="11"/>
      <c r="P51" s="7"/>
      <c r="Q51" s="2"/>
      <c r="R51" s="6">
        <f t="shared" si="36"/>
        <v>0</v>
      </c>
      <c r="S51" s="2"/>
      <c r="T51" s="7">
        <v>5.56</v>
      </c>
      <c r="U51" s="2"/>
      <c r="V51" s="6">
        <f t="shared" si="37"/>
        <v>0</v>
      </c>
      <c r="W51" s="2"/>
      <c r="X51" s="7">
        <f t="shared" si="38"/>
        <v>-5.56</v>
      </c>
      <c r="Y51" s="2"/>
      <c r="Z51" s="6">
        <f t="shared" si="39"/>
        <v>-1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SUM(OSRRefD22_10x_0)</f>
        <v>73.790000000000006</v>
      </c>
      <c r="E52" s="1"/>
      <c r="F52" s="5">
        <f t="shared" si="32"/>
        <v>0</v>
      </c>
      <c r="G52" s="1"/>
      <c r="H52" s="1">
        <f>SUM(OSRRefH22_10x_0)</f>
        <v>-500.8</v>
      </c>
      <c r="I52" s="1"/>
      <c r="J52" s="5">
        <f t="shared" si="33"/>
        <v>0</v>
      </c>
      <c r="K52" s="1"/>
      <c r="L52" s="1">
        <f t="shared" si="34"/>
        <v>574.59</v>
      </c>
      <c r="M52" s="1"/>
      <c r="N52" s="5">
        <f t="shared" si="35"/>
        <v>-1.147344249201278</v>
      </c>
      <c r="O52" s="14"/>
      <c r="P52" s="1">
        <f>SUM(OSRRefP22_10x_0)</f>
        <v>73.790000000000006</v>
      </c>
      <c r="Q52" s="1"/>
      <c r="R52" s="5">
        <f t="shared" si="36"/>
        <v>0</v>
      </c>
      <c r="S52" s="1"/>
      <c r="T52" s="1">
        <f>SUM(OSRRefT22_10x_0)</f>
        <v>-500.8</v>
      </c>
      <c r="U52" s="1"/>
      <c r="V52" s="5">
        <f t="shared" si="37"/>
        <v>0</v>
      </c>
      <c r="W52" s="1"/>
      <c r="X52" s="1">
        <f t="shared" si="38"/>
        <v>574.59</v>
      </c>
      <c r="Y52" s="1"/>
      <c r="Z52" s="5">
        <f t="shared" si="39"/>
        <v>-1.147344249201278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7">
        <v>73.790000000000006</v>
      </c>
      <c r="E53" s="2"/>
      <c r="F53" s="6">
        <f t="shared" si="32"/>
        <v>0</v>
      </c>
      <c r="G53" s="2"/>
      <c r="H53" s="7">
        <v>-500.8</v>
      </c>
      <c r="I53" s="2"/>
      <c r="J53" s="6">
        <f t="shared" si="33"/>
        <v>0</v>
      </c>
      <c r="K53" s="2"/>
      <c r="L53" s="7">
        <f t="shared" si="34"/>
        <v>574.59</v>
      </c>
      <c r="M53" s="2"/>
      <c r="N53" s="6">
        <f t="shared" si="35"/>
        <v>-1.147344249201278</v>
      </c>
      <c r="O53" s="11"/>
      <c r="P53" s="7">
        <v>73.790000000000006</v>
      </c>
      <c r="Q53" s="2"/>
      <c r="R53" s="6">
        <f t="shared" si="36"/>
        <v>0</v>
      </c>
      <c r="S53" s="2"/>
      <c r="T53" s="7">
        <v>-500.8</v>
      </c>
      <c r="U53" s="2"/>
      <c r="V53" s="6">
        <f t="shared" si="37"/>
        <v>0</v>
      </c>
      <c r="W53" s="2"/>
      <c r="X53" s="7">
        <f t="shared" si="38"/>
        <v>574.59</v>
      </c>
      <c r="Y53" s="2"/>
      <c r="Z53" s="6">
        <f t="shared" si="39"/>
        <v>-1.147344249201278</v>
      </c>
    </row>
    <row r="54" spans="1:26" s="28" customFormat="1" outlineLevel="1" collapsed="1" x14ac:dyDescent="0.25">
      <c r="A54" s="27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SUM(OSRRefD22_11x_0)</f>
        <v>3883.56</v>
      </c>
      <c r="E54" s="1"/>
      <c r="F54" s="5">
        <f t="shared" si="32"/>
        <v>0</v>
      </c>
      <c r="G54" s="1"/>
      <c r="H54" s="1">
        <f>SUM(OSRRefH22_11x_0)</f>
        <v>3658.12</v>
      </c>
      <c r="I54" s="1"/>
      <c r="J54" s="5">
        <f t="shared" si="33"/>
        <v>0</v>
      </c>
      <c r="K54" s="1"/>
      <c r="L54" s="1">
        <f t="shared" si="34"/>
        <v>225.44000000000005</v>
      </c>
      <c r="M54" s="1"/>
      <c r="N54" s="5">
        <f t="shared" si="35"/>
        <v>6.1627283960066934E-2</v>
      </c>
      <c r="O54" s="14"/>
      <c r="P54" s="1">
        <f>SUM(OSRRefP22_11x_0)</f>
        <v>3883.56</v>
      </c>
      <c r="Q54" s="1"/>
      <c r="R54" s="5">
        <f t="shared" si="36"/>
        <v>0</v>
      </c>
      <c r="S54" s="1"/>
      <c r="T54" s="1">
        <f>SUM(OSRRefT22_11x_0)</f>
        <v>3658.12</v>
      </c>
      <c r="U54" s="1"/>
      <c r="V54" s="5">
        <f t="shared" si="37"/>
        <v>0</v>
      </c>
      <c r="W54" s="1"/>
      <c r="X54" s="1">
        <f t="shared" si="38"/>
        <v>225.44000000000005</v>
      </c>
      <c r="Y54" s="1"/>
      <c r="Z54" s="5">
        <f t="shared" si="39"/>
        <v>6.1627283960066934E-2</v>
      </c>
    </row>
    <row r="55" spans="1:26" s="24" customFormat="1" hidden="1" outlineLevel="2" x14ac:dyDescent="0.25">
      <c r="A55" s="29"/>
      <c r="B55" s="11" t="str">
        <f>CONCATENATE("          ", "6314", " - ", "LIABILITY INSURANCE")</f>
        <v xml:space="preserve">          6314 - LIABILITY INSURANCE</v>
      </c>
      <c r="C55" s="11"/>
      <c r="D55" s="7">
        <v>3883.56</v>
      </c>
      <c r="E55" s="2"/>
      <c r="F55" s="6">
        <f t="shared" si="32"/>
        <v>0</v>
      </c>
      <c r="G55" s="2"/>
      <c r="H55" s="7">
        <v>3658.12</v>
      </c>
      <c r="I55" s="2"/>
      <c r="J55" s="6">
        <f t="shared" si="33"/>
        <v>0</v>
      </c>
      <c r="K55" s="2"/>
      <c r="L55" s="7">
        <f t="shared" si="34"/>
        <v>225.44000000000005</v>
      </c>
      <c r="M55" s="2"/>
      <c r="N55" s="6">
        <f t="shared" si="35"/>
        <v>6.1627283960066934E-2</v>
      </c>
      <c r="O55" s="11"/>
      <c r="P55" s="7">
        <v>3883.56</v>
      </c>
      <c r="Q55" s="2"/>
      <c r="R55" s="6">
        <f t="shared" si="36"/>
        <v>0</v>
      </c>
      <c r="S55" s="2"/>
      <c r="T55" s="7">
        <v>3658.12</v>
      </c>
      <c r="U55" s="2"/>
      <c r="V55" s="6">
        <f t="shared" si="37"/>
        <v>0</v>
      </c>
      <c r="W55" s="2"/>
      <c r="X55" s="7">
        <f t="shared" si="38"/>
        <v>225.44000000000005</v>
      </c>
      <c r="Y55" s="2"/>
      <c r="Z55" s="6">
        <f t="shared" si="39"/>
        <v>6.1627283960066934E-2</v>
      </c>
    </row>
    <row r="56" spans="1:26" s="28" customFormat="1" outlineLevel="1" collapsed="1" x14ac:dyDescent="0.25">
      <c r="A56" s="27"/>
      <c r="B56" s="14" t="str">
        <f>CONCATENATE("     ","Professional Services                             ")</f>
        <v xml:space="preserve">     Professional Services                             </v>
      </c>
      <c r="C56" s="14"/>
      <c r="D56" s="1">
        <f>SUM(OSRRefD22_12x_0)</f>
        <v>4658.41</v>
      </c>
      <c r="E56" s="1"/>
      <c r="F56" s="5">
        <f t="shared" si="32"/>
        <v>0</v>
      </c>
      <c r="G56" s="1"/>
      <c r="H56" s="1">
        <f>SUM(OSRRefH22_12x_0)</f>
        <v>6776.43</v>
      </c>
      <c r="I56" s="1"/>
      <c r="J56" s="5">
        <f t="shared" si="33"/>
        <v>0</v>
      </c>
      <c r="K56" s="1"/>
      <c r="L56" s="1">
        <f t="shared" si="34"/>
        <v>-2118.0200000000004</v>
      </c>
      <c r="M56" s="1"/>
      <c r="N56" s="5">
        <f t="shared" si="35"/>
        <v>-0.31255690680786202</v>
      </c>
      <c r="O56" s="14"/>
      <c r="P56" s="1">
        <f>SUM(OSRRefP22_12x_0)</f>
        <v>4658.41</v>
      </c>
      <c r="Q56" s="1"/>
      <c r="R56" s="5">
        <f t="shared" si="36"/>
        <v>0</v>
      </c>
      <c r="S56" s="1"/>
      <c r="T56" s="1">
        <f>SUM(OSRRefT22_12x_0)</f>
        <v>6776.43</v>
      </c>
      <c r="U56" s="1"/>
      <c r="V56" s="5">
        <f t="shared" si="37"/>
        <v>0</v>
      </c>
      <c r="W56" s="1"/>
      <c r="X56" s="1">
        <f t="shared" si="38"/>
        <v>-2118.0200000000004</v>
      </c>
      <c r="Y56" s="1"/>
      <c r="Z56" s="5">
        <f t="shared" si="39"/>
        <v>-0.31255690680786202</v>
      </c>
    </row>
    <row r="57" spans="1:26" s="24" customFormat="1" hidden="1" outlineLevel="2" x14ac:dyDescent="0.25">
      <c r="A57" s="29"/>
      <c r="B57" s="11" t="str">
        <f>CONCATENATE("          ", "6336", " - ", "PROFESSIONAL SERVICES")</f>
        <v xml:space="preserve">          6336 - PROFESSIONAL SERVICES</v>
      </c>
      <c r="C57" s="11"/>
      <c r="D57" s="7">
        <v>4658.41</v>
      </c>
      <c r="E57" s="2"/>
      <c r="F57" s="6">
        <f t="shared" si="32"/>
        <v>0</v>
      </c>
      <c r="G57" s="2"/>
      <c r="H57" s="7">
        <v>6776.43</v>
      </c>
      <c r="I57" s="2"/>
      <c r="J57" s="6">
        <f t="shared" si="33"/>
        <v>0</v>
      </c>
      <c r="K57" s="2"/>
      <c r="L57" s="7">
        <f t="shared" si="34"/>
        <v>-2118.0200000000004</v>
      </c>
      <c r="M57" s="2"/>
      <c r="N57" s="6">
        <f t="shared" si="35"/>
        <v>-0.31255690680786202</v>
      </c>
      <c r="O57" s="11"/>
      <c r="P57" s="7">
        <v>4658.41</v>
      </c>
      <c r="Q57" s="2"/>
      <c r="R57" s="6">
        <f t="shared" si="36"/>
        <v>0</v>
      </c>
      <c r="S57" s="2"/>
      <c r="T57" s="7">
        <v>6776.43</v>
      </c>
      <c r="U57" s="2"/>
      <c r="V57" s="6">
        <f t="shared" si="37"/>
        <v>0</v>
      </c>
      <c r="W57" s="2"/>
      <c r="X57" s="7">
        <f t="shared" si="38"/>
        <v>-2118.0200000000004</v>
      </c>
      <c r="Y57" s="2"/>
      <c r="Z57" s="6">
        <f t="shared" si="39"/>
        <v>-0.31255690680786202</v>
      </c>
    </row>
    <row r="58" spans="1:26" s="28" customFormat="1" outlineLevel="1" collapsed="1" x14ac:dyDescent="0.25">
      <c r="A58" s="27"/>
      <c r="B58" s="14" t="str">
        <f>CONCATENATE("     ","Rent                                              ")</f>
        <v xml:space="preserve">     Rent                                              </v>
      </c>
      <c r="C58" s="14"/>
      <c r="D58" s="1">
        <f>SUM(OSRRefD22_13x_0)</f>
        <v>-800</v>
      </c>
      <c r="E58" s="1"/>
      <c r="F58" s="5">
        <f t="shared" si="32"/>
        <v>0</v>
      </c>
      <c r="G58" s="1"/>
      <c r="H58" s="1">
        <f>SUM(OSRRefH22_13x_0)</f>
        <v>-698.92</v>
      </c>
      <c r="I58" s="1"/>
      <c r="J58" s="5">
        <f t="shared" si="33"/>
        <v>0</v>
      </c>
      <c r="K58" s="1"/>
      <c r="L58" s="1">
        <f t="shared" si="34"/>
        <v>-101.08000000000004</v>
      </c>
      <c r="M58" s="1"/>
      <c r="N58" s="5">
        <f t="shared" si="35"/>
        <v>0.14462313283351463</v>
      </c>
      <c r="O58" s="14"/>
      <c r="P58" s="1">
        <f>SUM(OSRRefP22_13x_0)</f>
        <v>-800</v>
      </c>
      <c r="Q58" s="1"/>
      <c r="R58" s="5">
        <f t="shared" si="36"/>
        <v>0</v>
      </c>
      <c r="S58" s="1"/>
      <c r="T58" s="1">
        <f>SUM(OSRRefT22_13x_0)</f>
        <v>-698.92</v>
      </c>
      <c r="U58" s="1"/>
      <c r="V58" s="5">
        <f t="shared" si="37"/>
        <v>0</v>
      </c>
      <c r="W58" s="1"/>
      <c r="X58" s="1">
        <f t="shared" si="38"/>
        <v>-101.08000000000004</v>
      </c>
      <c r="Y58" s="1"/>
      <c r="Z58" s="5">
        <f t="shared" si="39"/>
        <v>0.14462313283351463</v>
      </c>
    </row>
    <row r="59" spans="1:26" s="24" customFormat="1" hidden="1" outlineLevel="2" x14ac:dyDescent="0.25">
      <c r="A59" s="29"/>
      <c r="B59" s="11" t="str">
        <f>CONCATENATE("          ", "6273", " - ", "RENT")</f>
        <v xml:space="preserve">          6273 - RENT</v>
      </c>
      <c r="C59" s="11"/>
      <c r="D59" s="7">
        <v>-800</v>
      </c>
      <c r="E59" s="2"/>
      <c r="F59" s="6">
        <f t="shared" si="32"/>
        <v>0</v>
      </c>
      <c r="G59" s="2"/>
      <c r="H59" s="7">
        <v>-698.92</v>
      </c>
      <c r="I59" s="2"/>
      <c r="J59" s="6">
        <f t="shared" si="33"/>
        <v>0</v>
      </c>
      <c r="K59" s="2"/>
      <c r="L59" s="7">
        <f t="shared" si="34"/>
        <v>-101.08000000000004</v>
      </c>
      <c r="M59" s="2"/>
      <c r="N59" s="6">
        <f t="shared" si="35"/>
        <v>0.14462313283351463</v>
      </c>
      <c r="O59" s="11"/>
      <c r="P59" s="7">
        <v>-800</v>
      </c>
      <c r="Q59" s="2"/>
      <c r="R59" s="6">
        <f t="shared" si="36"/>
        <v>0</v>
      </c>
      <c r="S59" s="2"/>
      <c r="T59" s="7">
        <v>-698.92</v>
      </c>
      <c r="U59" s="2"/>
      <c r="V59" s="6">
        <f t="shared" si="37"/>
        <v>0</v>
      </c>
      <c r="W59" s="2"/>
      <c r="X59" s="7">
        <f t="shared" si="38"/>
        <v>-101.08000000000004</v>
      </c>
      <c r="Y59" s="2"/>
      <c r="Z59" s="6">
        <f t="shared" si="39"/>
        <v>0.14462313283351463</v>
      </c>
    </row>
    <row r="60" spans="1:26" s="28" customFormat="1" outlineLevel="1" collapsed="1" x14ac:dyDescent="0.25">
      <c r="A60" s="27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SUM(OSRRefD22_14x_0)</f>
        <v>16782.449999999997</v>
      </c>
      <c r="E60" s="1"/>
      <c r="F60" s="5">
        <f t="shared" si="32"/>
        <v>0</v>
      </c>
      <c r="G60" s="1"/>
      <c r="H60" s="1">
        <f>SUM(OSRRefH22_14x_0)</f>
        <v>48534.55</v>
      </c>
      <c r="I60" s="1"/>
      <c r="J60" s="5">
        <f t="shared" si="33"/>
        <v>0</v>
      </c>
      <c r="K60" s="1"/>
      <c r="L60" s="1">
        <f t="shared" si="34"/>
        <v>-31752.100000000006</v>
      </c>
      <c r="M60" s="1"/>
      <c r="N60" s="5">
        <f t="shared" si="35"/>
        <v>-0.65421642932714952</v>
      </c>
      <c r="O60" s="14"/>
      <c r="P60" s="1">
        <f>SUM(OSRRefP22_14x_0)</f>
        <v>16782.449999999997</v>
      </c>
      <c r="Q60" s="1"/>
      <c r="R60" s="5">
        <f t="shared" si="36"/>
        <v>0</v>
      </c>
      <c r="S60" s="1"/>
      <c r="T60" s="1">
        <f>SUM(OSRRefT22_14x_0)</f>
        <v>48534.55</v>
      </c>
      <c r="U60" s="1"/>
      <c r="V60" s="5">
        <f t="shared" si="37"/>
        <v>0</v>
      </c>
      <c r="W60" s="1"/>
      <c r="X60" s="1">
        <f t="shared" si="38"/>
        <v>-31752.100000000006</v>
      </c>
      <c r="Y60" s="1"/>
      <c r="Z60" s="5">
        <f t="shared" si="39"/>
        <v>-0.65421642932714952</v>
      </c>
    </row>
    <row r="61" spans="1:26" s="24" customFormat="1" hidden="1" outlineLevel="2" x14ac:dyDescent="0.25">
      <c r="A61" s="29"/>
      <c r="B61" s="11" t="str">
        <f>CONCATENATE("          ", "6371", " - ", "COMPUTER SOFTWARE MAINTENANCE")</f>
        <v xml:space="preserve">          6371 - COMPUTER SOFTWARE MAINTENANCE</v>
      </c>
      <c r="C61" s="11"/>
      <c r="D61" s="7">
        <v>601</v>
      </c>
      <c r="E61" s="2"/>
      <c r="F61" s="6">
        <f t="shared" si="32"/>
        <v>0</v>
      </c>
      <c r="G61" s="2"/>
      <c r="H61" s="7">
        <v>42144</v>
      </c>
      <c r="I61" s="2"/>
      <c r="J61" s="6">
        <f t="shared" si="33"/>
        <v>0</v>
      </c>
      <c r="K61" s="2"/>
      <c r="L61" s="7">
        <f t="shared" si="34"/>
        <v>-41543</v>
      </c>
      <c r="M61" s="2"/>
      <c r="N61" s="6">
        <f t="shared" si="35"/>
        <v>-0.98573936977980259</v>
      </c>
      <c r="O61" s="11"/>
      <c r="P61" s="7">
        <v>601</v>
      </c>
      <c r="Q61" s="2"/>
      <c r="R61" s="6">
        <f t="shared" si="36"/>
        <v>0</v>
      </c>
      <c r="S61" s="2"/>
      <c r="T61" s="7">
        <v>42144</v>
      </c>
      <c r="U61" s="2"/>
      <c r="V61" s="6">
        <f t="shared" si="37"/>
        <v>0</v>
      </c>
      <c r="W61" s="2"/>
      <c r="X61" s="7">
        <f t="shared" si="38"/>
        <v>-41543</v>
      </c>
      <c r="Y61" s="2"/>
      <c r="Z61" s="6">
        <f t="shared" si="39"/>
        <v>-0.98573936977980259</v>
      </c>
    </row>
    <row r="62" spans="1:26" s="24" customFormat="1" hidden="1" outlineLevel="2" x14ac:dyDescent="0.25">
      <c r="A62" s="29"/>
      <c r="B62" s="11" t="str">
        <f>CONCATENATE("          ", "6373", " - ", "MAINTENANCE CONTRACTS")</f>
        <v xml:space="preserve">          6373 - MAINTENANCE CONTRACTS</v>
      </c>
      <c r="C62" s="11"/>
      <c r="D62" s="7">
        <v>516</v>
      </c>
      <c r="E62" s="2"/>
      <c r="F62" s="6">
        <f t="shared" si="32"/>
        <v>0</v>
      </c>
      <c r="G62" s="2"/>
      <c r="H62" s="7">
        <v>1465</v>
      </c>
      <c r="I62" s="2"/>
      <c r="J62" s="6">
        <f t="shared" si="33"/>
        <v>0</v>
      </c>
      <c r="K62" s="2"/>
      <c r="L62" s="7">
        <f t="shared" si="34"/>
        <v>-949</v>
      </c>
      <c r="M62" s="2"/>
      <c r="N62" s="6">
        <f t="shared" si="35"/>
        <v>-0.64778156996587033</v>
      </c>
      <c r="O62" s="11"/>
      <c r="P62" s="7">
        <v>516</v>
      </c>
      <c r="Q62" s="2"/>
      <c r="R62" s="6">
        <f t="shared" si="36"/>
        <v>0</v>
      </c>
      <c r="S62" s="2"/>
      <c r="T62" s="7">
        <v>1465</v>
      </c>
      <c r="U62" s="2"/>
      <c r="V62" s="6">
        <f t="shared" si="37"/>
        <v>0</v>
      </c>
      <c r="W62" s="2"/>
      <c r="X62" s="7">
        <f t="shared" si="38"/>
        <v>-949</v>
      </c>
      <c r="Y62" s="2"/>
      <c r="Z62" s="6">
        <f t="shared" si="39"/>
        <v>-0.64778156996587033</v>
      </c>
    </row>
    <row r="63" spans="1:26" s="24" customFormat="1" hidden="1" outlineLevel="2" x14ac:dyDescent="0.25">
      <c r="A63" s="29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15665.449999999999</v>
      </c>
      <c r="E63" s="2"/>
      <c r="F63" s="6">
        <f t="shared" si="32"/>
        <v>0</v>
      </c>
      <c r="G63" s="2"/>
      <c r="H63" s="7">
        <v>4925.55</v>
      </c>
      <c r="I63" s="2"/>
      <c r="J63" s="6">
        <f t="shared" si="33"/>
        <v>0</v>
      </c>
      <c r="K63" s="2"/>
      <c r="L63" s="7">
        <f t="shared" si="34"/>
        <v>10739.899999999998</v>
      </c>
      <c r="M63" s="2"/>
      <c r="N63" s="6">
        <f t="shared" si="35"/>
        <v>2.180446853650861</v>
      </c>
      <c r="O63" s="11"/>
      <c r="P63" s="7">
        <v>15665.449999999999</v>
      </c>
      <c r="Q63" s="2"/>
      <c r="R63" s="6">
        <f t="shared" si="36"/>
        <v>0</v>
      </c>
      <c r="S63" s="2"/>
      <c r="T63" s="7">
        <v>4925.55</v>
      </c>
      <c r="U63" s="2"/>
      <c r="V63" s="6">
        <f t="shared" si="37"/>
        <v>0</v>
      </c>
      <c r="W63" s="2"/>
      <c r="X63" s="7">
        <f t="shared" si="38"/>
        <v>10739.899999999998</v>
      </c>
      <c r="Y63" s="2"/>
      <c r="Z63" s="6">
        <f t="shared" si="39"/>
        <v>2.180446853650861</v>
      </c>
    </row>
    <row r="64" spans="1:26" s="28" customFormat="1" outlineLevel="1" collapsed="1" x14ac:dyDescent="0.25">
      <c r="A64" s="27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SUM(OSRRefD22_15x_0)</f>
        <v>4180.04</v>
      </c>
      <c r="E64" s="1"/>
      <c r="F64" s="5">
        <f t="shared" ref="F64:F67" si="40">IF(D$12=0,0,D64/D$12)</f>
        <v>0</v>
      </c>
      <c r="G64" s="1"/>
      <c r="H64" s="1">
        <f>SUM(OSRRefH22_15x_0)</f>
        <v>4047.62</v>
      </c>
      <c r="I64" s="1"/>
      <c r="J64" s="5">
        <f t="shared" ref="J64:J67" si="41">IF(H$12=0,0,H64/H$12)</f>
        <v>0</v>
      </c>
      <c r="K64" s="1"/>
      <c r="L64" s="1">
        <f t="shared" ref="L64:L67" si="42">+D64-H64</f>
        <v>132.42000000000007</v>
      </c>
      <c r="M64" s="1"/>
      <c r="N64" s="5">
        <f t="shared" ref="N64:N67" si="43">IF(H64=0,0,L64/H64)</f>
        <v>3.2715521713994909E-2</v>
      </c>
      <c r="O64" s="14"/>
      <c r="P64" s="1">
        <f>SUM(OSRRefP22_15x_0)</f>
        <v>4180.04</v>
      </c>
      <c r="Q64" s="1"/>
      <c r="R64" s="5">
        <f t="shared" ref="R64:R67" si="44">IF(P$12=0,0,P64/P$12)</f>
        <v>0</v>
      </c>
      <c r="S64" s="1"/>
      <c r="T64" s="1">
        <f>SUM(OSRRefT22_15x_0)</f>
        <v>4047.62</v>
      </c>
      <c r="U64" s="1"/>
      <c r="V64" s="5">
        <f t="shared" ref="V64:V67" si="45">IF(T$12=0,0,T64/T$12)</f>
        <v>0</v>
      </c>
      <c r="W64" s="1"/>
      <c r="X64" s="1">
        <f t="shared" ref="X64:X67" si="46">+P64-T64</f>
        <v>132.42000000000007</v>
      </c>
      <c r="Y64" s="1"/>
      <c r="Z64" s="5">
        <f t="shared" ref="Z64:Z67" si="47">IF(T64=0,0,X64/T64)</f>
        <v>3.2715521713994909E-2</v>
      </c>
    </row>
    <row r="65" spans="1:26" s="24" customFormat="1" hidden="1" outlineLevel="2" x14ac:dyDescent="0.25">
      <c r="A65" s="29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222.5</v>
      </c>
      <c r="E65" s="2"/>
      <c r="F65" s="6">
        <f t="shared" si="40"/>
        <v>0</v>
      </c>
      <c r="G65" s="2"/>
      <c r="H65" s="7">
        <v>194.5</v>
      </c>
      <c r="I65" s="2"/>
      <c r="J65" s="6">
        <f t="shared" si="41"/>
        <v>0</v>
      </c>
      <c r="K65" s="2"/>
      <c r="L65" s="7">
        <f t="shared" si="42"/>
        <v>28</v>
      </c>
      <c r="M65" s="2"/>
      <c r="N65" s="6">
        <f t="shared" si="43"/>
        <v>0.14395886889460155</v>
      </c>
      <c r="O65" s="11"/>
      <c r="P65" s="7">
        <v>222.5</v>
      </c>
      <c r="Q65" s="2"/>
      <c r="R65" s="6">
        <f t="shared" si="44"/>
        <v>0</v>
      </c>
      <c r="S65" s="2"/>
      <c r="T65" s="7">
        <v>194.5</v>
      </c>
      <c r="U65" s="2"/>
      <c r="V65" s="6">
        <f t="shared" si="45"/>
        <v>0</v>
      </c>
      <c r="W65" s="2"/>
      <c r="X65" s="7">
        <f t="shared" si="46"/>
        <v>28</v>
      </c>
      <c r="Y65" s="2"/>
      <c r="Z65" s="6">
        <f t="shared" si="47"/>
        <v>0.14395886889460155</v>
      </c>
    </row>
    <row r="66" spans="1:26" s="24" customFormat="1" hidden="1" outlineLevel="2" x14ac:dyDescent="0.25">
      <c r="A66" s="29"/>
      <c r="B66" s="11" t="str">
        <f>CONCATENATE("          ", "6283", " - ", "PLANT SERVICE")</f>
        <v xml:space="preserve">          6283 - PLANT SERVICE</v>
      </c>
      <c r="C66" s="11"/>
      <c r="D66" s="7">
        <v>121.11</v>
      </c>
      <c r="E66" s="2"/>
      <c r="F66" s="6">
        <f t="shared" si="40"/>
        <v>0</v>
      </c>
      <c r="G66" s="2"/>
      <c r="H66" s="7">
        <v>117</v>
      </c>
      <c r="I66" s="2"/>
      <c r="J66" s="6">
        <f t="shared" si="41"/>
        <v>0</v>
      </c>
      <c r="K66" s="2"/>
      <c r="L66" s="7">
        <f t="shared" si="42"/>
        <v>4.1099999999999994</v>
      </c>
      <c r="M66" s="2"/>
      <c r="N66" s="6">
        <f t="shared" si="43"/>
        <v>3.5128205128205123E-2</v>
      </c>
      <c r="O66" s="11"/>
      <c r="P66" s="7">
        <v>121.11</v>
      </c>
      <c r="Q66" s="2"/>
      <c r="R66" s="6">
        <f t="shared" si="44"/>
        <v>0</v>
      </c>
      <c r="S66" s="2"/>
      <c r="T66" s="7">
        <v>117</v>
      </c>
      <c r="U66" s="2"/>
      <c r="V66" s="6">
        <f t="shared" si="45"/>
        <v>0</v>
      </c>
      <c r="W66" s="2"/>
      <c r="X66" s="7">
        <f t="shared" si="46"/>
        <v>4.1099999999999994</v>
      </c>
      <c r="Y66" s="2"/>
      <c r="Z66" s="6">
        <f t="shared" si="47"/>
        <v>3.5128205128205123E-2</v>
      </c>
    </row>
    <row r="67" spans="1:26" s="24" customFormat="1" hidden="1" outlineLevel="2" x14ac:dyDescent="0.25">
      <c r="A67" s="29"/>
      <c r="B67" s="11" t="str">
        <f>CONCATENATE("          ", "6285", " - ", "JANITORIAL SERVICES")</f>
        <v xml:space="preserve">          6285 - JANITORIAL SERVICES</v>
      </c>
      <c r="C67" s="11"/>
      <c r="D67" s="7">
        <v>3836.43</v>
      </c>
      <c r="E67" s="2"/>
      <c r="F67" s="6">
        <f t="shared" si="40"/>
        <v>0</v>
      </c>
      <c r="G67" s="2"/>
      <c r="H67" s="7">
        <v>3736.12</v>
      </c>
      <c r="I67" s="2"/>
      <c r="J67" s="6">
        <f t="shared" si="41"/>
        <v>0</v>
      </c>
      <c r="K67" s="2"/>
      <c r="L67" s="7">
        <f t="shared" si="42"/>
        <v>100.30999999999995</v>
      </c>
      <c r="M67" s="2"/>
      <c r="N67" s="6">
        <f t="shared" si="43"/>
        <v>2.6848709356230516E-2</v>
      </c>
      <c r="O67" s="11"/>
      <c r="P67" s="7">
        <v>3836.43</v>
      </c>
      <c r="Q67" s="2"/>
      <c r="R67" s="6">
        <f t="shared" si="44"/>
        <v>0</v>
      </c>
      <c r="S67" s="2"/>
      <c r="T67" s="7">
        <v>3736.12</v>
      </c>
      <c r="U67" s="2"/>
      <c r="V67" s="6">
        <f t="shared" si="45"/>
        <v>0</v>
      </c>
      <c r="W67" s="2"/>
      <c r="X67" s="7">
        <f t="shared" si="46"/>
        <v>100.30999999999995</v>
      </c>
      <c r="Y67" s="2"/>
      <c r="Z67" s="6">
        <f t="shared" si="47"/>
        <v>2.6848709356230516E-2</v>
      </c>
    </row>
    <row r="68" spans="1:26" s="28" customFormat="1" outlineLevel="1" collapsed="1" x14ac:dyDescent="0.25">
      <c r="A68" s="27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SUM(OSRRefD22_16x_0)</f>
        <v>159.97999999999999</v>
      </c>
      <c r="E68" s="1"/>
      <c r="F68" s="5">
        <f t="shared" ref="F68:F75" si="48">IF(D$12=0,0,D68/D$12)</f>
        <v>0</v>
      </c>
      <c r="G68" s="1"/>
      <c r="H68" s="1">
        <f>SUM(OSRRefH22_16x_0)</f>
        <v>294.20999999999998</v>
      </c>
      <c r="I68" s="1"/>
      <c r="J68" s="5">
        <f t="shared" ref="J68:J75" si="49">IF(H$12=0,0,H68/H$12)</f>
        <v>0</v>
      </c>
      <c r="K68" s="1"/>
      <c r="L68" s="1">
        <f t="shared" ref="L68:L75" si="50">+D68-H68</f>
        <v>-134.22999999999999</v>
      </c>
      <c r="M68" s="1"/>
      <c r="N68" s="5">
        <f t="shared" ref="N68:N75" si="51">IF(H68=0,0,L68/H68)</f>
        <v>-0.45623874103531492</v>
      </c>
      <c r="O68" s="14"/>
      <c r="P68" s="1">
        <f>SUM(OSRRefP22_16x_0)</f>
        <v>159.97999999999999</v>
      </c>
      <c r="Q68" s="1"/>
      <c r="R68" s="5">
        <f t="shared" ref="R68:R75" si="52">IF(P$12=0,0,P68/P$12)</f>
        <v>0</v>
      </c>
      <c r="S68" s="1"/>
      <c r="T68" s="1">
        <f>SUM(OSRRefT22_16x_0)</f>
        <v>294.20999999999998</v>
      </c>
      <c r="U68" s="1"/>
      <c r="V68" s="5">
        <f t="shared" ref="V68:V75" si="53">IF(T$12=0,0,T68/T$12)</f>
        <v>0</v>
      </c>
      <c r="W68" s="1"/>
      <c r="X68" s="1">
        <f t="shared" ref="X68:X75" si="54">+P68-T68</f>
        <v>-134.22999999999999</v>
      </c>
      <c r="Y68" s="1"/>
      <c r="Z68" s="5">
        <f t="shared" ref="Z68:Z75" si="55">IF(T68=0,0,X68/T68)</f>
        <v>-0.45623874103531492</v>
      </c>
    </row>
    <row r="69" spans="1:26" s="24" customFormat="1" hidden="1" outlineLevel="2" x14ac:dyDescent="0.25">
      <c r="A69" s="29"/>
      <c r="B69" s="11" t="str">
        <f>CONCATENATE("          ", "6275", " - ", "SUBSCRIPTIONS")</f>
        <v xml:space="preserve">          6275 - SUBSCRIPTIONS</v>
      </c>
      <c r="C69" s="11"/>
      <c r="D69" s="7">
        <v>159.97999999999999</v>
      </c>
      <c r="E69" s="2"/>
      <c r="F69" s="6">
        <f t="shared" si="48"/>
        <v>0</v>
      </c>
      <c r="G69" s="2"/>
      <c r="H69" s="7">
        <v>294.20999999999998</v>
      </c>
      <c r="I69" s="2"/>
      <c r="J69" s="6">
        <f t="shared" si="49"/>
        <v>0</v>
      </c>
      <c r="K69" s="2"/>
      <c r="L69" s="7">
        <f t="shared" si="50"/>
        <v>-134.22999999999999</v>
      </c>
      <c r="M69" s="2"/>
      <c r="N69" s="6">
        <f t="shared" si="51"/>
        <v>-0.45623874103531492</v>
      </c>
      <c r="O69" s="11"/>
      <c r="P69" s="7">
        <v>159.97999999999999</v>
      </c>
      <c r="Q69" s="2"/>
      <c r="R69" s="6">
        <f t="shared" si="52"/>
        <v>0</v>
      </c>
      <c r="S69" s="2"/>
      <c r="T69" s="7">
        <v>294.20999999999998</v>
      </c>
      <c r="U69" s="2"/>
      <c r="V69" s="6">
        <f t="shared" si="53"/>
        <v>0</v>
      </c>
      <c r="W69" s="2"/>
      <c r="X69" s="7">
        <f t="shared" si="54"/>
        <v>-134.22999999999999</v>
      </c>
      <c r="Y69" s="2"/>
      <c r="Z69" s="6">
        <f t="shared" si="55"/>
        <v>-0.45623874103531492</v>
      </c>
    </row>
    <row r="70" spans="1:26" s="28" customFormat="1" outlineLevel="1" collapsed="1" x14ac:dyDescent="0.25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SUM(OSRRefD22_17x_0)</f>
        <v>1401.8500000000001</v>
      </c>
      <c r="E70" s="1"/>
      <c r="F70" s="5">
        <f t="shared" si="48"/>
        <v>0</v>
      </c>
      <c r="G70" s="1"/>
      <c r="H70" s="1">
        <f>SUM(OSRRefH22_17x_0)</f>
        <v>15905.03</v>
      </c>
      <c r="I70" s="1"/>
      <c r="J70" s="5">
        <f t="shared" si="49"/>
        <v>0</v>
      </c>
      <c r="K70" s="1"/>
      <c r="L70" s="1">
        <f t="shared" si="50"/>
        <v>-14503.18</v>
      </c>
      <c r="M70" s="1"/>
      <c r="N70" s="5">
        <f t="shared" si="51"/>
        <v>-0.91186121623159466</v>
      </c>
      <c r="O70" s="14"/>
      <c r="P70" s="1">
        <f>SUM(OSRRefP22_17x_0)</f>
        <v>1401.8500000000001</v>
      </c>
      <c r="Q70" s="1"/>
      <c r="R70" s="5">
        <f t="shared" si="52"/>
        <v>0</v>
      </c>
      <c r="S70" s="1"/>
      <c r="T70" s="1">
        <f>SUM(OSRRefT22_17x_0)</f>
        <v>15905.03</v>
      </c>
      <c r="U70" s="1"/>
      <c r="V70" s="5">
        <f t="shared" si="53"/>
        <v>0</v>
      </c>
      <c r="W70" s="1"/>
      <c r="X70" s="1">
        <f t="shared" si="54"/>
        <v>-14503.18</v>
      </c>
      <c r="Y70" s="1"/>
      <c r="Z70" s="5">
        <f t="shared" si="55"/>
        <v>-0.91186121623159466</v>
      </c>
    </row>
    <row r="71" spans="1:26" s="24" customFormat="1" hidden="1" outlineLevel="2" x14ac:dyDescent="0.25">
      <c r="A71" s="29"/>
      <c r="B71" s="11" t="str">
        <f>CONCATENATE("          ", "6234", " - ", "EXPENDABLE SUPPLIES &amp; EQUIPMEN")</f>
        <v xml:space="preserve">          6234 - EXPENDABLE SUPPLIES &amp; EQUIPMEN</v>
      </c>
      <c r="C71" s="11"/>
      <c r="D71" s="7">
        <v>700.76</v>
      </c>
      <c r="E71" s="2"/>
      <c r="F71" s="6">
        <f t="shared" si="48"/>
        <v>0</v>
      </c>
      <c r="G71" s="2"/>
      <c r="H71" s="7">
        <v>357.21</v>
      </c>
      <c r="I71" s="2"/>
      <c r="J71" s="6">
        <f t="shared" si="49"/>
        <v>0</v>
      </c>
      <c r="K71" s="2"/>
      <c r="L71" s="7">
        <f t="shared" si="50"/>
        <v>343.55</v>
      </c>
      <c r="M71" s="2"/>
      <c r="N71" s="6">
        <f t="shared" si="51"/>
        <v>0.96175918927241688</v>
      </c>
      <c r="O71" s="11"/>
      <c r="P71" s="7">
        <v>700.76</v>
      </c>
      <c r="Q71" s="2"/>
      <c r="R71" s="6">
        <f t="shared" si="52"/>
        <v>0</v>
      </c>
      <c r="S71" s="2"/>
      <c r="T71" s="7">
        <v>357.21</v>
      </c>
      <c r="U71" s="2"/>
      <c r="V71" s="6">
        <f t="shared" si="53"/>
        <v>0</v>
      </c>
      <c r="W71" s="2"/>
      <c r="X71" s="7">
        <f t="shared" si="54"/>
        <v>343.55</v>
      </c>
      <c r="Y71" s="2"/>
      <c r="Z71" s="6">
        <f t="shared" si="55"/>
        <v>0.96175918927241688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7">
        <v>448.83</v>
      </c>
      <c r="E72" s="2"/>
      <c r="F72" s="6">
        <f t="shared" si="48"/>
        <v>0</v>
      </c>
      <c r="G72" s="2"/>
      <c r="H72" s="7">
        <v>549.96</v>
      </c>
      <c r="I72" s="2"/>
      <c r="J72" s="6">
        <f t="shared" si="49"/>
        <v>0</v>
      </c>
      <c r="K72" s="2"/>
      <c r="L72" s="7">
        <f t="shared" si="50"/>
        <v>-101.13000000000005</v>
      </c>
      <c r="M72" s="2"/>
      <c r="N72" s="6">
        <f t="shared" si="51"/>
        <v>-0.18388610080733153</v>
      </c>
      <c r="O72" s="11"/>
      <c r="P72" s="7">
        <v>448.83</v>
      </c>
      <c r="Q72" s="2"/>
      <c r="R72" s="6">
        <f t="shared" si="52"/>
        <v>0</v>
      </c>
      <c r="S72" s="2"/>
      <c r="T72" s="7">
        <v>549.96</v>
      </c>
      <c r="U72" s="2"/>
      <c r="V72" s="6">
        <f t="shared" si="53"/>
        <v>0</v>
      </c>
      <c r="W72" s="2"/>
      <c r="X72" s="7">
        <f t="shared" si="54"/>
        <v>-101.13000000000005</v>
      </c>
      <c r="Y72" s="2"/>
      <c r="Z72" s="6">
        <f t="shared" si="55"/>
        <v>-0.18388610080733153</v>
      </c>
    </row>
    <row r="73" spans="1:26" s="24" customFormat="1" hidden="1" outlineLevel="2" x14ac:dyDescent="0.25">
      <c r="A73" s="29"/>
      <c r="B73" s="11" t="str">
        <f>CONCATENATE("          ", "6241", " - ", "OFFICE EXPENSE")</f>
        <v xml:space="preserve">          6241 - OFFICE EXPENSE</v>
      </c>
      <c r="C73" s="11"/>
      <c r="D73" s="7">
        <v>350.12</v>
      </c>
      <c r="E73" s="2"/>
      <c r="F73" s="6">
        <f t="shared" si="48"/>
        <v>0</v>
      </c>
      <c r="G73" s="2"/>
      <c r="H73" s="7">
        <v>1967.32</v>
      </c>
      <c r="I73" s="2"/>
      <c r="J73" s="6">
        <f t="shared" si="49"/>
        <v>0</v>
      </c>
      <c r="K73" s="2"/>
      <c r="L73" s="7">
        <f t="shared" si="50"/>
        <v>-1617.1999999999998</v>
      </c>
      <c r="M73" s="2"/>
      <c r="N73" s="6">
        <f t="shared" si="51"/>
        <v>-0.82203200292784084</v>
      </c>
      <c r="O73" s="11"/>
      <c r="P73" s="7">
        <v>350.12</v>
      </c>
      <c r="Q73" s="2"/>
      <c r="R73" s="6">
        <f t="shared" si="52"/>
        <v>0</v>
      </c>
      <c r="S73" s="2"/>
      <c r="T73" s="7">
        <v>1967.32</v>
      </c>
      <c r="U73" s="2"/>
      <c r="V73" s="6">
        <f t="shared" si="53"/>
        <v>0</v>
      </c>
      <c r="W73" s="2"/>
      <c r="X73" s="7">
        <f t="shared" si="54"/>
        <v>-1617.1999999999998</v>
      </c>
      <c r="Y73" s="2"/>
      <c r="Z73" s="6">
        <f t="shared" si="55"/>
        <v>-0.82203200292784084</v>
      </c>
    </row>
    <row r="74" spans="1:26" s="24" customFormat="1" hidden="1" outlineLevel="2" x14ac:dyDescent="0.25">
      <c r="A74" s="29"/>
      <c r="B74" s="11" t="str">
        <f>CONCATENATE("          ", "6245", " - ", "PRINTING")</f>
        <v xml:space="preserve">          6245 - PRINTING</v>
      </c>
      <c r="C74" s="11"/>
      <c r="D74" s="7"/>
      <c r="E74" s="2"/>
      <c r="F74" s="6">
        <f t="shared" si="48"/>
        <v>0</v>
      </c>
      <c r="G74" s="2"/>
      <c r="H74" s="7">
        <v>277.58999999999997</v>
      </c>
      <c r="I74" s="2"/>
      <c r="J74" s="6">
        <f t="shared" si="49"/>
        <v>0</v>
      </c>
      <c r="K74" s="2"/>
      <c r="L74" s="7">
        <f t="shared" si="50"/>
        <v>-277.58999999999997</v>
      </c>
      <c r="M74" s="2"/>
      <c r="N74" s="6">
        <f t="shared" si="51"/>
        <v>-1</v>
      </c>
      <c r="O74" s="11"/>
      <c r="P74" s="7"/>
      <c r="Q74" s="2"/>
      <c r="R74" s="6">
        <f t="shared" si="52"/>
        <v>0</v>
      </c>
      <c r="S74" s="2"/>
      <c r="T74" s="7">
        <v>277.58999999999997</v>
      </c>
      <c r="U74" s="2"/>
      <c r="V74" s="6">
        <f t="shared" si="53"/>
        <v>0</v>
      </c>
      <c r="W74" s="2"/>
      <c r="X74" s="7">
        <f t="shared" si="54"/>
        <v>-277.58999999999997</v>
      </c>
      <c r="Y74" s="2"/>
      <c r="Z74" s="6">
        <f t="shared" si="55"/>
        <v>-1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7">
        <v>-97.86</v>
      </c>
      <c r="E75" s="2"/>
      <c r="F75" s="6">
        <f t="shared" si="48"/>
        <v>0</v>
      </c>
      <c r="G75" s="2"/>
      <c r="H75" s="7">
        <v>12752.95</v>
      </c>
      <c r="I75" s="2"/>
      <c r="J75" s="6">
        <f t="shared" si="49"/>
        <v>0</v>
      </c>
      <c r="K75" s="2"/>
      <c r="L75" s="7">
        <f t="shared" si="50"/>
        <v>-12850.810000000001</v>
      </c>
      <c r="M75" s="2"/>
      <c r="N75" s="6">
        <f t="shared" si="51"/>
        <v>-1.007673518676071</v>
      </c>
      <c r="O75" s="11"/>
      <c r="P75" s="7">
        <v>-97.86</v>
      </c>
      <c r="Q75" s="2"/>
      <c r="R75" s="6">
        <f t="shared" si="52"/>
        <v>0</v>
      </c>
      <c r="S75" s="2"/>
      <c r="T75" s="7">
        <v>12752.95</v>
      </c>
      <c r="U75" s="2"/>
      <c r="V75" s="6">
        <f t="shared" si="53"/>
        <v>0</v>
      </c>
      <c r="W75" s="2"/>
      <c r="X75" s="7">
        <f t="shared" si="54"/>
        <v>-12850.810000000001</v>
      </c>
      <c r="Y75" s="2"/>
      <c r="Z75" s="6">
        <f t="shared" si="55"/>
        <v>-1.007673518676071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SUM(OSRRefD22_18x_0)</f>
        <v>397.36</v>
      </c>
      <c r="E76" s="1"/>
      <c r="F76" s="5">
        <f t="shared" ref="F76:F82" si="56">IF(D$12=0,0,D76/D$12)</f>
        <v>0</v>
      </c>
      <c r="G76" s="1"/>
      <c r="H76" s="1">
        <f>SUM(OSRRefH22_18x_0)</f>
        <v>354.41</v>
      </c>
      <c r="I76" s="1"/>
      <c r="J76" s="5">
        <f t="shared" ref="J76:J82" si="57">IF(H$12=0,0,H76/H$12)</f>
        <v>0</v>
      </c>
      <c r="K76" s="1"/>
      <c r="L76" s="1">
        <f t="shared" ref="L76:L82" si="58">+D76-H76</f>
        <v>42.949999999999989</v>
      </c>
      <c r="M76" s="1"/>
      <c r="N76" s="5">
        <f t="shared" ref="N76:N82" si="59">IF(H76=0,0,L76/H76)</f>
        <v>0.12118732541406842</v>
      </c>
      <c r="O76" s="14"/>
      <c r="P76" s="1">
        <f>SUM(OSRRefP22_18x_0)</f>
        <v>397.36</v>
      </c>
      <c r="Q76" s="1"/>
      <c r="R76" s="5">
        <f t="shared" ref="R76:R82" si="60">IF(P$12=0,0,P76/P$12)</f>
        <v>0</v>
      </c>
      <c r="S76" s="1"/>
      <c r="T76" s="1">
        <f>SUM(OSRRefT22_18x_0)</f>
        <v>354.41</v>
      </c>
      <c r="U76" s="1"/>
      <c r="V76" s="5">
        <f t="shared" ref="V76:V82" si="61">IF(T$12=0,0,T76/T$12)</f>
        <v>0</v>
      </c>
      <c r="W76" s="1"/>
      <c r="X76" s="1">
        <f t="shared" ref="X76:X82" si="62">+P76-T76</f>
        <v>42.949999999999989</v>
      </c>
      <c r="Y76" s="1"/>
      <c r="Z76" s="5">
        <f t="shared" ref="Z76:Z82" si="63">IF(T76=0,0,X76/T76)</f>
        <v>0.12118732541406842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>
        <v>397.36</v>
      </c>
      <c r="E77" s="2"/>
      <c r="F77" s="6">
        <f t="shared" si="56"/>
        <v>0</v>
      </c>
      <c r="G77" s="2"/>
      <c r="H77" s="7">
        <v>354.41</v>
      </c>
      <c r="I77" s="2"/>
      <c r="J77" s="6">
        <f t="shared" si="57"/>
        <v>0</v>
      </c>
      <c r="K77" s="2"/>
      <c r="L77" s="7">
        <f t="shared" si="58"/>
        <v>42.949999999999989</v>
      </c>
      <c r="M77" s="2"/>
      <c r="N77" s="6">
        <f t="shared" si="59"/>
        <v>0.12118732541406842</v>
      </c>
      <c r="O77" s="11"/>
      <c r="P77" s="7">
        <v>397.36</v>
      </c>
      <c r="Q77" s="2"/>
      <c r="R77" s="6">
        <f t="shared" si="60"/>
        <v>0</v>
      </c>
      <c r="S77" s="2"/>
      <c r="T77" s="7">
        <v>354.41</v>
      </c>
      <c r="U77" s="2"/>
      <c r="V77" s="6">
        <f t="shared" si="61"/>
        <v>0</v>
      </c>
      <c r="W77" s="2"/>
      <c r="X77" s="7">
        <f t="shared" si="62"/>
        <v>42.949999999999989</v>
      </c>
      <c r="Y77" s="2"/>
      <c r="Z77" s="6">
        <f t="shared" si="63"/>
        <v>0.12118732541406842</v>
      </c>
    </row>
    <row r="78" spans="1:26" s="28" customFormat="1" outlineLevel="1" collapsed="1" x14ac:dyDescent="0.25">
      <c r="A78" s="27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SUM(OSRRefD22_19x_0)</f>
        <v>171.56</v>
      </c>
      <c r="E78" s="1"/>
      <c r="F78" s="5">
        <f t="shared" si="56"/>
        <v>0</v>
      </c>
      <c r="G78" s="1"/>
      <c r="H78" s="1">
        <f>SUM(OSRRefH22_19x_0)</f>
        <v>1165.4000000000001</v>
      </c>
      <c r="I78" s="1"/>
      <c r="J78" s="5">
        <f t="shared" si="57"/>
        <v>0</v>
      </c>
      <c r="K78" s="1"/>
      <c r="L78" s="1">
        <f t="shared" si="58"/>
        <v>-993.84000000000015</v>
      </c>
      <c r="M78" s="1"/>
      <c r="N78" s="5">
        <f t="shared" si="59"/>
        <v>-0.85278874206281108</v>
      </c>
      <c r="O78" s="14"/>
      <c r="P78" s="1">
        <f>SUM(OSRRefP22_19x_0)</f>
        <v>171.56</v>
      </c>
      <c r="Q78" s="1"/>
      <c r="R78" s="5">
        <f t="shared" si="60"/>
        <v>0</v>
      </c>
      <c r="S78" s="1"/>
      <c r="T78" s="1">
        <f>SUM(OSRRefT22_19x_0)</f>
        <v>1165.4000000000001</v>
      </c>
      <c r="U78" s="1"/>
      <c r="V78" s="5">
        <f t="shared" si="61"/>
        <v>0</v>
      </c>
      <c r="W78" s="1"/>
      <c r="X78" s="1">
        <f t="shared" si="62"/>
        <v>-993.84000000000015</v>
      </c>
      <c r="Y78" s="1"/>
      <c r="Z78" s="5">
        <f t="shared" si="63"/>
        <v>-0.85278874206281108</v>
      </c>
    </row>
    <row r="79" spans="1:26" s="24" customFormat="1" hidden="1" outlineLevel="2" x14ac:dyDescent="0.25">
      <c r="A79" s="29"/>
      <c r="B79" s="11" t="str">
        <f>CONCATENATE("          ", "6376", " - ", "TRAINING")</f>
        <v xml:space="preserve">          6376 - TRAINING</v>
      </c>
      <c r="C79" s="11"/>
      <c r="D79" s="7">
        <v>171.56</v>
      </c>
      <c r="E79" s="2"/>
      <c r="F79" s="6">
        <f t="shared" si="56"/>
        <v>0</v>
      </c>
      <c r="G79" s="2"/>
      <c r="H79" s="7">
        <v>1165.4000000000001</v>
      </c>
      <c r="I79" s="2"/>
      <c r="J79" s="6">
        <f t="shared" si="57"/>
        <v>0</v>
      </c>
      <c r="K79" s="2"/>
      <c r="L79" s="7">
        <f t="shared" si="58"/>
        <v>-993.84000000000015</v>
      </c>
      <c r="M79" s="2"/>
      <c r="N79" s="6">
        <f t="shared" si="59"/>
        <v>-0.85278874206281108</v>
      </c>
      <c r="O79" s="11"/>
      <c r="P79" s="7">
        <v>171.56</v>
      </c>
      <c r="Q79" s="2"/>
      <c r="R79" s="6">
        <f t="shared" si="60"/>
        <v>0</v>
      </c>
      <c r="S79" s="2"/>
      <c r="T79" s="7">
        <v>1165.4000000000001</v>
      </c>
      <c r="U79" s="2"/>
      <c r="V79" s="6">
        <f t="shared" si="61"/>
        <v>0</v>
      </c>
      <c r="W79" s="2"/>
      <c r="X79" s="7">
        <f t="shared" si="62"/>
        <v>-993.84000000000015</v>
      </c>
      <c r="Y79" s="2"/>
      <c r="Z79" s="6">
        <f t="shared" si="63"/>
        <v>-0.85278874206281108</v>
      </c>
    </row>
    <row r="80" spans="1:26" s="28" customFormat="1" outlineLevel="1" collapsed="1" x14ac:dyDescent="0.25">
      <c r="A80" s="27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SUM(OSRRefD22_20x_0)</f>
        <v>221.68</v>
      </c>
      <c r="E80" s="1"/>
      <c r="F80" s="5">
        <f t="shared" si="56"/>
        <v>0</v>
      </c>
      <c r="G80" s="1"/>
      <c r="H80" s="1">
        <f>SUM(OSRRefH22_20x_0)</f>
        <v>147.19</v>
      </c>
      <c r="I80" s="1"/>
      <c r="J80" s="5">
        <f t="shared" si="57"/>
        <v>0</v>
      </c>
      <c r="K80" s="1"/>
      <c r="L80" s="1">
        <f t="shared" si="58"/>
        <v>74.490000000000009</v>
      </c>
      <c r="M80" s="1"/>
      <c r="N80" s="5">
        <f t="shared" si="59"/>
        <v>0.50608057612609558</v>
      </c>
      <c r="O80" s="14"/>
      <c r="P80" s="1">
        <f>SUM(OSRRefP22_20x_0)</f>
        <v>221.68</v>
      </c>
      <c r="Q80" s="1"/>
      <c r="R80" s="5">
        <f t="shared" si="60"/>
        <v>0</v>
      </c>
      <c r="S80" s="1"/>
      <c r="T80" s="1">
        <f>SUM(OSRRefT22_20x_0)</f>
        <v>147.19</v>
      </c>
      <c r="U80" s="1"/>
      <c r="V80" s="5">
        <f t="shared" si="61"/>
        <v>0</v>
      </c>
      <c r="W80" s="1"/>
      <c r="X80" s="1">
        <f t="shared" si="62"/>
        <v>74.490000000000009</v>
      </c>
      <c r="Y80" s="1"/>
      <c r="Z80" s="5">
        <f t="shared" si="63"/>
        <v>0.50608057612609558</v>
      </c>
    </row>
    <row r="81" spans="1:26" s="24" customFormat="1" hidden="1" outlineLevel="2" x14ac:dyDescent="0.25">
      <c r="A81" s="29"/>
      <c r="B81" s="11" t="str">
        <f>CONCATENATE("          ", "6292", " - ", "TRAVEL/CONFERENCE")</f>
        <v xml:space="preserve">          6292 - TRAVEL/CONFERENCE</v>
      </c>
      <c r="C81" s="11"/>
      <c r="D81" s="7">
        <v>150.47999999999999</v>
      </c>
      <c r="E81" s="2"/>
      <c r="F81" s="6">
        <f t="shared" si="56"/>
        <v>0</v>
      </c>
      <c r="G81" s="2"/>
      <c r="H81" s="7">
        <v>123.84</v>
      </c>
      <c r="I81" s="2"/>
      <c r="J81" s="6">
        <f t="shared" si="57"/>
        <v>0</v>
      </c>
      <c r="K81" s="2"/>
      <c r="L81" s="7">
        <f t="shared" si="58"/>
        <v>26.639999999999986</v>
      </c>
      <c r="M81" s="2"/>
      <c r="N81" s="6">
        <f t="shared" si="59"/>
        <v>0.21511627906976732</v>
      </c>
      <c r="O81" s="11"/>
      <c r="P81" s="7">
        <v>150.47999999999999</v>
      </c>
      <c r="Q81" s="2"/>
      <c r="R81" s="6">
        <f t="shared" si="60"/>
        <v>0</v>
      </c>
      <c r="S81" s="2"/>
      <c r="T81" s="7">
        <v>123.84</v>
      </c>
      <c r="U81" s="2"/>
      <c r="V81" s="6">
        <f t="shared" si="61"/>
        <v>0</v>
      </c>
      <c r="W81" s="2"/>
      <c r="X81" s="7">
        <f t="shared" si="62"/>
        <v>26.639999999999986</v>
      </c>
      <c r="Y81" s="2"/>
      <c r="Z81" s="6">
        <f t="shared" si="63"/>
        <v>0.21511627906976732</v>
      </c>
    </row>
    <row r="82" spans="1:26" s="24" customFormat="1" hidden="1" outlineLevel="2" x14ac:dyDescent="0.25">
      <c r="A82" s="29"/>
      <c r="B82" s="11" t="str">
        <f>CONCATENATE("          ", "6298", " - ", "VEHICLE MILEAGE")</f>
        <v xml:space="preserve">          6298 - VEHICLE MILEAGE</v>
      </c>
      <c r="C82" s="11"/>
      <c r="D82" s="7">
        <v>71.2</v>
      </c>
      <c r="E82" s="2"/>
      <c r="F82" s="6">
        <f t="shared" si="56"/>
        <v>0</v>
      </c>
      <c r="G82" s="2"/>
      <c r="H82" s="7">
        <v>23.35</v>
      </c>
      <c r="I82" s="2"/>
      <c r="J82" s="6">
        <f t="shared" si="57"/>
        <v>0</v>
      </c>
      <c r="K82" s="2"/>
      <c r="L82" s="7">
        <f t="shared" si="58"/>
        <v>47.85</v>
      </c>
      <c r="M82" s="2"/>
      <c r="N82" s="6">
        <f t="shared" si="59"/>
        <v>2.0492505353319057</v>
      </c>
      <c r="O82" s="11"/>
      <c r="P82" s="7">
        <v>71.2</v>
      </c>
      <c r="Q82" s="2"/>
      <c r="R82" s="6">
        <f t="shared" si="60"/>
        <v>0</v>
      </c>
      <c r="S82" s="2"/>
      <c r="T82" s="7">
        <v>23.35</v>
      </c>
      <c r="U82" s="2"/>
      <c r="V82" s="6">
        <f t="shared" si="61"/>
        <v>0</v>
      </c>
      <c r="W82" s="2"/>
      <c r="X82" s="7">
        <f t="shared" si="62"/>
        <v>47.85</v>
      </c>
      <c r="Y82" s="2"/>
      <c r="Z82" s="6">
        <f t="shared" si="63"/>
        <v>2.0492505353319057</v>
      </c>
    </row>
    <row r="83" spans="1:26" s="28" customFormat="1" outlineLevel="1" collapsed="1" x14ac:dyDescent="0.25">
      <c r="A83" s="27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SUM(OSRRefD22_21x_0)</f>
        <v>5593</v>
      </c>
      <c r="E83" s="1"/>
      <c r="F83" s="5">
        <f t="shared" ref="F83:F84" si="64">IF(D$12=0,0,D83/D$12)</f>
        <v>0</v>
      </c>
      <c r="G83" s="1"/>
      <c r="H83" s="1">
        <f>SUM(OSRRefH22_21x_0)</f>
        <v>5950</v>
      </c>
      <c r="I83" s="1"/>
      <c r="J83" s="5">
        <f t="shared" ref="J83:J84" si="65">IF(H$12=0,0,H83/H$12)</f>
        <v>0</v>
      </c>
      <c r="K83" s="1"/>
      <c r="L83" s="1">
        <f t="shared" ref="L83:L84" si="66">+D83-H83</f>
        <v>-357</v>
      </c>
      <c r="M83" s="1"/>
      <c r="N83" s="5">
        <f t="shared" ref="N83:N84" si="67">IF(H83=0,0,L83/H83)</f>
        <v>-0.06</v>
      </c>
      <c r="O83" s="14"/>
      <c r="P83" s="1">
        <f>SUM(OSRRefP22_21x_0)</f>
        <v>5593</v>
      </c>
      <c r="Q83" s="1"/>
      <c r="R83" s="5">
        <f t="shared" ref="R83:R84" si="68">IF(P$12=0,0,P83/P$12)</f>
        <v>0</v>
      </c>
      <c r="S83" s="1"/>
      <c r="T83" s="1">
        <f>SUM(OSRRefT22_21x_0)</f>
        <v>5950</v>
      </c>
      <c r="U83" s="1"/>
      <c r="V83" s="5">
        <f t="shared" ref="V83:V84" si="69">IF(T$12=0,0,T83/T$12)</f>
        <v>0</v>
      </c>
      <c r="W83" s="1"/>
      <c r="X83" s="1">
        <f t="shared" ref="X83:X84" si="70">+P83-T83</f>
        <v>-357</v>
      </c>
      <c r="Y83" s="1"/>
      <c r="Z83" s="5">
        <f t="shared" ref="Z83:Z84" si="71">IF(T83=0,0,X83/T83)</f>
        <v>-0.06</v>
      </c>
    </row>
    <row r="84" spans="1:26" s="24" customFormat="1" hidden="1" outlineLevel="2" x14ac:dyDescent="0.25">
      <c r="A84" s="29"/>
      <c r="B84" s="11" t="str">
        <f>CONCATENATE("          ", "6274", " - ", "UTILITIES")</f>
        <v xml:space="preserve">          6274 - UTILITIES</v>
      </c>
      <c r="C84" s="11"/>
      <c r="D84" s="7">
        <v>5593</v>
      </c>
      <c r="E84" s="2"/>
      <c r="F84" s="6">
        <f t="shared" si="64"/>
        <v>0</v>
      </c>
      <c r="G84" s="2"/>
      <c r="H84" s="7">
        <v>5950</v>
      </c>
      <c r="I84" s="2"/>
      <c r="J84" s="6">
        <f t="shared" si="65"/>
        <v>0</v>
      </c>
      <c r="K84" s="2"/>
      <c r="L84" s="7">
        <f t="shared" si="66"/>
        <v>-357</v>
      </c>
      <c r="M84" s="2"/>
      <c r="N84" s="6">
        <f t="shared" si="67"/>
        <v>-0.06</v>
      </c>
      <c r="O84" s="11"/>
      <c r="P84" s="7">
        <v>5593</v>
      </c>
      <c r="Q84" s="2"/>
      <c r="R84" s="6">
        <f t="shared" si="68"/>
        <v>0</v>
      </c>
      <c r="S84" s="2"/>
      <c r="T84" s="7">
        <v>5950</v>
      </c>
      <c r="U84" s="2"/>
      <c r="V84" s="6">
        <f t="shared" si="69"/>
        <v>0</v>
      </c>
      <c r="W84" s="2"/>
      <c r="X84" s="7">
        <f t="shared" si="70"/>
        <v>-357</v>
      </c>
      <c r="Y84" s="2"/>
      <c r="Z84" s="6">
        <f t="shared" si="71"/>
        <v>-0.06</v>
      </c>
    </row>
    <row r="85" spans="1:26" s="54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25">
      <c r="A86" s="10"/>
      <c r="B86" s="26" t="s">
        <v>0</v>
      </c>
      <c r="C86" s="10"/>
      <c r="D86" s="4">
        <f>SUM(OSRRefD25x_0)</f>
        <v>47466.83</v>
      </c>
      <c r="E86" s="4"/>
      <c r="F86" s="12">
        <f t="shared" ref="F86:F88" si="72">IF(D$12=0,0,D86/D$12)</f>
        <v>0</v>
      </c>
      <c r="G86" s="4"/>
      <c r="H86" s="4">
        <f>SUM(OSRRefH25x_0)</f>
        <v>52612.340000000004</v>
      </c>
      <c r="I86" s="4"/>
      <c r="J86" s="12">
        <f t="shared" ref="J86:J88" si="73">IF(H$12=0,0,H86/H$12)</f>
        <v>0</v>
      </c>
      <c r="K86" s="4"/>
      <c r="L86" s="4">
        <f t="shared" ref="L86:L88" si="74">+D86-H86</f>
        <v>-5145.510000000002</v>
      </c>
      <c r="M86" s="4"/>
      <c r="N86" s="12">
        <f t="shared" ref="N86:N88" si="75">IF(H86=0,0,L86/H86)</f>
        <v>-9.7800439972827696E-2</v>
      </c>
      <c r="O86" s="10"/>
      <c r="P86" s="4">
        <f>SUM(OSRRefP25x_0)</f>
        <v>47466.83</v>
      </c>
      <c r="Q86" s="4"/>
      <c r="R86" s="12">
        <f t="shared" ref="R86:R88" si="76">IF(P$12=0,0,P86/P$12)</f>
        <v>0</v>
      </c>
      <c r="S86" s="4"/>
      <c r="T86" s="4">
        <f>SUM(OSRRefT25x_0)</f>
        <v>52612.340000000004</v>
      </c>
      <c r="U86" s="4"/>
      <c r="V86" s="12">
        <f t="shared" ref="V86:V88" si="77">IF(T$12=0,0,T86/T$12)</f>
        <v>0</v>
      </c>
      <c r="W86" s="4"/>
      <c r="X86" s="4">
        <f t="shared" ref="X86:X88" si="78">+P86-T86</f>
        <v>-5145.510000000002</v>
      </c>
      <c r="Y86" s="4"/>
      <c r="Z86" s="12">
        <f t="shared" ref="Z86:Z88" si="79">IF(T86=0,0,X86/T86)</f>
        <v>-9.7800439972827696E-2</v>
      </c>
    </row>
    <row r="87" spans="1:26" s="24" customFormat="1" hidden="1" outlineLevel="1" x14ac:dyDescent="0.25">
      <c r="A87" s="50"/>
      <c r="B87" s="11" t="str">
        <f>CONCATENATE("          ", "9150", " - ", "MISC. INCOME")</f>
        <v xml:space="preserve">          9150 - MISC. INCOME</v>
      </c>
      <c r="C87" s="11"/>
      <c r="D87" s="2">
        <f>--47561.32</f>
        <v>47561.32</v>
      </c>
      <c r="E87" s="2"/>
      <c r="F87" s="22">
        <f t="shared" si="72"/>
        <v>0</v>
      </c>
      <c r="G87" s="2"/>
      <c r="H87" s="2">
        <f>--52352.98</f>
        <v>52352.98</v>
      </c>
      <c r="I87" s="2"/>
      <c r="J87" s="22">
        <f t="shared" si="73"/>
        <v>0</v>
      </c>
      <c r="K87" s="2"/>
      <c r="L87" s="2">
        <f t="shared" si="74"/>
        <v>-4791.6600000000035</v>
      </c>
      <c r="M87" s="2"/>
      <c r="N87" s="22">
        <f t="shared" si="75"/>
        <v>-9.1526022014410707E-2</v>
      </c>
      <c r="O87" s="11"/>
      <c r="P87" s="2">
        <f>--47561.32</f>
        <v>47561.32</v>
      </c>
      <c r="Q87" s="2"/>
      <c r="R87" s="22">
        <f t="shared" si="76"/>
        <v>0</v>
      </c>
      <c r="S87" s="2"/>
      <c r="T87" s="2">
        <f>--52352.98</f>
        <v>52352.98</v>
      </c>
      <c r="U87" s="2"/>
      <c r="V87" s="22">
        <f t="shared" si="77"/>
        <v>0</v>
      </c>
      <c r="W87" s="2"/>
      <c r="X87" s="2">
        <f t="shared" si="78"/>
        <v>-4791.6600000000035</v>
      </c>
      <c r="Y87" s="2"/>
      <c r="Z87" s="22">
        <f t="shared" si="79"/>
        <v>-9.1526022014410707E-2</v>
      </c>
    </row>
    <row r="88" spans="1:26" s="24" customFormat="1" hidden="1" outlineLevel="1" x14ac:dyDescent="0.25">
      <c r="A88" s="50"/>
      <c r="B88" s="11" t="str">
        <f>CONCATENATE("          ", "9151", " - ", "MISC. INCOME")</f>
        <v xml:space="preserve">          9151 - MISC. INCOME</v>
      </c>
      <c r="C88" s="11"/>
      <c r="D88" s="2">
        <f>-94.49</f>
        <v>-94.49</v>
      </c>
      <c r="E88" s="2"/>
      <c r="F88" s="22">
        <f t="shared" si="72"/>
        <v>0</v>
      </c>
      <c r="G88" s="2"/>
      <c r="H88" s="2">
        <f>--259.36</f>
        <v>259.36</v>
      </c>
      <c r="I88" s="2"/>
      <c r="J88" s="22">
        <f t="shared" si="73"/>
        <v>0</v>
      </c>
      <c r="K88" s="2"/>
      <c r="L88" s="2">
        <f t="shared" si="74"/>
        <v>-353.85</v>
      </c>
      <c r="M88" s="2"/>
      <c r="N88" s="22">
        <f t="shared" si="75"/>
        <v>-1.3643198642813079</v>
      </c>
      <c r="O88" s="11"/>
      <c r="P88" s="2">
        <f>-94.49</f>
        <v>-94.49</v>
      </c>
      <c r="Q88" s="2"/>
      <c r="R88" s="22">
        <f t="shared" si="76"/>
        <v>0</v>
      </c>
      <c r="S88" s="2"/>
      <c r="T88" s="2">
        <f>--259.36</f>
        <v>259.36</v>
      </c>
      <c r="U88" s="2"/>
      <c r="V88" s="22">
        <f t="shared" si="77"/>
        <v>0</v>
      </c>
      <c r="W88" s="2"/>
      <c r="X88" s="2">
        <f t="shared" si="78"/>
        <v>-353.85</v>
      </c>
      <c r="Y88" s="2"/>
      <c r="Z88" s="22">
        <f t="shared" si="79"/>
        <v>-1.3643198642813079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3</v>
      </c>
      <c r="C90" s="25"/>
      <c r="D90" s="21">
        <f>+D16-D18+D86</f>
        <v>-76976.229999999967</v>
      </c>
      <c r="E90" s="13"/>
      <c r="F90" s="20">
        <f>IF(D$12=0,0,D90/D$12)</f>
        <v>0</v>
      </c>
      <c r="G90" s="13"/>
      <c r="H90" s="21">
        <f>+H16-H18+H86</f>
        <v>-119690.59</v>
      </c>
      <c r="I90" s="13"/>
      <c r="J90" s="20">
        <f>IF(H$12=0,0,H90/H$12)</f>
        <v>0</v>
      </c>
      <c r="K90" s="16"/>
      <c r="L90" s="21">
        <f>+D90-H90</f>
        <v>42714.36000000003</v>
      </c>
      <c r="M90" s="16"/>
      <c r="N90" s="20">
        <f>IF(H90=0,0,L90/H90)</f>
        <v>-0.35687316772354477</v>
      </c>
      <c r="O90" s="26"/>
      <c r="P90" s="21">
        <f>+P16-P18+P86</f>
        <v>-76976.229999999967</v>
      </c>
      <c r="Q90" s="13"/>
      <c r="R90" s="20">
        <f>IF(P$12=0,0,P90/P$12)</f>
        <v>0</v>
      </c>
      <c r="S90" s="13"/>
      <c r="T90" s="21">
        <f>+T16-T18+T86</f>
        <v>-119690.59</v>
      </c>
      <c r="U90" s="13"/>
      <c r="V90" s="20">
        <f>IF(T$12=0,0,T90/T$12)</f>
        <v>0</v>
      </c>
      <c r="W90" s="16"/>
      <c r="X90" s="21">
        <f>+P90-T90</f>
        <v>42714.36000000003</v>
      </c>
      <c r="Y90" s="16"/>
      <c r="Z90" s="20">
        <f>IF(T90=0,0,X90/T90)</f>
        <v>-0.35687316772354477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4</v>
      </c>
      <c r="C94" s="25"/>
      <c r="D94" s="33">
        <f>+D90-D92</f>
        <v>-76976.229999999967</v>
      </c>
      <c r="E94" s="13"/>
      <c r="F94" s="34">
        <f>IF(D$12=0,0,D94/D$12)</f>
        <v>0</v>
      </c>
      <c r="G94" s="13"/>
      <c r="H94" s="33">
        <f>+H90-H92</f>
        <v>-119690.59</v>
      </c>
      <c r="I94" s="13"/>
      <c r="J94" s="34">
        <f>IF(H$12=0,0,H94/H$12)</f>
        <v>0</v>
      </c>
      <c r="K94" s="16"/>
      <c r="L94" s="33">
        <f>D94-H94</f>
        <v>42714.36000000003</v>
      </c>
      <c r="M94" s="16"/>
      <c r="N94" s="34">
        <f>IF(H94=0,0,L94/H94)</f>
        <v>-0.35687316772354477</v>
      </c>
      <c r="O94" s="26"/>
      <c r="P94" s="33">
        <f>+P90-P92</f>
        <v>-76976.229999999967</v>
      </c>
      <c r="Q94" s="13"/>
      <c r="R94" s="34">
        <f>IF(P$12=0,0,P94/P$12)</f>
        <v>0</v>
      </c>
      <c r="S94" s="13"/>
      <c r="T94" s="33">
        <f>+T90-T92</f>
        <v>-119690.59</v>
      </c>
      <c r="U94" s="13"/>
      <c r="V94" s="34">
        <f>IF(T$12=0,0,T94/T$12)</f>
        <v>0</v>
      </c>
      <c r="W94" s="16"/>
      <c r="X94" s="33">
        <f>P94-T94</f>
        <v>42714.36000000003</v>
      </c>
      <c r="Y94" s="16"/>
      <c r="Z94" s="34">
        <f>IF(T94=0,0,X94/T94)</f>
        <v>-0.35687316772354477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5</v>
      </c>
      <c r="C97" s="25"/>
      <c r="D97" s="31">
        <f>SUM(D94:D96)</f>
        <v>-76976.229999999967</v>
      </c>
      <c r="E97" s="13"/>
      <c r="F97" s="30">
        <f>IF(D$12=0,0,D97/D$12)</f>
        <v>0</v>
      </c>
      <c r="G97" s="13"/>
      <c r="H97" s="31">
        <f>SUM(H94:H96)</f>
        <v>-119690.59</v>
      </c>
      <c r="I97" s="13"/>
      <c r="J97" s="30">
        <f>IF(H$12=0,0,H97/H$12)</f>
        <v>0</v>
      </c>
      <c r="K97" s="16"/>
      <c r="L97" s="31">
        <f>+D97-H97</f>
        <v>42714.36000000003</v>
      </c>
      <c r="M97" s="16"/>
      <c r="N97" s="30">
        <f>IF(H97=0,0,L97/H97)</f>
        <v>-0.35687316772354477</v>
      </c>
      <c r="O97" s="26"/>
      <c r="P97" s="31">
        <f>SUM(P94:P96)</f>
        <v>-76976.229999999967</v>
      </c>
      <c r="Q97" s="13"/>
      <c r="R97" s="30">
        <f>IF(P$12=0,0,P97/P$12)</f>
        <v>0</v>
      </c>
      <c r="S97" s="13"/>
      <c r="T97" s="31">
        <f>SUM(T94:T96)</f>
        <v>-119690.59</v>
      </c>
      <c r="U97" s="13"/>
      <c r="V97" s="30">
        <f>IF(T$12=0,0,T97/T$12)</f>
        <v>0</v>
      </c>
      <c r="W97" s="16"/>
      <c r="X97" s="31">
        <f>+P97-T97</f>
        <v>42714.36000000003</v>
      </c>
      <c r="Y97" s="16"/>
      <c r="Z97" s="30">
        <f>IF(T97=0,0,X97/T97)</f>
        <v>-0.35687316772354477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56">
        <v>43726.681745335649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3" t="s">
        <v>313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9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2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45953.89</v>
      </c>
      <c r="E18" s="19"/>
      <c r="F18" s="35">
        <f t="shared" ref="F18:F28" si="0">IF(D$12=0,0,D18/D$12)</f>
        <v>0</v>
      </c>
      <c r="G18" s="19"/>
      <c r="H18" s="19">
        <f>SUM(OSRRefH22x_0)</f>
        <v>51356.020000000004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-5402.1300000000047</v>
      </c>
      <c r="M18" s="4"/>
      <c r="N18" s="35">
        <f t="shared" ref="N18:N28" si="3">IF(H18=0,0,L18/H18)</f>
        <v>-0.10518981026956536</v>
      </c>
      <c r="O18" s="10"/>
      <c r="P18" s="19">
        <f>SUM(OSRRefP22x_0)</f>
        <v>45953.89</v>
      </c>
      <c r="Q18" s="19"/>
      <c r="R18" s="35">
        <f t="shared" ref="R18:R28" si="4">IF(P$12=0,0,P18/P$12)</f>
        <v>0</v>
      </c>
      <c r="S18" s="19"/>
      <c r="T18" s="19">
        <f>SUM(OSRRefT22x_0)</f>
        <v>51356.020000000004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-5402.1300000000047</v>
      </c>
      <c r="Y18" s="4"/>
      <c r="Z18" s="35">
        <f t="shared" ref="Z18:Z28" si="7">IF(T18=0,0,X18/T18)</f>
        <v>-0.10518981026956536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7662.29</v>
      </c>
      <c r="E19" s="1"/>
      <c r="F19" s="5">
        <f t="shared" si="0"/>
        <v>0</v>
      </c>
      <c r="G19" s="1"/>
      <c r="H19" s="1">
        <f>SUM(OSRRefH22_0x_0)</f>
        <v>7625.0999999999995</v>
      </c>
      <c r="I19" s="1"/>
      <c r="J19" s="5">
        <f t="shared" si="1"/>
        <v>0</v>
      </c>
      <c r="K19" s="1"/>
      <c r="L19" s="1">
        <f t="shared" si="2"/>
        <v>37.190000000000509</v>
      </c>
      <c r="M19" s="1"/>
      <c r="N19" s="5">
        <f t="shared" si="3"/>
        <v>4.8773130844186321E-3</v>
      </c>
      <c r="O19" s="14"/>
      <c r="P19" s="1">
        <f>SUM(OSRRefP22_0x_0)</f>
        <v>7662.29</v>
      </c>
      <c r="Q19" s="1"/>
      <c r="R19" s="5">
        <f t="shared" si="4"/>
        <v>0</v>
      </c>
      <c r="S19" s="1"/>
      <c r="T19" s="1">
        <f>SUM(OSRRefT22_0x_0)</f>
        <v>7625.0999999999995</v>
      </c>
      <c r="U19" s="1"/>
      <c r="V19" s="5">
        <f t="shared" si="5"/>
        <v>0</v>
      </c>
      <c r="W19" s="1"/>
      <c r="X19" s="1">
        <f t="shared" si="6"/>
        <v>37.190000000000509</v>
      </c>
      <c r="Y19" s="1"/>
      <c r="Z19" s="5">
        <f t="shared" si="7"/>
        <v>4.8773130844186321E-3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2351.12</v>
      </c>
      <c r="E20" s="2"/>
      <c r="F20" s="6">
        <f t="shared" si="0"/>
        <v>0</v>
      </c>
      <c r="G20" s="2"/>
      <c r="H20" s="7">
        <v>2439.4</v>
      </c>
      <c r="I20" s="2"/>
      <c r="J20" s="6">
        <f t="shared" si="1"/>
        <v>0</v>
      </c>
      <c r="K20" s="2"/>
      <c r="L20" s="7">
        <f t="shared" si="2"/>
        <v>-88.2800000000002</v>
      </c>
      <c r="M20" s="2"/>
      <c r="N20" s="6">
        <f t="shared" si="3"/>
        <v>-3.6189226859063783E-2</v>
      </c>
      <c r="O20" s="11"/>
      <c r="P20" s="7">
        <v>2351.12</v>
      </c>
      <c r="Q20" s="2"/>
      <c r="R20" s="6">
        <f t="shared" si="4"/>
        <v>0</v>
      </c>
      <c r="S20" s="2"/>
      <c r="T20" s="7">
        <v>2439.4</v>
      </c>
      <c r="U20" s="2"/>
      <c r="V20" s="6">
        <f t="shared" si="5"/>
        <v>0</v>
      </c>
      <c r="W20" s="2"/>
      <c r="X20" s="7">
        <f t="shared" si="6"/>
        <v>-88.2800000000002</v>
      </c>
      <c r="Y20" s="2"/>
      <c r="Z20" s="6">
        <f t="shared" si="7"/>
        <v>-3.6189226859063783E-2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602.78</v>
      </c>
      <c r="E21" s="2"/>
      <c r="F21" s="6">
        <f t="shared" si="0"/>
        <v>0</v>
      </c>
      <c r="G21" s="2"/>
      <c r="H21" s="7">
        <v>461.03</v>
      </c>
      <c r="I21" s="2"/>
      <c r="J21" s="6">
        <f t="shared" si="1"/>
        <v>0</v>
      </c>
      <c r="K21" s="2"/>
      <c r="L21" s="7">
        <f t="shared" si="2"/>
        <v>141.75</v>
      </c>
      <c r="M21" s="2"/>
      <c r="N21" s="6">
        <f t="shared" si="3"/>
        <v>0.30746372253432536</v>
      </c>
      <c r="O21" s="11"/>
      <c r="P21" s="7">
        <v>602.78</v>
      </c>
      <c r="Q21" s="2"/>
      <c r="R21" s="6">
        <f t="shared" si="4"/>
        <v>0</v>
      </c>
      <c r="S21" s="2"/>
      <c r="T21" s="7">
        <v>461.03</v>
      </c>
      <c r="U21" s="2"/>
      <c r="V21" s="6">
        <f t="shared" si="5"/>
        <v>0</v>
      </c>
      <c r="W21" s="2"/>
      <c r="X21" s="7">
        <f t="shared" si="6"/>
        <v>141.75</v>
      </c>
      <c r="Y21" s="2"/>
      <c r="Z21" s="6">
        <f t="shared" si="7"/>
        <v>0.30746372253432536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1949.27</v>
      </c>
      <c r="E22" s="2"/>
      <c r="F22" s="6">
        <f t="shared" si="0"/>
        <v>0</v>
      </c>
      <c r="G22" s="2"/>
      <c r="H22" s="7">
        <v>790.97</v>
      </c>
      <c r="I22" s="2"/>
      <c r="J22" s="6">
        <f t="shared" si="1"/>
        <v>0</v>
      </c>
      <c r="K22" s="2"/>
      <c r="L22" s="7">
        <f t="shared" si="2"/>
        <v>1158.3</v>
      </c>
      <c r="M22" s="2"/>
      <c r="N22" s="6">
        <f t="shared" si="3"/>
        <v>1.4644044654032389</v>
      </c>
      <c r="O22" s="11"/>
      <c r="P22" s="7">
        <v>1949.27</v>
      </c>
      <c r="Q22" s="2"/>
      <c r="R22" s="6">
        <f t="shared" si="4"/>
        <v>0</v>
      </c>
      <c r="S22" s="2"/>
      <c r="T22" s="7">
        <v>790.97</v>
      </c>
      <c r="U22" s="2"/>
      <c r="V22" s="6">
        <f t="shared" si="5"/>
        <v>0</v>
      </c>
      <c r="W22" s="2"/>
      <c r="X22" s="7">
        <f t="shared" si="6"/>
        <v>1158.3</v>
      </c>
      <c r="Y22" s="2"/>
      <c r="Z22" s="6">
        <f t="shared" si="7"/>
        <v>1.4644044654032389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82.49</v>
      </c>
      <c r="E23" s="2"/>
      <c r="F23" s="6">
        <f t="shared" si="0"/>
        <v>0</v>
      </c>
      <c r="G23" s="2"/>
      <c r="H23" s="7">
        <v>112.89</v>
      </c>
      <c r="I23" s="2"/>
      <c r="J23" s="6">
        <f t="shared" si="1"/>
        <v>0</v>
      </c>
      <c r="K23" s="2"/>
      <c r="L23" s="7">
        <f t="shared" si="2"/>
        <v>-30.400000000000006</v>
      </c>
      <c r="M23" s="2"/>
      <c r="N23" s="6">
        <f t="shared" si="3"/>
        <v>-0.26928868810346362</v>
      </c>
      <c r="O23" s="11"/>
      <c r="P23" s="7">
        <v>82.49</v>
      </c>
      <c r="Q23" s="2"/>
      <c r="R23" s="6">
        <f t="shared" si="4"/>
        <v>0</v>
      </c>
      <c r="S23" s="2"/>
      <c r="T23" s="7">
        <v>112.89</v>
      </c>
      <c r="U23" s="2"/>
      <c r="V23" s="6">
        <f t="shared" si="5"/>
        <v>0</v>
      </c>
      <c r="W23" s="2"/>
      <c r="X23" s="7">
        <f t="shared" si="6"/>
        <v>-30.400000000000006</v>
      </c>
      <c r="Y23" s="2"/>
      <c r="Z23" s="6">
        <f t="shared" si="7"/>
        <v>-0.26928868810346362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691.3</v>
      </c>
      <c r="E24" s="2"/>
      <c r="F24" s="6">
        <f t="shared" si="0"/>
        <v>0</v>
      </c>
      <c r="G24" s="2"/>
      <c r="H24" s="7">
        <v>916.19</v>
      </c>
      <c r="I24" s="2"/>
      <c r="J24" s="6">
        <f t="shared" si="1"/>
        <v>0</v>
      </c>
      <c r="K24" s="2"/>
      <c r="L24" s="7">
        <f t="shared" si="2"/>
        <v>-224.8900000000001</v>
      </c>
      <c r="M24" s="2"/>
      <c r="N24" s="6">
        <f t="shared" si="3"/>
        <v>-0.24546218579115694</v>
      </c>
      <c r="O24" s="11"/>
      <c r="P24" s="7">
        <v>691.3</v>
      </c>
      <c r="Q24" s="2"/>
      <c r="R24" s="6">
        <f t="shared" si="4"/>
        <v>0</v>
      </c>
      <c r="S24" s="2"/>
      <c r="T24" s="7">
        <v>916.19</v>
      </c>
      <c r="U24" s="2"/>
      <c r="V24" s="6">
        <f t="shared" si="5"/>
        <v>0</v>
      </c>
      <c r="W24" s="2"/>
      <c r="X24" s="7">
        <f t="shared" si="6"/>
        <v>-224.8900000000001</v>
      </c>
      <c r="Y24" s="2"/>
      <c r="Z24" s="6">
        <f t="shared" si="7"/>
        <v>-0.24546218579115694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52.7</v>
      </c>
      <c r="I25" s="2"/>
      <c r="J25" s="6">
        <f t="shared" si="1"/>
        <v>0</v>
      </c>
      <c r="K25" s="2"/>
      <c r="L25" s="7">
        <f t="shared" si="2"/>
        <v>-52.7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52.7</v>
      </c>
      <c r="U25" s="2"/>
      <c r="V25" s="6">
        <f t="shared" si="5"/>
        <v>0</v>
      </c>
      <c r="W25" s="2"/>
      <c r="X25" s="7">
        <f t="shared" si="6"/>
        <v>-52.7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483.05</v>
      </c>
      <c r="E26" s="2"/>
      <c r="F26" s="6">
        <f t="shared" si="0"/>
        <v>0</v>
      </c>
      <c r="G26" s="2"/>
      <c r="H26" s="7">
        <v>1119.23</v>
      </c>
      <c r="I26" s="2"/>
      <c r="J26" s="6">
        <f t="shared" si="1"/>
        <v>0</v>
      </c>
      <c r="K26" s="2"/>
      <c r="L26" s="7">
        <f t="shared" si="2"/>
        <v>-636.18000000000006</v>
      </c>
      <c r="M26" s="2"/>
      <c r="N26" s="6">
        <f t="shared" si="3"/>
        <v>-0.5684086380815383</v>
      </c>
      <c r="O26" s="11"/>
      <c r="P26" s="7">
        <v>483.05</v>
      </c>
      <c r="Q26" s="2"/>
      <c r="R26" s="6">
        <f t="shared" si="4"/>
        <v>0</v>
      </c>
      <c r="S26" s="2"/>
      <c r="T26" s="7">
        <v>1119.23</v>
      </c>
      <c r="U26" s="2"/>
      <c r="V26" s="6">
        <f t="shared" si="5"/>
        <v>0</v>
      </c>
      <c r="W26" s="2"/>
      <c r="X26" s="7">
        <f t="shared" si="6"/>
        <v>-636.18000000000006</v>
      </c>
      <c r="Y26" s="2"/>
      <c r="Z26" s="6">
        <f t="shared" si="7"/>
        <v>-0.5684086380815383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1253.07</v>
      </c>
      <c r="E27" s="2"/>
      <c r="F27" s="6">
        <f t="shared" si="0"/>
        <v>0</v>
      </c>
      <c r="G27" s="2"/>
      <c r="H27" s="7">
        <v>1525.86</v>
      </c>
      <c r="I27" s="2"/>
      <c r="J27" s="6">
        <f t="shared" si="1"/>
        <v>0</v>
      </c>
      <c r="K27" s="2"/>
      <c r="L27" s="7">
        <f t="shared" si="2"/>
        <v>-272.78999999999996</v>
      </c>
      <c r="M27" s="2"/>
      <c r="N27" s="6">
        <f t="shared" si="3"/>
        <v>-0.1787778695293146</v>
      </c>
      <c r="O27" s="11"/>
      <c r="P27" s="7">
        <v>1253.07</v>
      </c>
      <c r="Q27" s="2"/>
      <c r="R27" s="6">
        <f t="shared" si="4"/>
        <v>0</v>
      </c>
      <c r="S27" s="2"/>
      <c r="T27" s="7">
        <v>1525.86</v>
      </c>
      <c r="U27" s="2"/>
      <c r="V27" s="6">
        <f t="shared" si="5"/>
        <v>0</v>
      </c>
      <c r="W27" s="2"/>
      <c r="X27" s="7">
        <f t="shared" si="6"/>
        <v>-272.78999999999996</v>
      </c>
      <c r="Y27" s="2"/>
      <c r="Z27" s="6">
        <f t="shared" si="7"/>
        <v>-0.1787778695293146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249.21</v>
      </c>
      <c r="E28" s="2"/>
      <c r="F28" s="6">
        <f t="shared" si="0"/>
        <v>0</v>
      </c>
      <c r="G28" s="2"/>
      <c r="H28" s="7">
        <v>206.83</v>
      </c>
      <c r="I28" s="2"/>
      <c r="J28" s="6">
        <f t="shared" si="1"/>
        <v>0</v>
      </c>
      <c r="K28" s="2"/>
      <c r="L28" s="7">
        <f t="shared" si="2"/>
        <v>42.379999999999995</v>
      </c>
      <c r="M28" s="2"/>
      <c r="N28" s="6">
        <f t="shared" si="3"/>
        <v>0.20490257699560022</v>
      </c>
      <c r="O28" s="11"/>
      <c r="P28" s="7">
        <v>249.21</v>
      </c>
      <c r="Q28" s="2"/>
      <c r="R28" s="6">
        <f t="shared" si="4"/>
        <v>0</v>
      </c>
      <c r="S28" s="2"/>
      <c r="T28" s="7">
        <v>206.83</v>
      </c>
      <c r="U28" s="2"/>
      <c r="V28" s="6">
        <f t="shared" si="5"/>
        <v>0</v>
      </c>
      <c r="W28" s="2"/>
      <c r="X28" s="7">
        <f t="shared" si="6"/>
        <v>42.379999999999995</v>
      </c>
      <c r="Y28" s="2"/>
      <c r="Z28" s="6">
        <f t="shared" si="7"/>
        <v>0.20490257699560022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37995.43</v>
      </c>
      <c r="E29" s="1"/>
      <c r="F29" s="5">
        <f t="shared" ref="F29:F34" si="8">IF(D$12=0,0,D29/D$12)</f>
        <v>0</v>
      </c>
      <c r="G29" s="1"/>
      <c r="H29" s="1">
        <f>SUM(OSRRefH22_1x_0)</f>
        <v>42037.7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-4042.2699999999968</v>
      </c>
      <c r="M29" s="1"/>
      <c r="N29" s="5">
        <f t="shared" ref="N29:N34" si="11">IF(H29=0,0,L29/H29)</f>
        <v>-9.615821036831218E-2</v>
      </c>
      <c r="O29" s="14"/>
      <c r="P29" s="1">
        <f>SUM(OSRRefP22_1x_0)</f>
        <v>37995.43</v>
      </c>
      <c r="Q29" s="1"/>
      <c r="R29" s="5">
        <f t="shared" ref="R29:R34" si="12">IF(P$12=0,0,P29/P$12)</f>
        <v>0</v>
      </c>
      <c r="S29" s="1"/>
      <c r="T29" s="1">
        <f>SUM(OSRRefT22_1x_0)</f>
        <v>42037.7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-4042.2699999999968</v>
      </c>
      <c r="Y29" s="1"/>
      <c r="Z29" s="5">
        <f t="shared" ref="Z29:Z34" si="15">IF(T29=0,0,X29/T29)</f>
        <v>-9.615821036831218E-2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9379.84</v>
      </c>
      <c r="E30" s="2"/>
      <c r="F30" s="6">
        <f t="shared" si="8"/>
        <v>0</v>
      </c>
      <c r="G30" s="2"/>
      <c r="H30" s="7">
        <v>8843.2999999999993</v>
      </c>
      <c r="I30" s="2"/>
      <c r="J30" s="6">
        <f t="shared" si="9"/>
        <v>0</v>
      </c>
      <c r="K30" s="2"/>
      <c r="L30" s="7">
        <f t="shared" si="10"/>
        <v>536.54000000000087</v>
      </c>
      <c r="M30" s="2"/>
      <c r="N30" s="6">
        <f t="shared" si="11"/>
        <v>6.0671921115420815E-2</v>
      </c>
      <c r="O30" s="11"/>
      <c r="P30" s="7">
        <v>9379.84</v>
      </c>
      <c r="Q30" s="2"/>
      <c r="R30" s="6">
        <f t="shared" si="12"/>
        <v>0</v>
      </c>
      <c r="S30" s="2"/>
      <c r="T30" s="7">
        <v>8843.2999999999993</v>
      </c>
      <c r="U30" s="2"/>
      <c r="V30" s="6">
        <f t="shared" si="13"/>
        <v>0</v>
      </c>
      <c r="W30" s="2"/>
      <c r="X30" s="7">
        <f t="shared" si="14"/>
        <v>536.54000000000087</v>
      </c>
      <c r="Y30" s="2"/>
      <c r="Z30" s="6">
        <f t="shared" si="15"/>
        <v>6.0671921115420815E-2</v>
      </c>
    </row>
    <row r="31" spans="1:26" s="24" customFormat="1" hidden="1" outlineLevel="2" x14ac:dyDescent="0.25">
      <c r="A31" s="29"/>
      <c r="B31" s="11" t="str">
        <f>CONCATENATE("          ", "6005", " - ", "TEMPORARY WAGES-HOURLY")</f>
        <v xml:space="preserve">          6005 - TEMPORARY WAGES-HOURLY</v>
      </c>
      <c r="C31" s="11"/>
      <c r="D31" s="7">
        <v>2404.2800000000002</v>
      </c>
      <c r="E31" s="2"/>
      <c r="F31" s="6">
        <f t="shared" si="8"/>
        <v>0</v>
      </c>
      <c r="G31" s="2"/>
      <c r="H31" s="7">
        <v>2405.29</v>
      </c>
      <c r="I31" s="2"/>
      <c r="J31" s="6">
        <f t="shared" si="9"/>
        <v>0</v>
      </c>
      <c r="K31" s="2"/>
      <c r="L31" s="7">
        <f t="shared" si="10"/>
        <v>-1.0099999999997635</v>
      </c>
      <c r="M31" s="2"/>
      <c r="N31" s="6">
        <f t="shared" si="11"/>
        <v>-4.1990778658696604E-4</v>
      </c>
      <c r="O31" s="11"/>
      <c r="P31" s="7">
        <v>2404.2800000000002</v>
      </c>
      <c r="Q31" s="2"/>
      <c r="R31" s="6">
        <f t="shared" si="12"/>
        <v>0</v>
      </c>
      <c r="S31" s="2"/>
      <c r="T31" s="7">
        <v>2405.29</v>
      </c>
      <c r="U31" s="2"/>
      <c r="V31" s="6">
        <f t="shared" si="13"/>
        <v>0</v>
      </c>
      <c r="W31" s="2"/>
      <c r="X31" s="7">
        <f t="shared" si="14"/>
        <v>-1.0099999999997635</v>
      </c>
      <c r="Y31" s="2"/>
      <c r="Z31" s="6">
        <f t="shared" si="15"/>
        <v>-4.1990778658696604E-4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7">
        <v>1785</v>
      </c>
      <c r="E32" s="2"/>
      <c r="F32" s="6">
        <f t="shared" si="8"/>
        <v>0</v>
      </c>
      <c r="G32" s="2"/>
      <c r="H32" s="7">
        <v>3849.06</v>
      </c>
      <c r="I32" s="2"/>
      <c r="J32" s="6">
        <f t="shared" si="9"/>
        <v>0</v>
      </c>
      <c r="K32" s="2"/>
      <c r="L32" s="7">
        <f t="shared" si="10"/>
        <v>-2064.06</v>
      </c>
      <c r="M32" s="2"/>
      <c r="N32" s="6">
        <f t="shared" si="11"/>
        <v>-0.53625040919081546</v>
      </c>
      <c r="O32" s="11"/>
      <c r="P32" s="7">
        <v>1785</v>
      </c>
      <c r="Q32" s="2"/>
      <c r="R32" s="6">
        <f t="shared" si="12"/>
        <v>0</v>
      </c>
      <c r="S32" s="2"/>
      <c r="T32" s="7">
        <v>3849.06</v>
      </c>
      <c r="U32" s="2"/>
      <c r="V32" s="6">
        <f t="shared" si="13"/>
        <v>0</v>
      </c>
      <c r="W32" s="2"/>
      <c r="X32" s="7">
        <f t="shared" si="14"/>
        <v>-2064.06</v>
      </c>
      <c r="Y32" s="2"/>
      <c r="Z32" s="6">
        <f t="shared" si="15"/>
        <v>-0.53625040919081546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24111.31</v>
      </c>
      <c r="E33" s="2"/>
      <c r="F33" s="6">
        <f t="shared" si="8"/>
        <v>0</v>
      </c>
      <c r="G33" s="2"/>
      <c r="H33" s="7">
        <v>25474.3</v>
      </c>
      <c r="I33" s="2"/>
      <c r="J33" s="6">
        <f t="shared" si="9"/>
        <v>0</v>
      </c>
      <c r="K33" s="2"/>
      <c r="L33" s="7">
        <f t="shared" si="10"/>
        <v>-1362.989999999998</v>
      </c>
      <c r="M33" s="2"/>
      <c r="N33" s="6">
        <f t="shared" si="11"/>
        <v>-5.3504512390919398E-2</v>
      </c>
      <c r="O33" s="11"/>
      <c r="P33" s="7">
        <v>24111.31</v>
      </c>
      <c r="Q33" s="2"/>
      <c r="R33" s="6">
        <f t="shared" si="12"/>
        <v>0</v>
      </c>
      <c r="S33" s="2"/>
      <c r="T33" s="7">
        <v>25474.3</v>
      </c>
      <c r="U33" s="2"/>
      <c r="V33" s="6">
        <f t="shared" si="13"/>
        <v>0</v>
      </c>
      <c r="W33" s="2"/>
      <c r="X33" s="7">
        <f t="shared" si="14"/>
        <v>-1362.989999999998</v>
      </c>
      <c r="Y33" s="2"/>
      <c r="Z33" s="6">
        <f t="shared" si="15"/>
        <v>-5.3504512390919398E-2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>
        <v>315</v>
      </c>
      <c r="E34" s="2"/>
      <c r="F34" s="6">
        <f t="shared" si="8"/>
        <v>0</v>
      </c>
      <c r="G34" s="2"/>
      <c r="H34" s="7">
        <v>1465.75</v>
      </c>
      <c r="I34" s="2"/>
      <c r="J34" s="6">
        <f t="shared" si="9"/>
        <v>0</v>
      </c>
      <c r="K34" s="2"/>
      <c r="L34" s="7">
        <f t="shared" si="10"/>
        <v>-1150.75</v>
      </c>
      <c r="M34" s="2"/>
      <c r="N34" s="6">
        <f t="shared" si="11"/>
        <v>-0.7850929558246631</v>
      </c>
      <c r="O34" s="11"/>
      <c r="P34" s="7">
        <v>315</v>
      </c>
      <c r="Q34" s="2"/>
      <c r="R34" s="6">
        <f t="shared" si="12"/>
        <v>0</v>
      </c>
      <c r="S34" s="2"/>
      <c r="T34" s="7">
        <v>1465.75</v>
      </c>
      <c r="U34" s="2"/>
      <c r="V34" s="6">
        <f t="shared" si="13"/>
        <v>0</v>
      </c>
      <c r="W34" s="2"/>
      <c r="X34" s="7">
        <f t="shared" si="14"/>
        <v>-1150.75</v>
      </c>
      <c r="Y34" s="2"/>
      <c r="Z34" s="6">
        <f t="shared" si="15"/>
        <v>-0.7850929558246631</v>
      </c>
    </row>
    <row r="35" spans="1:26" s="28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138</v>
      </c>
      <c r="E35" s="1"/>
      <c r="F35" s="5">
        <f t="shared" ref="F35:F43" si="16">IF(D$12=0,0,D35/D$12)</f>
        <v>0</v>
      </c>
      <c r="G35" s="1"/>
      <c r="H35" s="1">
        <f>SUM(OSRRefH22_2x_0)</f>
        <v>402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-264</v>
      </c>
      <c r="M35" s="1"/>
      <c r="N35" s="5">
        <f t="shared" ref="N35:N43" si="19">IF(H35=0,0,L35/H35)</f>
        <v>-0.65671641791044777</v>
      </c>
      <c r="O35" s="14"/>
      <c r="P35" s="1">
        <f>SUM(OSRRefP22_2x_0)</f>
        <v>138</v>
      </c>
      <c r="Q35" s="1"/>
      <c r="R35" s="5">
        <f t="shared" ref="R35:R43" si="20">IF(P$12=0,0,P35/P$12)</f>
        <v>0</v>
      </c>
      <c r="S35" s="1"/>
      <c r="T35" s="1">
        <f>SUM(OSRRefT22_2x_0)</f>
        <v>402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-264</v>
      </c>
      <c r="Y35" s="1"/>
      <c r="Z35" s="5">
        <f t="shared" ref="Z35:Z43" si="23">IF(T35=0,0,X35/T35)</f>
        <v>-0.65671641791044777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>
        <v>138</v>
      </c>
      <c r="E36" s="2"/>
      <c r="F36" s="6">
        <f t="shared" si="16"/>
        <v>0</v>
      </c>
      <c r="G36" s="2"/>
      <c r="H36" s="7">
        <v>402</v>
      </c>
      <c r="I36" s="2"/>
      <c r="J36" s="6">
        <f t="shared" si="17"/>
        <v>0</v>
      </c>
      <c r="K36" s="2"/>
      <c r="L36" s="7">
        <f t="shared" si="18"/>
        <v>-264</v>
      </c>
      <c r="M36" s="2"/>
      <c r="N36" s="6">
        <f t="shared" si="19"/>
        <v>-0.65671641791044777</v>
      </c>
      <c r="O36" s="11"/>
      <c r="P36" s="7">
        <v>138</v>
      </c>
      <c r="Q36" s="2"/>
      <c r="R36" s="6">
        <f t="shared" si="20"/>
        <v>0</v>
      </c>
      <c r="S36" s="2"/>
      <c r="T36" s="7">
        <v>402</v>
      </c>
      <c r="U36" s="2"/>
      <c r="V36" s="6">
        <f t="shared" si="21"/>
        <v>0</v>
      </c>
      <c r="W36" s="2"/>
      <c r="X36" s="7">
        <f t="shared" si="22"/>
        <v>-264</v>
      </c>
      <c r="Y36" s="2"/>
      <c r="Z36" s="6">
        <f t="shared" si="23"/>
        <v>-0.65671641791044777</v>
      </c>
    </row>
    <row r="37" spans="1:26" s="28" customFormat="1" outlineLevel="1" collapsed="1" x14ac:dyDescent="0.25">
      <c r="A37" s="27"/>
      <c r="B37" s="14" t="str">
        <f>CONCATENATE("     ","Equipment Rental                                  ")</f>
        <v xml:space="preserve">     Equipment Rental                                  </v>
      </c>
      <c r="C37" s="14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166.24</v>
      </c>
      <c r="I37" s="1"/>
      <c r="J37" s="5">
        <f t="shared" si="17"/>
        <v>0</v>
      </c>
      <c r="K37" s="1"/>
      <c r="L37" s="1">
        <f t="shared" si="18"/>
        <v>-166.24</v>
      </c>
      <c r="M37" s="1"/>
      <c r="N37" s="5">
        <f t="shared" si="19"/>
        <v>-1</v>
      </c>
      <c r="O37" s="14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166.24</v>
      </c>
      <c r="U37" s="1"/>
      <c r="V37" s="5">
        <f t="shared" si="21"/>
        <v>0</v>
      </c>
      <c r="W37" s="1"/>
      <c r="X37" s="1">
        <f t="shared" si="22"/>
        <v>-166.24</v>
      </c>
      <c r="Y37" s="1"/>
      <c r="Z37" s="5">
        <f t="shared" si="23"/>
        <v>-1</v>
      </c>
    </row>
    <row r="38" spans="1:26" s="24" customFormat="1" hidden="1" outlineLevel="2" x14ac:dyDescent="0.25">
      <c r="A38" s="29"/>
      <c r="B38" s="11" t="str">
        <f>CONCATENATE("          ", "6351", " - ", "EQUIPMENT RENTAL")</f>
        <v xml:space="preserve">          6351 - EQUIPMENT RENTAL</v>
      </c>
      <c r="C38" s="11"/>
      <c r="D38" s="7"/>
      <c r="E38" s="2"/>
      <c r="F38" s="6">
        <f t="shared" si="16"/>
        <v>0</v>
      </c>
      <c r="G38" s="2"/>
      <c r="H38" s="7">
        <v>166.24</v>
      </c>
      <c r="I38" s="2"/>
      <c r="J38" s="6">
        <f t="shared" si="17"/>
        <v>0</v>
      </c>
      <c r="K38" s="2"/>
      <c r="L38" s="7">
        <f t="shared" si="18"/>
        <v>-166.24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166.24</v>
      </c>
      <c r="U38" s="2"/>
      <c r="V38" s="6">
        <f t="shared" si="21"/>
        <v>0</v>
      </c>
      <c r="W38" s="2"/>
      <c r="X38" s="7">
        <f t="shared" si="22"/>
        <v>-166.24</v>
      </c>
      <c r="Y38" s="2"/>
      <c r="Z38" s="6">
        <f t="shared" si="23"/>
        <v>-1</v>
      </c>
    </row>
    <row r="39" spans="1:26" s="28" customFormat="1" outlineLevel="1" collapsed="1" x14ac:dyDescent="0.25">
      <c r="A39" s="27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26.12</v>
      </c>
      <c r="I39" s="1"/>
      <c r="J39" s="5">
        <f t="shared" si="17"/>
        <v>0</v>
      </c>
      <c r="K39" s="1"/>
      <c r="L39" s="1">
        <f t="shared" si="18"/>
        <v>-26.12</v>
      </c>
      <c r="M39" s="1"/>
      <c r="N39" s="5">
        <f t="shared" si="19"/>
        <v>-1</v>
      </c>
      <c r="O39" s="14"/>
      <c r="P39" s="1">
        <f>SUM(OSRRefP22_4x_0)</f>
        <v>0</v>
      </c>
      <c r="Q39" s="1"/>
      <c r="R39" s="5">
        <f t="shared" si="20"/>
        <v>0</v>
      </c>
      <c r="S39" s="1"/>
      <c r="T39" s="1">
        <f>SUM(OSRRefT22_4x_0)</f>
        <v>26.12</v>
      </c>
      <c r="U39" s="1"/>
      <c r="V39" s="5">
        <f t="shared" si="21"/>
        <v>0</v>
      </c>
      <c r="W39" s="1"/>
      <c r="X39" s="1">
        <f t="shared" si="22"/>
        <v>-26.12</v>
      </c>
      <c r="Y39" s="1"/>
      <c r="Z39" s="5">
        <f t="shared" si="23"/>
        <v>-1</v>
      </c>
    </row>
    <row r="40" spans="1:26" s="24" customFormat="1" hidden="1" outlineLevel="2" x14ac:dyDescent="0.25">
      <c r="A40" s="29"/>
      <c r="B40" s="11" t="str">
        <f>CONCATENATE("          ", "6373", " - ", "MAINTENANCE CONTRACTS")</f>
        <v xml:space="preserve">          6373 - MAINTENANCE CONTRACTS</v>
      </c>
      <c r="C40" s="11"/>
      <c r="D40" s="7"/>
      <c r="E40" s="2"/>
      <c r="F40" s="6">
        <f t="shared" si="16"/>
        <v>0</v>
      </c>
      <c r="G40" s="2"/>
      <c r="H40" s="7">
        <v>26.12</v>
      </c>
      <c r="I40" s="2"/>
      <c r="J40" s="6">
        <f t="shared" si="17"/>
        <v>0</v>
      </c>
      <c r="K40" s="2"/>
      <c r="L40" s="7">
        <f t="shared" si="18"/>
        <v>-26.12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26.12</v>
      </c>
      <c r="U40" s="2"/>
      <c r="V40" s="6">
        <f t="shared" si="21"/>
        <v>0</v>
      </c>
      <c r="W40" s="2"/>
      <c r="X40" s="7">
        <f t="shared" si="22"/>
        <v>-26.12</v>
      </c>
      <c r="Y40" s="2"/>
      <c r="Z40" s="6">
        <f t="shared" si="23"/>
        <v>-1</v>
      </c>
    </row>
    <row r="41" spans="1:26" s="28" customFormat="1" outlineLevel="1" collapsed="1" x14ac:dyDescent="0.25">
      <c r="A41" s="27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74.97</v>
      </c>
      <c r="E41" s="1"/>
      <c r="F41" s="5">
        <f t="shared" si="16"/>
        <v>0</v>
      </c>
      <c r="G41" s="1"/>
      <c r="H41" s="1">
        <f>SUM(OSRRefH22_5x_0)</f>
        <v>649.1099999999999</v>
      </c>
      <c r="I41" s="1"/>
      <c r="J41" s="5">
        <f t="shared" si="17"/>
        <v>0</v>
      </c>
      <c r="K41" s="1"/>
      <c r="L41" s="1">
        <f t="shared" si="18"/>
        <v>-574.13999999999987</v>
      </c>
      <c r="M41" s="1"/>
      <c r="N41" s="5">
        <f t="shared" si="19"/>
        <v>-0.88450339695891289</v>
      </c>
      <c r="O41" s="14"/>
      <c r="P41" s="1">
        <f>SUM(OSRRefP22_5x_0)</f>
        <v>74.97</v>
      </c>
      <c r="Q41" s="1"/>
      <c r="R41" s="5">
        <f t="shared" si="20"/>
        <v>0</v>
      </c>
      <c r="S41" s="1"/>
      <c r="T41" s="1">
        <f>SUM(OSRRefT22_5x_0)</f>
        <v>649.1099999999999</v>
      </c>
      <c r="U41" s="1"/>
      <c r="V41" s="5">
        <f t="shared" si="21"/>
        <v>0</v>
      </c>
      <c r="W41" s="1"/>
      <c r="X41" s="1">
        <f t="shared" si="22"/>
        <v>-574.13999999999987</v>
      </c>
      <c r="Y41" s="1"/>
      <c r="Z41" s="5">
        <f t="shared" si="23"/>
        <v>-0.88450339695891289</v>
      </c>
    </row>
    <row r="42" spans="1:26" s="24" customFormat="1" hidden="1" outlineLevel="2" x14ac:dyDescent="0.25">
      <c r="A42" s="29"/>
      <c r="B42" s="11" t="str">
        <f>CONCATENATE("          ", "6241", " - ", "OFFICE EXPENSE")</f>
        <v xml:space="preserve">          6241 - OFFICE EXPENSE</v>
      </c>
      <c r="C42" s="11"/>
      <c r="D42" s="7">
        <v>74.97</v>
      </c>
      <c r="E42" s="2"/>
      <c r="F42" s="6">
        <f t="shared" si="16"/>
        <v>0</v>
      </c>
      <c r="G42" s="2"/>
      <c r="H42" s="7">
        <v>130.55000000000001</v>
      </c>
      <c r="I42" s="2"/>
      <c r="J42" s="6">
        <f t="shared" si="17"/>
        <v>0</v>
      </c>
      <c r="K42" s="2"/>
      <c r="L42" s="7">
        <f t="shared" si="18"/>
        <v>-55.580000000000013</v>
      </c>
      <c r="M42" s="2"/>
      <c r="N42" s="6">
        <f t="shared" si="19"/>
        <v>-0.42573726541554968</v>
      </c>
      <c r="O42" s="11"/>
      <c r="P42" s="7">
        <v>74.97</v>
      </c>
      <c r="Q42" s="2"/>
      <c r="R42" s="6">
        <f t="shared" si="20"/>
        <v>0</v>
      </c>
      <c r="S42" s="2"/>
      <c r="T42" s="7">
        <v>130.55000000000001</v>
      </c>
      <c r="U42" s="2"/>
      <c r="V42" s="6">
        <f t="shared" si="21"/>
        <v>0</v>
      </c>
      <c r="W42" s="2"/>
      <c r="X42" s="7">
        <f t="shared" si="22"/>
        <v>-55.580000000000013</v>
      </c>
      <c r="Y42" s="2"/>
      <c r="Z42" s="6">
        <f t="shared" si="23"/>
        <v>-0.42573726541554968</v>
      </c>
    </row>
    <row r="43" spans="1:26" s="24" customFormat="1" hidden="1" outlineLevel="2" x14ac:dyDescent="0.25">
      <c r="A43" s="29"/>
      <c r="B43" s="11" t="str">
        <f>CONCATENATE("          ", "6247", " - ", "STORE SUPPLIES")</f>
        <v xml:space="preserve">          6247 - STORE SUPPLIES</v>
      </c>
      <c r="C43" s="11"/>
      <c r="D43" s="7"/>
      <c r="E43" s="2"/>
      <c r="F43" s="6">
        <f t="shared" si="16"/>
        <v>0</v>
      </c>
      <c r="G43" s="2"/>
      <c r="H43" s="7">
        <v>518.55999999999995</v>
      </c>
      <c r="I43" s="2"/>
      <c r="J43" s="6">
        <f t="shared" si="17"/>
        <v>0</v>
      </c>
      <c r="K43" s="2"/>
      <c r="L43" s="7">
        <f t="shared" si="18"/>
        <v>-518.55999999999995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518.55999999999995</v>
      </c>
      <c r="U43" s="2"/>
      <c r="V43" s="6">
        <f t="shared" si="21"/>
        <v>0</v>
      </c>
      <c r="W43" s="2"/>
      <c r="X43" s="7">
        <f t="shared" si="22"/>
        <v>-518.55999999999995</v>
      </c>
      <c r="Y43" s="2"/>
      <c r="Z43" s="6">
        <f t="shared" si="23"/>
        <v>-1</v>
      </c>
    </row>
    <row r="44" spans="1:26" s="28" customFormat="1" outlineLevel="1" collapsed="1" x14ac:dyDescent="0.25">
      <c r="A44" s="27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SUM(OSRRefD22_6x_0)</f>
        <v>83.2</v>
      </c>
      <c r="E44" s="1"/>
      <c r="F44" s="5">
        <f t="shared" ref="F44:F47" si="24">IF(D$12=0,0,D44/D$12)</f>
        <v>0</v>
      </c>
      <c r="G44" s="1"/>
      <c r="H44" s="1">
        <f>SUM(OSRRefH22_6x_0)</f>
        <v>54.75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28.450000000000003</v>
      </c>
      <c r="M44" s="1"/>
      <c r="N44" s="5">
        <f t="shared" ref="N44:N47" si="27">IF(H44=0,0,L44/H44)</f>
        <v>0.51963470319634708</v>
      </c>
      <c r="O44" s="14"/>
      <c r="P44" s="1">
        <f>SUM(OSRRefP22_6x_0)</f>
        <v>83.2</v>
      </c>
      <c r="Q44" s="1"/>
      <c r="R44" s="5">
        <f t="shared" ref="R44:R47" si="28">IF(P$12=0,0,P44/P$12)</f>
        <v>0</v>
      </c>
      <c r="S44" s="1"/>
      <c r="T44" s="1">
        <f>SUM(OSRRefT22_6x_0)</f>
        <v>54.75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28.450000000000003</v>
      </c>
      <c r="Y44" s="1"/>
      <c r="Z44" s="5">
        <f t="shared" ref="Z44:Z47" si="31">IF(T44=0,0,X44/T44)</f>
        <v>0.51963470319634708</v>
      </c>
    </row>
    <row r="45" spans="1:26" s="24" customFormat="1" hidden="1" outlineLevel="2" x14ac:dyDescent="0.25">
      <c r="A45" s="29"/>
      <c r="B45" s="11" t="str">
        <f>CONCATENATE("          ", "6309", " - ", "TELEPHONE")</f>
        <v xml:space="preserve">          6309 - TELEPHONE</v>
      </c>
      <c r="C45" s="11"/>
      <c r="D45" s="7">
        <v>83.2</v>
      </c>
      <c r="E45" s="2"/>
      <c r="F45" s="6">
        <f t="shared" si="24"/>
        <v>0</v>
      </c>
      <c r="G45" s="2"/>
      <c r="H45" s="7">
        <v>54.75</v>
      </c>
      <c r="I45" s="2"/>
      <c r="J45" s="6">
        <f t="shared" si="25"/>
        <v>0</v>
      </c>
      <c r="K45" s="2"/>
      <c r="L45" s="7">
        <f t="shared" si="26"/>
        <v>28.450000000000003</v>
      </c>
      <c r="M45" s="2"/>
      <c r="N45" s="6">
        <f t="shared" si="27"/>
        <v>0.51963470319634708</v>
      </c>
      <c r="O45" s="11"/>
      <c r="P45" s="7">
        <v>83.2</v>
      </c>
      <c r="Q45" s="2"/>
      <c r="R45" s="6">
        <f t="shared" si="28"/>
        <v>0</v>
      </c>
      <c r="S45" s="2"/>
      <c r="T45" s="7">
        <v>54.75</v>
      </c>
      <c r="U45" s="2"/>
      <c r="V45" s="6">
        <f t="shared" si="29"/>
        <v>0</v>
      </c>
      <c r="W45" s="2"/>
      <c r="X45" s="7">
        <f t="shared" si="30"/>
        <v>28.450000000000003</v>
      </c>
      <c r="Y45" s="2"/>
      <c r="Z45" s="6">
        <f t="shared" si="31"/>
        <v>0.51963470319634708</v>
      </c>
    </row>
    <row r="46" spans="1:26" s="28" customFormat="1" outlineLevel="1" collapsed="1" x14ac:dyDescent="0.25">
      <c r="A46" s="27"/>
      <c r="B46" s="14" t="str">
        <f>CONCATENATE("     ","Training                                          ")</f>
        <v xml:space="preserve">     Training                                          </v>
      </c>
      <c r="C46" s="14"/>
      <c r="D46" s="1">
        <f>SUM(OSRRefD22_7x_0)</f>
        <v>0</v>
      </c>
      <c r="E46" s="1"/>
      <c r="F46" s="5">
        <f t="shared" si="24"/>
        <v>0</v>
      </c>
      <c r="G46" s="1"/>
      <c r="H46" s="1">
        <f>SUM(OSRRefH22_7x_0)</f>
        <v>395</v>
      </c>
      <c r="I46" s="1"/>
      <c r="J46" s="5">
        <f t="shared" si="25"/>
        <v>0</v>
      </c>
      <c r="K46" s="1"/>
      <c r="L46" s="1">
        <f t="shared" si="26"/>
        <v>-395</v>
      </c>
      <c r="M46" s="1"/>
      <c r="N46" s="5">
        <f t="shared" si="27"/>
        <v>-1</v>
      </c>
      <c r="O46" s="14"/>
      <c r="P46" s="1">
        <f>SUM(OSRRefP22_7x_0)</f>
        <v>0</v>
      </c>
      <c r="Q46" s="1"/>
      <c r="R46" s="5">
        <f t="shared" si="28"/>
        <v>0</v>
      </c>
      <c r="S46" s="1"/>
      <c r="T46" s="1">
        <f>SUM(OSRRefT22_7x_0)</f>
        <v>395</v>
      </c>
      <c r="U46" s="1"/>
      <c r="V46" s="5">
        <f t="shared" si="29"/>
        <v>0</v>
      </c>
      <c r="W46" s="1"/>
      <c r="X46" s="1">
        <f t="shared" si="30"/>
        <v>-395</v>
      </c>
      <c r="Y46" s="1"/>
      <c r="Z46" s="5">
        <f t="shared" si="31"/>
        <v>-1</v>
      </c>
    </row>
    <row r="47" spans="1:26" s="24" customFormat="1" hidden="1" outlineLevel="2" x14ac:dyDescent="0.25">
      <c r="A47" s="29"/>
      <c r="B47" s="11" t="str">
        <f>CONCATENATE("          ", "6376", " - ", "TRAINING")</f>
        <v xml:space="preserve">          6376 - TRAINING</v>
      </c>
      <c r="C47" s="11"/>
      <c r="D47" s="7"/>
      <c r="E47" s="2"/>
      <c r="F47" s="6">
        <f t="shared" si="24"/>
        <v>0</v>
      </c>
      <c r="G47" s="2"/>
      <c r="H47" s="7">
        <v>395</v>
      </c>
      <c r="I47" s="2"/>
      <c r="J47" s="6">
        <f t="shared" si="25"/>
        <v>0</v>
      </c>
      <c r="K47" s="2"/>
      <c r="L47" s="7">
        <f t="shared" si="26"/>
        <v>-395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395</v>
      </c>
      <c r="U47" s="2"/>
      <c r="V47" s="6">
        <f t="shared" si="29"/>
        <v>0</v>
      </c>
      <c r="W47" s="2"/>
      <c r="X47" s="7">
        <f t="shared" si="30"/>
        <v>-395</v>
      </c>
      <c r="Y47" s="2"/>
      <c r="Z47" s="6">
        <f t="shared" si="31"/>
        <v>-1</v>
      </c>
    </row>
    <row r="48" spans="1:26" s="54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6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5" t="s">
        <v>3</v>
      </c>
      <c r="C51" s="25"/>
      <c r="D51" s="21">
        <f>+D16-D18+D49</f>
        <v>-45953.89</v>
      </c>
      <c r="E51" s="13"/>
      <c r="F51" s="20">
        <f>IF(D$12=0,0,D51/D$12)</f>
        <v>0</v>
      </c>
      <c r="G51" s="13"/>
      <c r="H51" s="21">
        <f>+H16-H18+H49</f>
        <v>-51356.020000000004</v>
      </c>
      <c r="I51" s="13"/>
      <c r="J51" s="20">
        <f>IF(H$12=0,0,H51/H$12)</f>
        <v>0</v>
      </c>
      <c r="K51" s="16"/>
      <c r="L51" s="21">
        <f>+D51-H51</f>
        <v>5402.1300000000047</v>
      </c>
      <c r="M51" s="16"/>
      <c r="N51" s="20">
        <f>IF(H51=0,0,L51/H51)</f>
        <v>-0.10518981026956536</v>
      </c>
      <c r="O51" s="26"/>
      <c r="P51" s="21">
        <f>+P16-P18+P49</f>
        <v>-45953.89</v>
      </c>
      <c r="Q51" s="13"/>
      <c r="R51" s="20">
        <f>IF(P$12=0,0,P51/P$12)</f>
        <v>0</v>
      </c>
      <c r="S51" s="13"/>
      <c r="T51" s="21">
        <f>+T16-T18+T49</f>
        <v>-51356.020000000004</v>
      </c>
      <c r="U51" s="13"/>
      <c r="V51" s="20">
        <f>IF(T$12=0,0,T51/T$12)</f>
        <v>0</v>
      </c>
      <c r="W51" s="16"/>
      <c r="X51" s="21">
        <f>+P51-T51</f>
        <v>5402.1300000000047</v>
      </c>
      <c r="Y51" s="16"/>
      <c r="Z51" s="20">
        <f>IF(T51=0,0,X51/T51)</f>
        <v>-0.10518981026956536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4</v>
      </c>
      <c r="C55" s="25"/>
      <c r="D55" s="33">
        <f>+D51-D53</f>
        <v>-45953.89</v>
      </c>
      <c r="E55" s="13"/>
      <c r="F55" s="34">
        <f>IF(D$12=0,0,D55/D$12)</f>
        <v>0</v>
      </c>
      <c r="G55" s="13"/>
      <c r="H55" s="33">
        <f>+H51-H53</f>
        <v>-51356.020000000004</v>
      </c>
      <c r="I55" s="13"/>
      <c r="J55" s="34">
        <f>IF(H$12=0,0,H55/H$12)</f>
        <v>0</v>
      </c>
      <c r="K55" s="16"/>
      <c r="L55" s="33">
        <f>D55-H55</f>
        <v>5402.1300000000047</v>
      </c>
      <c r="M55" s="16"/>
      <c r="N55" s="34">
        <f>IF(H55=0,0,L55/H55)</f>
        <v>-0.10518981026956536</v>
      </c>
      <c r="O55" s="26"/>
      <c r="P55" s="33">
        <f>+P51-P53</f>
        <v>-45953.89</v>
      </c>
      <c r="Q55" s="13"/>
      <c r="R55" s="34">
        <f>IF(P$12=0,0,P55/P$12)</f>
        <v>0</v>
      </c>
      <c r="S55" s="13"/>
      <c r="T55" s="33">
        <f>+T51-T53</f>
        <v>-51356.020000000004</v>
      </c>
      <c r="U55" s="13"/>
      <c r="V55" s="34">
        <f>IF(T$12=0,0,T55/T$12)</f>
        <v>0</v>
      </c>
      <c r="W55" s="16"/>
      <c r="X55" s="33">
        <f>P55-T55</f>
        <v>5402.1300000000047</v>
      </c>
      <c r="Y55" s="16"/>
      <c r="Z55" s="34">
        <f>IF(T55=0,0,X55/T55)</f>
        <v>-0.10518981026956536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5" t="s">
        <v>5</v>
      </c>
      <c r="C58" s="25"/>
      <c r="D58" s="31">
        <f>SUM(D55:D57)</f>
        <v>-45953.89</v>
      </c>
      <c r="E58" s="13"/>
      <c r="F58" s="30">
        <f>IF(D$12=0,0,D58/D$12)</f>
        <v>0</v>
      </c>
      <c r="G58" s="13"/>
      <c r="H58" s="31">
        <f>SUM(H55:H57)</f>
        <v>-51356.020000000004</v>
      </c>
      <c r="I58" s="13"/>
      <c r="J58" s="30">
        <f>IF(H$12=0,0,H58/H$12)</f>
        <v>0</v>
      </c>
      <c r="K58" s="16"/>
      <c r="L58" s="31">
        <f>+D58-H58</f>
        <v>5402.1300000000047</v>
      </c>
      <c r="M58" s="16"/>
      <c r="N58" s="30">
        <f>IF(H58=0,0,L58/H58)</f>
        <v>-0.10518981026956536</v>
      </c>
      <c r="O58" s="26"/>
      <c r="P58" s="31">
        <f>SUM(P55:P57)</f>
        <v>-45953.89</v>
      </c>
      <c r="Q58" s="13"/>
      <c r="R58" s="30">
        <f>IF(P$12=0,0,P58/P$12)</f>
        <v>0</v>
      </c>
      <c r="S58" s="13"/>
      <c r="T58" s="31">
        <f>SUM(T55:T57)</f>
        <v>-51356.020000000004</v>
      </c>
      <c r="U58" s="13"/>
      <c r="V58" s="30">
        <f>IF(T$12=0,0,T58/T$12)</f>
        <v>0</v>
      </c>
      <c r="W58" s="16"/>
      <c r="X58" s="31">
        <f>+P58-T58</f>
        <v>5402.1300000000047</v>
      </c>
      <c r="Y58" s="16"/>
      <c r="Z58" s="30">
        <f>IF(T58=0,0,X58/T58)</f>
        <v>-0.10518981026956536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6">
        <v>43726.681804479165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3" t="s">
        <v>313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304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18768.780000000006</v>
      </c>
      <c r="E12" s="4"/>
      <c r="F12" s="12"/>
      <c r="G12" s="4"/>
      <c r="H12" s="4">
        <f>SUM(OSRRefH13x_0)</f>
        <v>18008.910000000003</v>
      </c>
      <c r="I12" s="4"/>
      <c r="J12" s="12"/>
      <c r="K12" s="4"/>
      <c r="L12" s="4">
        <f t="shared" ref="L12:L45" si="0">+D12-H12</f>
        <v>759.87000000000262</v>
      </c>
      <c r="M12" s="4"/>
      <c r="N12" s="12">
        <f t="shared" ref="N12:N45" si="1">IF(H12=0,0,L12/H12)</f>
        <v>4.2194113913612899E-2</v>
      </c>
      <c r="O12" s="10"/>
      <c r="P12" s="4">
        <f>SUM(OSRRefP13x_0)</f>
        <v>18768.780000000006</v>
      </c>
      <c r="Q12" s="4"/>
      <c r="R12" s="12"/>
      <c r="S12" s="4"/>
      <c r="T12" s="4">
        <f>SUM(OSRRefT13x_0)</f>
        <v>18008.910000000003</v>
      </c>
      <c r="U12" s="4"/>
      <c r="V12" s="12"/>
      <c r="W12" s="4"/>
      <c r="X12" s="4">
        <f t="shared" ref="X12:X45" si="2">+P12-T12</f>
        <v>759.87000000000262</v>
      </c>
      <c r="Y12" s="4"/>
      <c r="Z12" s="12">
        <f t="shared" ref="Z12:Z45" si="3">IF(T12=0,0,X12/T12)</f>
        <v>4.2194113913612899E-2</v>
      </c>
    </row>
    <row r="13" spans="1:26" s="24" customFormat="1" hidden="1" outlineLevel="1" x14ac:dyDescent="0.25">
      <c r="A13" s="50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--4.47</f>
        <v>4.47</v>
      </c>
      <c r="E13" s="2"/>
      <c r="F13" s="22"/>
      <c r="G13" s="2"/>
      <c r="H13" s="2">
        <f>--264.61</f>
        <v>264.61</v>
      </c>
      <c r="I13" s="2"/>
      <c r="J13" s="22"/>
      <c r="K13" s="2"/>
      <c r="L13" s="2">
        <f t="shared" si="0"/>
        <v>-260.14</v>
      </c>
      <c r="M13" s="2"/>
      <c r="N13" s="22">
        <f t="shared" si="1"/>
        <v>-0.98310721439099036</v>
      </c>
      <c r="O13" s="11"/>
      <c r="P13" s="2">
        <f>--4.47</f>
        <v>4.47</v>
      </c>
      <c r="Q13" s="2"/>
      <c r="R13" s="22"/>
      <c r="S13" s="2"/>
      <c r="T13" s="2">
        <f>--264.61</f>
        <v>264.61</v>
      </c>
      <c r="U13" s="2"/>
      <c r="V13" s="22"/>
      <c r="W13" s="2"/>
      <c r="X13" s="2">
        <f t="shared" si="2"/>
        <v>-260.14</v>
      </c>
      <c r="Y13" s="2"/>
      <c r="Z13" s="22">
        <f t="shared" si="3"/>
        <v>-0.98310721439099036</v>
      </c>
    </row>
    <row r="14" spans="1:26" s="24" customFormat="1" hidden="1" outlineLevel="1" x14ac:dyDescent="0.25">
      <c r="A14" s="50"/>
      <c r="B14" s="11" t="str">
        <f>CONCATENATE("          ", "4019", " - ", "TAXABLE SALES-BOOK RELATED")</f>
        <v xml:space="preserve">          4019 - TAXABLE SALES-BOOK RELATED</v>
      </c>
      <c r="C14" s="11"/>
      <c r="D14" s="2">
        <f>0</f>
        <v>0</v>
      </c>
      <c r="E14" s="2"/>
      <c r="F14" s="22"/>
      <c r="G14" s="2"/>
      <c r="H14" s="2">
        <f>--39.9</f>
        <v>39.9</v>
      </c>
      <c r="I14" s="2"/>
      <c r="J14" s="22"/>
      <c r="K14" s="2"/>
      <c r="L14" s="2">
        <f t="shared" si="0"/>
        <v>-39.9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f>--39.9</f>
        <v>39.9</v>
      </c>
      <c r="U14" s="2"/>
      <c r="V14" s="22"/>
      <c r="W14" s="2"/>
      <c r="X14" s="2">
        <f t="shared" si="2"/>
        <v>-39.9</v>
      </c>
      <c r="Y14" s="2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"4025", " - ", "TAXABLE SALES-TEST FORMS")</f>
        <v xml:space="preserve">          4025 - TAXABLE SALES-TEST FORMS</v>
      </c>
      <c r="C15" s="11"/>
      <c r="D15" s="2">
        <f>--392.29</f>
        <v>392.29</v>
      </c>
      <c r="E15" s="2"/>
      <c r="F15" s="22"/>
      <c r="G15" s="2"/>
      <c r="H15" s="2">
        <f>--619.88</f>
        <v>619.88</v>
      </c>
      <c r="I15" s="2"/>
      <c r="J15" s="22"/>
      <c r="K15" s="2"/>
      <c r="L15" s="2">
        <f t="shared" si="0"/>
        <v>-227.58999999999997</v>
      </c>
      <c r="M15" s="2"/>
      <c r="N15" s="22">
        <f t="shared" si="1"/>
        <v>-0.36715170678195774</v>
      </c>
      <c r="O15" s="11"/>
      <c r="P15" s="2">
        <f>--392.29</f>
        <v>392.29</v>
      </c>
      <c r="Q15" s="2"/>
      <c r="R15" s="22"/>
      <c r="S15" s="2"/>
      <c r="T15" s="2">
        <f>--619.88</f>
        <v>619.88</v>
      </c>
      <c r="U15" s="2"/>
      <c r="V15" s="22"/>
      <c r="W15" s="2"/>
      <c r="X15" s="2">
        <f t="shared" si="2"/>
        <v>-227.58999999999997</v>
      </c>
      <c r="Y15" s="2"/>
      <c r="Z15" s="22">
        <f t="shared" si="3"/>
        <v>-0.36715170678195774</v>
      </c>
    </row>
    <row r="16" spans="1:26" s="24" customFormat="1" hidden="1" outlineLevel="1" x14ac:dyDescent="0.25">
      <c r="A16" s="50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--1896.95</f>
        <v>1896.95</v>
      </c>
      <c r="E16" s="2"/>
      <c r="F16" s="22"/>
      <c r="G16" s="2"/>
      <c r="H16" s="2">
        <f>--2042.69</f>
        <v>2042.69</v>
      </c>
      <c r="I16" s="2"/>
      <c r="J16" s="22"/>
      <c r="K16" s="2"/>
      <c r="L16" s="2">
        <f t="shared" si="0"/>
        <v>-145.74</v>
      </c>
      <c r="M16" s="2"/>
      <c r="N16" s="22">
        <f t="shared" si="1"/>
        <v>-7.1347096230950369E-2</v>
      </c>
      <c r="O16" s="11"/>
      <c r="P16" s="2">
        <f>--1896.95</f>
        <v>1896.95</v>
      </c>
      <c r="Q16" s="2"/>
      <c r="R16" s="22"/>
      <c r="S16" s="2"/>
      <c r="T16" s="2">
        <f>--2042.69</f>
        <v>2042.69</v>
      </c>
      <c r="U16" s="2"/>
      <c r="V16" s="22"/>
      <c r="W16" s="2"/>
      <c r="X16" s="2">
        <f t="shared" si="2"/>
        <v>-145.74</v>
      </c>
      <c r="Y16" s="2"/>
      <c r="Z16" s="22">
        <f t="shared" si="3"/>
        <v>-7.1347096230950369E-2</v>
      </c>
    </row>
    <row r="17" spans="1:26" s="24" customFormat="1" hidden="1" outlineLevel="1" x14ac:dyDescent="0.25">
      <c r="A17" s="50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--13150</f>
        <v>13150</v>
      </c>
      <c r="E17" s="2"/>
      <c r="F17" s="22"/>
      <c r="G17" s="2"/>
      <c r="H17" s="2">
        <f>--11906.13</f>
        <v>11906.13</v>
      </c>
      <c r="I17" s="2"/>
      <c r="J17" s="22"/>
      <c r="K17" s="2"/>
      <c r="L17" s="2">
        <f t="shared" si="0"/>
        <v>1243.8700000000008</v>
      </c>
      <c r="M17" s="2"/>
      <c r="N17" s="22">
        <f t="shared" si="1"/>
        <v>0.10447307395434124</v>
      </c>
      <c r="O17" s="11"/>
      <c r="P17" s="2">
        <f>--13150</f>
        <v>13150</v>
      </c>
      <c r="Q17" s="2"/>
      <c r="R17" s="22"/>
      <c r="S17" s="2"/>
      <c r="T17" s="2">
        <f>--11906.13</f>
        <v>11906.13</v>
      </c>
      <c r="U17" s="2"/>
      <c r="V17" s="22"/>
      <c r="W17" s="2"/>
      <c r="X17" s="2">
        <f t="shared" si="2"/>
        <v>1243.8700000000008</v>
      </c>
      <c r="Y17" s="2"/>
      <c r="Z17" s="22">
        <f t="shared" si="3"/>
        <v>0.10447307395434124</v>
      </c>
    </row>
    <row r="18" spans="1:26" s="24" customFormat="1" hidden="1" outlineLevel="1" x14ac:dyDescent="0.25">
      <c r="A18" s="50"/>
      <c r="B18" s="11" t="str">
        <f>CONCATENATE("          ", "4028", " - ", "TAXABLE SALES-ART/TECH")</f>
        <v xml:space="preserve">          4028 - TAXABLE SALES-ART/TECH</v>
      </c>
      <c r="C18" s="11"/>
      <c r="D18" s="2">
        <f>--2284.16</f>
        <v>2284.16</v>
      </c>
      <c r="E18" s="2"/>
      <c r="F18" s="22"/>
      <c r="G18" s="2"/>
      <c r="H18" s="2">
        <f>--2013.49</f>
        <v>2013.49</v>
      </c>
      <c r="I18" s="2"/>
      <c r="J18" s="22"/>
      <c r="K18" s="2"/>
      <c r="L18" s="2">
        <f t="shared" si="0"/>
        <v>270.66999999999985</v>
      </c>
      <c r="M18" s="2"/>
      <c r="N18" s="22">
        <f t="shared" si="1"/>
        <v>0.13442828124301578</v>
      </c>
      <c r="O18" s="11"/>
      <c r="P18" s="2">
        <f>--2284.16</f>
        <v>2284.16</v>
      </c>
      <c r="Q18" s="2"/>
      <c r="R18" s="22"/>
      <c r="S18" s="2"/>
      <c r="T18" s="2">
        <f>--2013.49</f>
        <v>2013.49</v>
      </c>
      <c r="U18" s="2"/>
      <c r="V18" s="22"/>
      <c r="W18" s="2"/>
      <c r="X18" s="2">
        <f t="shared" si="2"/>
        <v>270.66999999999985</v>
      </c>
      <c r="Y18" s="2"/>
      <c r="Z18" s="22">
        <f t="shared" si="3"/>
        <v>0.13442828124301578</v>
      </c>
    </row>
    <row r="19" spans="1:26" s="24" customFormat="1" hidden="1" outlineLevel="1" x14ac:dyDescent="0.25">
      <c r="A19" s="50"/>
      <c r="B19" s="11" t="str">
        <f>CONCATENATE("          ", "4031", " - ", "TAXABLE SALES-FOOD")</f>
        <v xml:space="preserve">          4031 - TAXABLE SALES-FOOD</v>
      </c>
      <c r="C19" s="11"/>
      <c r="D19" s="2">
        <f>--1.52</f>
        <v>1.52</v>
      </c>
      <c r="E19" s="2"/>
      <c r="F19" s="22"/>
      <c r="G19" s="2"/>
      <c r="H19" s="2">
        <f>--1.23</f>
        <v>1.23</v>
      </c>
      <c r="I19" s="2"/>
      <c r="J19" s="22"/>
      <c r="K19" s="2"/>
      <c r="L19" s="2">
        <f t="shared" si="0"/>
        <v>0.29000000000000004</v>
      </c>
      <c r="M19" s="2"/>
      <c r="N19" s="22">
        <f t="shared" si="1"/>
        <v>0.23577235772357727</v>
      </c>
      <c r="O19" s="11"/>
      <c r="P19" s="2">
        <f>--1.52</f>
        <v>1.52</v>
      </c>
      <c r="Q19" s="2"/>
      <c r="R19" s="22"/>
      <c r="S19" s="2"/>
      <c r="T19" s="2">
        <f>--1.23</f>
        <v>1.23</v>
      </c>
      <c r="U19" s="2"/>
      <c r="V19" s="22"/>
      <c r="W19" s="2"/>
      <c r="X19" s="2">
        <f t="shared" si="2"/>
        <v>0.29000000000000004</v>
      </c>
      <c r="Y19" s="2"/>
      <c r="Z19" s="22">
        <f t="shared" si="3"/>
        <v>0.23577235772357727</v>
      </c>
    </row>
    <row r="20" spans="1:26" s="24" customFormat="1" hidden="1" outlineLevel="1" x14ac:dyDescent="0.25">
      <c r="A20" s="50"/>
      <c r="B20" s="11" t="str">
        <f>CONCATENATE("          ", "4032", " - ", "TAXABLE SALES-JUICE")</f>
        <v xml:space="preserve">          4032 - TAXABLE SALES-JUICE</v>
      </c>
      <c r="C20" s="11"/>
      <c r="D20" s="2">
        <f>--1.47</f>
        <v>1.47</v>
      </c>
      <c r="E20" s="2"/>
      <c r="F20" s="22"/>
      <c r="G20" s="2"/>
      <c r="H20" s="2">
        <f>--0.22</f>
        <v>0.22</v>
      </c>
      <c r="I20" s="2"/>
      <c r="J20" s="22"/>
      <c r="K20" s="2"/>
      <c r="L20" s="2">
        <f t="shared" si="0"/>
        <v>1.25</v>
      </c>
      <c r="M20" s="2"/>
      <c r="N20" s="22">
        <f t="shared" si="1"/>
        <v>5.6818181818181817</v>
      </c>
      <c r="O20" s="11"/>
      <c r="P20" s="2">
        <f>--1.47</f>
        <v>1.47</v>
      </c>
      <c r="Q20" s="2"/>
      <c r="R20" s="22"/>
      <c r="S20" s="2"/>
      <c r="T20" s="2">
        <f>--0.22</f>
        <v>0.22</v>
      </c>
      <c r="U20" s="2"/>
      <c r="V20" s="22"/>
      <c r="W20" s="2"/>
      <c r="X20" s="2">
        <f t="shared" si="2"/>
        <v>1.25</v>
      </c>
      <c r="Y20" s="2"/>
      <c r="Z20" s="22">
        <f t="shared" si="3"/>
        <v>5.6818181818181817</v>
      </c>
    </row>
    <row r="21" spans="1:26" s="24" customFormat="1" hidden="1" outlineLevel="1" x14ac:dyDescent="0.25">
      <c r="A21" s="50"/>
      <c r="B21" s="11" t="str">
        <f>CONCATENATE("          ", "4033", " - ", "TAXABLE SALES-CANDY")</f>
        <v xml:space="preserve">          4033 - TAXABLE SALES-CANDY</v>
      </c>
      <c r="C21" s="11"/>
      <c r="D21" s="2">
        <f>--3.17</f>
        <v>3.17</v>
      </c>
      <c r="E21" s="2"/>
      <c r="F21" s="22"/>
      <c r="G21" s="2"/>
      <c r="H21" s="2">
        <f>--0.68</f>
        <v>0.68</v>
      </c>
      <c r="I21" s="2"/>
      <c r="J21" s="22"/>
      <c r="K21" s="2"/>
      <c r="L21" s="2">
        <f t="shared" si="0"/>
        <v>2.4899999999999998</v>
      </c>
      <c r="M21" s="2"/>
      <c r="N21" s="22">
        <f t="shared" si="1"/>
        <v>3.6617647058823524</v>
      </c>
      <c r="O21" s="11"/>
      <c r="P21" s="2">
        <f>--3.17</f>
        <v>3.17</v>
      </c>
      <c r="Q21" s="2"/>
      <c r="R21" s="22"/>
      <c r="S21" s="2"/>
      <c r="T21" s="2">
        <f>--0.68</f>
        <v>0.68</v>
      </c>
      <c r="U21" s="2"/>
      <c r="V21" s="22"/>
      <c r="W21" s="2"/>
      <c r="X21" s="2">
        <f t="shared" si="2"/>
        <v>2.4899999999999998</v>
      </c>
      <c r="Y21" s="2"/>
      <c r="Z21" s="22">
        <f t="shared" si="3"/>
        <v>3.6617647058823524</v>
      </c>
    </row>
    <row r="22" spans="1:26" s="24" customFormat="1" hidden="1" outlineLevel="1" x14ac:dyDescent="0.25">
      <c r="A22" s="50"/>
      <c r="B22" s="11" t="str">
        <f>CONCATENATE("          ", "4034", " - ", "TAXABLE SALES-SODA")</f>
        <v xml:space="preserve">          4034 - TAXABLE SALES-SODA</v>
      </c>
      <c r="C22" s="11"/>
      <c r="D22" s="2">
        <f>--34.74</f>
        <v>34.74</v>
      </c>
      <c r="E22" s="2"/>
      <c r="F22" s="22"/>
      <c r="G22" s="2"/>
      <c r="H22" s="2">
        <f>--31.26</f>
        <v>31.26</v>
      </c>
      <c r="I22" s="2"/>
      <c r="J22" s="22"/>
      <c r="K22" s="2"/>
      <c r="L22" s="2">
        <f t="shared" si="0"/>
        <v>3.4800000000000004</v>
      </c>
      <c r="M22" s="2"/>
      <c r="N22" s="22">
        <f t="shared" si="1"/>
        <v>0.11132437619961613</v>
      </c>
      <c r="O22" s="11"/>
      <c r="P22" s="2">
        <f>--34.74</f>
        <v>34.74</v>
      </c>
      <c r="Q22" s="2"/>
      <c r="R22" s="22"/>
      <c r="S22" s="2"/>
      <c r="T22" s="2">
        <f>--31.26</f>
        <v>31.26</v>
      </c>
      <c r="U22" s="2"/>
      <c r="V22" s="22"/>
      <c r="W22" s="2"/>
      <c r="X22" s="2">
        <f t="shared" si="2"/>
        <v>3.4800000000000004</v>
      </c>
      <c r="Y22" s="2"/>
      <c r="Z22" s="22">
        <f t="shared" si="3"/>
        <v>0.11132437619961613</v>
      </c>
    </row>
    <row r="23" spans="1:26" s="24" customFormat="1" hidden="1" outlineLevel="1" x14ac:dyDescent="0.25">
      <c r="A23" s="50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--5.97</f>
        <v>5.97</v>
      </c>
      <c r="E23" s="2"/>
      <c r="F23" s="22"/>
      <c r="G23" s="2"/>
      <c r="H23" s="2">
        <f>--48.05</f>
        <v>48.05</v>
      </c>
      <c r="I23" s="2"/>
      <c r="J23" s="22"/>
      <c r="K23" s="2"/>
      <c r="L23" s="2">
        <f t="shared" si="0"/>
        <v>-42.08</v>
      </c>
      <c r="M23" s="2"/>
      <c r="N23" s="22">
        <f t="shared" si="1"/>
        <v>-0.87575442247658686</v>
      </c>
      <c r="O23" s="11"/>
      <c r="P23" s="2">
        <f>--5.97</f>
        <v>5.97</v>
      </c>
      <c r="Q23" s="2"/>
      <c r="R23" s="22"/>
      <c r="S23" s="2"/>
      <c r="T23" s="2">
        <f>--48.05</f>
        <v>48.05</v>
      </c>
      <c r="U23" s="2"/>
      <c r="V23" s="22"/>
      <c r="W23" s="2"/>
      <c r="X23" s="2">
        <f t="shared" si="2"/>
        <v>-42.08</v>
      </c>
      <c r="Y23" s="2"/>
      <c r="Z23" s="22">
        <f t="shared" si="3"/>
        <v>-0.87575442247658686</v>
      </c>
    </row>
    <row r="24" spans="1:26" s="24" customFormat="1" hidden="1" outlineLevel="1" x14ac:dyDescent="0.25">
      <c r="A24" s="50"/>
      <c r="B24" s="11" t="str">
        <f>CONCATENATE("          ", "4037", " - ", "TAXABLE SALES-WATER")</f>
        <v xml:space="preserve">          4037 - TAXABLE SALES-WATER</v>
      </c>
      <c r="C24" s="11"/>
      <c r="D24" s="2">
        <f>--5.29</f>
        <v>5.29</v>
      </c>
      <c r="E24" s="2"/>
      <c r="F24" s="22"/>
      <c r="G24" s="2"/>
      <c r="H24" s="2">
        <f>--5.31</f>
        <v>5.31</v>
      </c>
      <c r="I24" s="2"/>
      <c r="J24" s="22"/>
      <c r="K24" s="2"/>
      <c r="L24" s="2">
        <f t="shared" si="0"/>
        <v>-1.9999999999999574E-2</v>
      </c>
      <c r="M24" s="2"/>
      <c r="N24" s="22">
        <f t="shared" si="1"/>
        <v>-3.7664783427494492E-3</v>
      </c>
      <c r="O24" s="11"/>
      <c r="P24" s="2">
        <f>--5.29</f>
        <v>5.29</v>
      </c>
      <c r="Q24" s="2"/>
      <c r="R24" s="22"/>
      <c r="S24" s="2"/>
      <c r="T24" s="2">
        <f>--5.31</f>
        <v>5.31</v>
      </c>
      <c r="U24" s="2"/>
      <c r="V24" s="22"/>
      <c r="W24" s="2"/>
      <c r="X24" s="2">
        <f t="shared" si="2"/>
        <v>-1.9999999999999574E-2</v>
      </c>
      <c r="Y24" s="2"/>
      <c r="Z24" s="22">
        <f t="shared" si="3"/>
        <v>-3.7664783427494492E-3</v>
      </c>
    </row>
    <row r="25" spans="1:26" s="24" customFormat="1" hidden="1" outlineLevel="1" x14ac:dyDescent="0.25">
      <c r="A25" s="50"/>
      <c r="B25" s="11" t="str">
        <f>CONCATENATE("          ", "4042", " - ", "TAXABLE SALES-EVERYDAY GIFTS")</f>
        <v xml:space="preserve">          4042 - TAXABLE SALES-EVERYDAY GIFTS</v>
      </c>
      <c r="C25" s="11"/>
      <c r="D25" s="2">
        <f>0</f>
        <v>0</v>
      </c>
      <c r="E25" s="2"/>
      <c r="F25" s="22"/>
      <c r="G25" s="2"/>
      <c r="H25" s="2">
        <f>--39.95</f>
        <v>39.950000000000003</v>
      </c>
      <c r="I25" s="2"/>
      <c r="J25" s="22"/>
      <c r="K25" s="2"/>
      <c r="L25" s="2">
        <f t="shared" si="0"/>
        <v>-39.950000000000003</v>
      </c>
      <c r="M25" s="2"/>
      <c r="N25" s="22">
        <f t="shared" si="1"/>
        <v>-1</v>
      </c>
      <c r="O25" s="11"/>
      <c r="P25" s="2">
        <f>0</f>
        <v>0</v>
      </c>
      <c r="Q25" s="2"/>
      <c r="R25" s="22"/>
      <c r="S25" s="2"/>
      <c r="T25" s="2">
        <f>--39.95</f>
        <v>39.950000000000003</v>
      </c>
      <c r="U25" s="2"/>
      <c r="V25" s="22"/>
      <c r="W25" s="2"/>
      <c r="X25" s="2">
        <f t="shared" si="2"/>
        <v>-39.950000000000003</v>
      </c>
      <c r="Y25" s="2"/>
      <c r="Z25" s="22">
        <f t="shared" si="3"/>
        <v>-1</v>
      </c>
    </row>
    <row r="26" spans="1:26" s="24" customFormat="1" hidden="1" outlineLevel="1" x14ac:dyDescent="0.25">
      <c r="A26" s="50"/>
      <c r="B26" s="11" t="str">
        <f>CONCATENATE("          ", "4081", " - ", "TAXABLE SALES-ELECTRONICS")</f>
        <v xml:space="preserve">          4081 - TAXABLE SALES-ELECTRONICS</v>
      </c>
      <c r="C26" s="11"/>
      <c r="D26" s="2">
        <f>--7.98</f>
        <v>7.98</v>
      </c>
      <c r="E26" s="2"/>
      <c r="F26" s="22"/>
      <c r="G26" s="2"/>
      <c r="H26" s="2">
        <f>--2.99</f>
        <v>2.99</v>
      </c>
      <c r="I26" s="2"/>
      <c r="J26" s="22"/>
      <c r="K26" s="2"/>
      <c r="L26" s="2">
        <f t="shared" si="0"/>
        <v>4.99</v>
      </c>
      <c r="M26" s="2"/>
      <c r="N26" s="22">
        <f t="shared" si="1"/>
        <v>1.6688963210702341</v>
      </c>
      <c r="O26" s="11"/>
      <c r="P26" s="2">
        <f>--7.98</f>
        <v>7.98</v>
      </c>
      <c r="Q26" s="2"/>
      <c r="R26" s="22"/>
      <c r="S26" s="2"/>
      <c r="T26" s="2">
        <f>--2.99</f>
        <v>2.99</v>
      </c>
      <c r="U26" s="2"/>
      <c r="V26" s="22"/>
      <c r="W26" s="2"/>
      <c r="X26" s="2">
        <f t="shared" si="2"/>
        <v>4.99</v>
      </c>
      <c r="Y26" s="2"/>
      <c r="Z26" s="22">
        <f t="shared" si="3"/>
        <v>1.6688963210702341</v>
      </c>
    </row>
    <row r="27" spans="1:26" s="24" customFormat="1" hidden="1" outlineLevel="1" x14ac:dyDescent="0.25">
      <c r="A27" s="50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--19</f>
        <v>19</v>
      </c>
      <c r="E27" s="2"/>
      <c r="F27" s="22"/>
      <c r="G27" s="2"/>
      <c r="H27" s="2">
        <f>0</f>
        <v>0</v>
      </c>
      <c r="I27" s="2"/>
      <c r="J27" s="22"/>
      <c r="K27" s="2"/>
      <c r="L27" s="2">
        <f t="shared" si="0"/>
        <v>19</v>
      </c>
      <c r="M27" s="2"/>
      <c r="N27" s="22">
        <f t="shared" si="1"/>
        <v>0</v>
      </c>
      <c r="O27" s="11"/>
      <c r="P27" s="2">
        <f>--19</f>
        <v>19</v>
      </c>
      <c r="Q27" s="2"/>
      <c r="R27" s="22"/>
      <c r="S27" s="2"/>
      <c r="T27" s="2">
        <f>0</f>
        <v>0</v>
      </c>
      <c r="U27" s="2"/>
      <c r="V27" s="22"/>
      <c r="W27" s="2"/>
      <c r="X27" s="2">
        <f t="shared" si="2"/>
        <v>19</v>
      </c>
      <c r="Y27" s="2"/>
      <c r="Z27" s="22">
        <f t="shared" si="3"/>
        <v>0</v>
      </c>
    </row>
    <row r="28" spans="1:26" s="24" customFormat="1" hidden="1" outlineLevel="1" x14ac:dyDescent="0.25">
      <c r="A28" s="50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0</f>
        <v>0</v>
      </c>
      <c r="E28" s="2"/>
      <c r="F28" s="22"/>
      <c r="G28" s="2"/>
      <c r="H28" s="2">
        <f>--19.98</f>
        <v>19.98</v>
      </c>
      <c r="I28" s="2"/>
      <c r="J28" s="22"/>
      <c r="K28" s="2"/>
      <c r="L28" s="2">
        <f t="shared" si="0"/>
        <v>-19.98</v>
      </c>
      <c r="M28" s="2"/>
      <c r="N28" s="22">
        <f t="shared" si="1"/>
        <v>-1</v>
      </c>
      <c r="O28" s="11"/>
      <c r="P28" s="2">
        <f>0</f>
        <v>0</v>
      </c>
      <c r="Q28" s="2"/>
      <c r="R28" s="22"/>
      <c r="S28" s="2"/>
      <c r="T28" s="2">
        <f>--19.98</f>
        <v>19.98</v>
      </c>
      <c r="U28" s="2"/>
      <c r="V28" s="22"/>
      <c r="W28" s="2"/>
      <c r="X28" s="2">
        <f t="shared" si="2"/>
        <v>-19.98</v>
      </c>
      <c r="Y28" s="2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--14.99</f>
        <v>14.99</v>
      </c>
      <c r="E29" s="2"/>
      <c r="F29" s="22"/>
      <c r="G29" s="2"/>
      <c r="H29" s="2">
        <f>--24.98</f>
        <v>24.98</v>
      </c>
      <c r="I29" s="2"/>
      <c r="J29" s="22"/>
      <c r="K29" s="2"/>
      <c r="L29" s="2">
        <f t="shared" si="0"/>
        <v>-9.99</v>
      </c>
      <c r="M29" s="2"/>
      <c r="N29" s="22">
        <f t="shared" si="1"/>
        <v>-0.39991993594875902</v>
      </c>
      <c r="O29" s="11"/>
      <c r="P29" s="2">
        <f>--14.99</f>
        <v>14.99</v>
      </c>
      <c r="Q29" s="2"/>
      <c r="R29" s="22"/>
      <c r="S29" s="2"/>
      <c r="T29" s="2">
        <f>--24.98</f>
        <v>24.98</v>
      </c>
      <c r="U29" s="2"/>
      <c r="V29" s="22"/>
      <c r="W29" s="2"/>
      <c r="X29" s="2">
        <f t="shared" si="2"/>
        <v>-9.99</v>
      </c>
      <c r="Y29" s="2"/>
      <c r="Z29" s="22">
        <f t="shared" si="3"/>
        <v>-0.39991993594875902</v>
      </c>
    </row>
    <row r="30" spans="1:26" s="24" customFormat="1" hidden="1" outlineLevel="1" x14ac:dyDescent="0.25">
      <c r="A30" s="50"/>
      <c r="B30" s="11" t="str">
        <f>CONCATENATE("          ", "4125", " - ", "NON-TAXABLE SALES-TEST FORMS")</f>
        <v xml:space="preserve">          4125 - NON-TAXABLE SALES-TEST FORMS</v>
      </c>
      <c r="C30" s="11"/>
      <c r="D30" s="2">
        <f>--4.98</f>
        <v>4.9800000000000004</v>
      </c>
      <c r="E30" s="2"/>
      <c r="F30" s="22"/>
      <c r="G30" s="2"/>
      <c r="H30" s="2">
        <f>--6.12</f>
        <v>6.12</v>
      </c>
      <c r="I30" s="2"/>
      <c r="J30" s="22"/>
      <c r="K30" s="2"/>
      <c r="L30" s="2">
        <f t="shared" si="0"/>
        <v>-1.1399999999999997</v>
      </c>
      <c r="M30" s="2"/>
      <c r="N30" s="22">
        <f t="shared" si="1"/>
        <v>-0.18627450980392152</v>
      </c>
      <c r="O30" s="11"/>
      <c r="P30" s="2">
        <f>--4.98</f>
        <v>4.9800000000000004</v>
      </c>
      <c r="Q30" s="2"/>
      <c r="R30" s="22"/>
      <c r="S30" s="2"/>
      <c r="T30" s="2">
        <f>--6.12</f>
        <v>6.12</v>
      </c>
      <c r="U30" s="2"/>
      <c r="V30" s="22"/>
      <c r="W30" s="2"/>
      <c r="X30" s="2">
        <f t="shared" si="2"/>
        <v>-1.1399999999999997</v>
      </c>
      <c r="Y30" s="2"/>
      <c r="Z30" s="22">
        <f t="shared" si="3"/>
        <v>-0.18627450980392152</v>
      </c>
    </row>
    <row r="31" spans="1:26" s="24" customFormat="1" hidden="1" outlineLevel="1" x14ac:dyDescent="0.25">
      <c r="A31" s="50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>--167.03</f>
        <v>167.03</v>
      </c>
      <c r="E31" s="2"/>
      <c r="F31" s="22"/>
      <c r="G31" s="2"/>
      <c r="H31" s="2">
        <f>--264.9</f>
        <v>264.89999999999998</v>
      </c>
      <c r="I31" s="2"/>
      <c r="J31" s="22"/>
      <c r="K31" s="2"/>
      <c r="L31" s="2">
        <f t="shared" si="0"/>
        <v>-97.869999999999976</v>
      </c>
      <c r="M31" s="2"/>
      <c r="N31" s="22">
        <f t="shared" si="1"/>
        <v>-0.36946017365043404</v>
      </c>
      <c r="O31" s="11"/>
      <c r="P31" s="2">
        <f>--167.03</f>
        <v>167.03</v>
      </c>
      <c r="Q31" s="2"/>
      <c r="R31" s="22"/>
      <c r="S31" s="2"/>
      <c r="T31" s="2">
        <f>--264.9</f>
        <v>264.89999999999998</v>
      </c>
      <c r="U31" s="2"/>
      <c r="V31" s="22"/>
      <c r="W31" s="2"/>
      <c r="X31" s="2">
        <f t="shared" si="2"/>
        <v>-97.869999999999976</v>
      </c>
      <c r="Y31" s="2"/>
      <c r="Z31" s="22">
        <f t="shared" si="3"/>
        <v>-0.36946017365043404</v>
      </c>
    </row>
    <row r="32" spans="1:26" s="24" customFormat="1" hidden="1" outlineLevel="1" x14ac:dyDescent="0.25">
      <c r="A32" s="50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>--177.89</f>
        <v>177.89</v>
      </c>
      <c r="E32" s="2"/>
      <c r="F32" s="22"/>
      <c r="G32" s="2"/>
      <c r="H32" s="2">
        <f>--135.16</f>
        <v>135.16</v>
      </c>
      <c r="I32" s="2"/>
      <c r="J32" s="22"/>
      <c r="K32" s="2"/>
      <c r="L32" s="2">
        <f t="shared" si="0"/>
        <v>42.72999999999999</v>
      </c>
      <c r="M32" s="2"/>
      <c r="N32" s="22">
        <f t="shared" si="1"/>
        <v>0.31614382953536541</v>
      </c>
      <c r="O32" s="11"/>
      <c r="P32" s="2">
        <f>--177.89</f>
        <v>177.89</v>
      </c>
      <c r="Q32" s="2"/>
      <c r="R32" s="22"/>
      <c r="S32" s="2"/>
      <c r="T32" s="2">
        <f>--135.16</f>
        <v>135.16</v>
      </c>
      <c r="U32" s="2"/>
      <c r="V32" s="22"/>
      <c r="W32" s="2"/>
      <c r="X32" s="2">
        <f t="shared" si="2"/>
        <v>42.72999999999999</v>
      </c>
      <c r="Y32" s="2"/>
      <c r="Z32" s="22">
        <f t="shared" si="3"/>
        <v>0.31614382953536541</v>
      </c>
    </row>
    <row r="33" spans="1:26" s="24" customFormat="1" hidden="1" outlineLevel="1" x14ac:dyDescent="0.25">
      <c r="A33" s="50"/>
      <c r="B33" s="11" t="str">
        <f>CONCATENATE("          ", "4128", " - ", "NON-TAXABLE SALES-ART/TECH")</f>
        <v xml:space="preserve">          4128 - NON-TAXABLE SALES-ART/TECH</v>
      </c>
      <c r="C33" s="11"/>
      <c r="D33" s="2">
        <f>--1.49</f>
        <v>1.49</v>
      </c>
      <c r="E33" s="2"/>
      <c r="F33" s="22"/>
      <c r="G33" s="2"/>
      <c r="H33" s="2">
        <f>--30.69</f>
        <v>30.69</v>
      </c>
      <c r="I33" s="2"/>
      <c r="J33" s="22"/>
      <c r="K33" s="2"/>
      <c r="L33" s="2">
        <f t="shared" si="0"/>
        <v>-29.200000000000003</v>
      </c>
      <c r="M33" s="2"/>
      <c r="N33" s="22">
        <f t="shared" si="1"/>
        <v>-0.95144998370804823</v>
      </c>
      <c r="O33" s="11"/>
      <c r="P33" s="2">
        <f>--1.49</f>
        <v>1.49</v>
      </c>
      <c r="Q33" s="2"/>
      <c r="R33" s="22"/>
      <c r="S33" s="2"/>
      <c r="T33" s="2">
        <f>--30.69</f>
        <v>30.69</v>
      </c>
      <c r="U33" s="2"/>
      <c r="V33" s="22"/>
      <c r="W33" s="2"/>
      <c r="X33" s="2">
        <f t="shared" si="2"/>
        <v>-29.200000000000003</v>
      </c>
      <c r="Y33" s="2"/>
      <c r="Z33" s="22">
        <f t="shared" si="3"/>
        <v>-0.95144998370804823</v>
      </c>
    </row>
    <row r="34" spans="1:26" s="24" customFormat="1" hidden="1" outlineLevel="1" x14ac:dyDescent="0.25">
      <c r="A34" s="50"/>
      <c r="B34" s="11" t="str">
        <f>CONCATENATE("          ", "4131", " - ", "NON-TAXABLE SALES-FOOD")</f>
        <v xml:space="preserve">          4131 - NON-TAXABLE SALES-FOOD</v>
      </c>
      <c r="C34" s="11"/>
      <c r="D34" s="2">
        <f>--269.62</f>
        <v>269.62</v>
      </c>
      <c r="E34" s="2"/>
      <c r="F34" s="22"/>
      <c r="G34" s="2"/>
      <c r="H34" s="2">
        <f>--329.56</f>
        <v>329.56</v>
      </c>
      <c r="I34" s="2"/>
      <c r="J34" s="22"/>
      <c r="K34" s="2"/>
      <c r="L34" s="2">
        <f t="shared" si="0"/>
        <v>-59.94</v>
      </c>
      <c r="M34" s="2"/>
      <c r="N34" s="22">
        <f t="shared" si="1"/>
        <v>-0.18187886879475665</v>
      </c>
      <c r="O34" s="11"/>
      <c r="P34" s="2">
        <f>--269.62</f>
        <v>269.62</v>
      </c>
      <c r="Q34" s="2"/>
      <c r="R34" s="22"/>
      <c r="S34" s="2"/>
      <c r="T34" s="2">
        <f>--329.56</f>
        <v>329.56</v>
      </c>
      <c r="U34" s="2"/>
      <c r="V34" s="22"/>
      <c r="W34" s="2"/>
      <c r="X34" s="2">
        <f t="shared" si="2"/>
        <v>-59.94</v>
      </c>
      <c r="Y34" s="2"/>
      <c r="Z34" s="22">
        <f t="shared" si="3"/>
        <v>-0.18187886879475665</v>
      </c>
    </row>
    <row r="35" spans="1:26" s="24" customFormat="1" hidden="1" outlineLevel="1" x14ac:dyDescent="0.25">
      <c r="A35" s="50"/>
      <c r="B35" s="11" t="str">
        <f>CONCATENATE("          ", "4132", " - ", "NON-TAXABLE SALES-JUICE")</f>
        <v xml:space="preserve">          4132 - NON-TAXABLE SALES-JUICE</v>
      </c>
      <c r="C35" s="11"/>
      <c r="D35" s="2">
        <f>--45.31</f>
        <v>45.31</v>
      </c>
      <c r="E35" s="2"/>
      <c r="F35" s="22"/>
      <c r="G35" s="2"/>
      <c r="H35" s="2">
        <f>--70.91</f>
        <v>70.91</v>
      </c>
      <c r="I35" s="2"/>
      <c r="J35" s="22"/>
      <c r="K35" s="2"/>
      <c r="L35" s="2">
        <f t="shared" si="0"/>
        <v>-25.599999999999994</v>
      </c>
      <c r="M35" s="2"/>
      <c r="N35" s="22">
        <f t="shared" si="1"/>
        <v>-0.36102101255112107</v>
      </c>
      <c r="O35" s="11"/>
      <c r="P35" s="2">
        <f>--45.31</f>
        <v>45.31</v>
      </c>
      <c r="Q35" s="2"/>
      <c r="R35" s="22"/>
      <c r="S35" s="2"/>
      <c r="T35" s="2">
        <f>--70.91</f>
        <v>70.91</v>
      </c>
      <c r="U35" s="2"/>
      <c r="V35" s="22"/>
      <c r="W35" s="2"/>
      <c r="X35" s="2">
        <f t="shared" si="2"/>
        <v>-25.599999999999994</v>
      </c>
      <c r="Y35" s="2"/>
      <c r="Z35" s="22">
        <f t="shared" si="3"/>
        <v>-0.36102101255112107</v>
      </c>
    </row>
    <row r="36" spans="1:26" s="24" customFormat="1" hidden="1" outlineLevel="1" x14ac:dyDescent="0.25">
      <c r="A36" s="50"/>
      <c r="B36" s="11" t="str">
        <f>CONCATENATE("          ", "4133", " - ", "NON-TAXABLE SALES-CANDY")</f>
        <v xml:space="preserve">          4133 - NON-TAXABLE SALES-CANDY</v>
      </c>
      <c r="C36" s="11"/>
      <c r="D36" s="2">
        <f>--472.22</f>
        <v>472.22</v>
      </c>
      <c r="E36" s="2"/>
      <c r="F36" s="22"/>
      <c r="G36" s="2"/>
      <c r="H36" s="2">
        <f>--368.55</f>
        <v>368.55</v>
      </c>
      <c r="I36" s="2"/>
      <c r="J36" s="22"/>
      <c r="K36" s="2"/>
      <c r="L36" s="2">
        <f t="shared" si="0"/>
        <v>103.67000000000002</v>
      </c>
      <c r="M36" s="2"/>
      <c r="N36" s="22">
        <f t="shared" si="1"/>
        <v>0.28129154795821465</v>
      </c>
      <c r="O36" s="11"/>
      <c r="P36" s="2">
        <f>--472.22</f>
        <v>472.22</v>
      </c>
      <c r="Q36" s="2"/>
      <c r="R36" s="22"/>
      <c r="S36" s="2"/>
      <c r="T36" s="2">
        <f>--368.55</f>
        <v>368.55</v>
      </c>
      <c r="U36" s="2"/>
      <c r="V36" s="22"/>
      <c r="W36" s="2"/>
      <c r="X36" s="2">
        <f t="shared" si="2"/>
        <v>103.67000000000002</v>
      </c>
      <c r="Y36" s="2"/>
      <c r="Z36" s="22">
        <f t="shared" si="3"/>
        <v>0.28129154795821465</v>
      </c>
    </row>
    <row r="37" spans="1:26" s="24" customFormat="1" hidden="1" outlineLevel="1" x14ac:dyDescent="0.25">
      <c r="A37" s="50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22"/>
      <c r="G37" s="2"/>
      <c r="H37" s="2">
        <f>--5.25</f>
        <v>5.25</v>
      </c>
      <c r="I37" s="2"/>
      <c r="J37" s="22"/>
      <c r="K37" s="2"/>
      <c r="L37" s="2">
        <f t="shared" si="0"/>
        <v>-5.25</v>
      </c>
      <c r="M37" s="2"/>
      <c r="N37" s="22">
        <f t="shared" si="1"/>
        <v>-1</v>
      </c>
      <c r="O37" s="11"/>
      <c r="P37" s="2">
        <f>0</f>
        <v>0</v>
      </c>
      <c r="Q37" s="2"/>
      <c r="R37" s="22"/>
      <c r="S37" s="2"/>
      <c r="T37" s="2">
        <f>--5.25</f>
        <v>5.25</v>
      </c>
      <c r="U37" s="2"/>
      <c r="V37" s="22"/>
      <c r="W37" s="2"/>
      <c r="X37" s="2">
        <f t="shared" si="2"/>
        <v>-5.25</v>
      </c>
      <c r="Y37" s="2"/>
      <c r="Z37" s="22">
        <f t="shared" si="3"/>
        <v>-1</v>
      </c>
    </row>
    <row r="38" spans="1:26" s="24" customFormat="1" hidden="1" outlineLevel="1" x14ac:dyDescent="0.25">
      <c r="A38" s="50"/>
      <c r="B38" s="11" t="str">
        <f>CONCATENATE("          ", "4135", " - ", "NON-TAXABLE SALES")</f>
        <v xml:space="preserve">          4135 - NON-TAXABLE SALES</v>
      </c>
      <c r="C38" s="11"/>
      <c r="D38" s="2">
        <f>--21.54</f>
        <v>21.54</v>
      </c>
      <c r="E38" s="2"/>
      <c r="F38" s="22"/>
      <c r="G38" s="2"/>
      <c r="H38" s="2">
        <f>--7.18</f>
        <v>7.18</v>
      </c>
      <c r="I38" s="2"/>
      <c r="J38" s="22"/>
      <c r="K38" s="2"/>
      <c r="L38" s="2">
        <f t="shared" si="0"/>
        <v>14.36</v>
      </c>
      <c r="M38" s="2"/>
      <c r="N38" s="22">
        <f t="shared" si="1"/>
        <v>2</v>
      </c>
      <c r="O38" s="11"/>
      <c r="P38" s="2">
        <f>--21.54</f>
        <v>21.54</v>
      </c>
      <c r="Q38" s="2"/>
      <c r="R38" s="22"/>
      <c r="S38" s="2"/>
      <c r="T38" s="2">
        <f>--7.18</f>
        <v>7.18</v>
      </c>
      <c r="U38" s="2"/>
      <c r="V38" s="22"/>
      <c r="W38" s="2"/>
      <c r="X38" s="2">
        <f t="shared" si="2"/>
        <v>14.36</v>
      </c>
      <c r="Y38" s="2"/>
      <c r="Z38" s="22">
        <f t="shared" si="3"/>
        <v>2</v>
      </c>
    </row>
    <row r="39" spans="1:26" s="24" customFormat="1" hidden="1" outlineLevel="1" x14ac:dyDescent="0.25">
      <c r="A39" s="50"/>
      <c r="B39" s="11" t="str">
        <f>CONCATENATE("          ", "4137", " - ", "NON-TAXABLE SALES-WATER")</f>
        <v xml:space="preserve">          4137 - NON-TAXABLE SALES-WATER</v>
      </c>
      <c r="C39" s="11"/>
      <c r="D39" s="2">
        <f>--30.52</f>
        <v>30.52</v>
      </c>
      <c r="E39" s="2"/>
      <c r="F39" s="22"/>
      <c r="G39" s="2"/>
      <c r="H39" s="2">
        <f>--35.88</f>
        <v>35.880000000000003</v>
      </c>
      <c r="I39" s="2"/>
      <c r="J39" s="22"/>
      <c r="K39" s="2"/>
      <c r="L39" s="2">
        <f t="shared" si="0"/>
        <v>-5.360000000000003</v>
      </c>
      <c r="M39" s="2"/>
      <c r="N39" s="22">
        <f t="shared" si="1"/>
        <v>-0.14938684503901903</v>
      </c>
      <c r="O39" s="11"/>
      <c r="P39" s="2">
        <f>--30.52</f>
        <v>30.52</v>
      </c>
      <c r="Q39" s="2"/>
      <c r="R39" s="22"/>
      <c r="S39" s="2"/>
      <c r="T39" s="2">
        <f>--35.88</f>
        <v>35.880000000000003</v>
      </c>
      <c r="U39" s="2"/>
      <c r="V39" s="22"/>
      <c r="W39" s="2"/>
      <c r="X39" s="2">
        <f t="shared" si="2"/>
        <v>-5.360000000000003</v>
      </c>
      <c r="Y39" s="2"/>
      <c r="Z39" s="22">
        <f t="shared" si="3"/>
        <v>-0.14938684503901903</v>
      </c>
    </row>
    <row r="40" spans="1:26" s="24" customFormat="1" hidden="1" outlineLevel="1" x14ac:dyDescent="0.25">
      <c r="A40" s="50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>0</f>
        <v>0</v>
      </c>
      <c r="E40" s="2"/>
      <c r="F40" s="22"/>
      <c r="G40" s="2"/>
      <c r="H40" s="2">
        <f>-14.99</f>
        <v>-14.99</v>
      </c>
      <c r="I40" s="2"/>
      <c r="J40" s="22"/>
      <c r="K40" s="2"/>
      <c r="L40" s="2">
        <f t="shared" si="0"/>
        <v>14.99</v>
      </c>
      <c r="M40" s="2"/>
      <c r="N40" s="22">
        <f t="shared" si="1"/>
        <v>-1</v>
      </c>
      <c r="O40" s="11"/>
      <c r="P40" s="2">
        <f>0</f>
        <v>0</v>
      </c>
      <c r="Q40" s="2"/>
      <c r="R40" s="22"/>
      <c r="S40" s="2"/>
      <c r="T40" s="2">
        <f>-14.99</f>
        <v>-14.99</v>
      </c>
      <c r="U40" s="2"/>
      <c r="V40" s="22"/>
      <c r="W40" s="2"/>
      <c r="X40" s="2">
        <f t="shared" si="2"/>
        <v>14.99</v>
      </c>
      <c r="Y40" s="2"/>
      <c r="Z40" s="22">
        <f t="shared" si="3"/>
        <v>-1</v>
      </c>
    </row>
    <row r="41" spans="1:26" s="24" customFormat="1" hidden="1" outlineLevel="1" x14ac:dyDescent="0.25">
      <c r="A41" s="50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>-4.08</f>
        <v>-4.08</v>
      </c>
      <c r="E41" s="2"/>
      <c r="F41" s="22"/>
      <c r="G41" s="2"/>
      <c r="H41" s="2">
        <f>-6.78</f>
        <v>-6.78</v>
      </c>
      <c r="I41" s="2"/>
      <c r="J41" s="22"/>
      <c r="K41" s="2"/>
      <c r="L41" s="2">
        <f t="shared" si="0"/>
        <v>2.7</v>
      </c>
      <c r="M41" s="2"/>
      <c r="N41" s="22">
        <f t="shared" si="1"/>
        <v>-0.39823008849557523</v>
      </c>
      <c r="O41" s="11"/>
      <c r="P41" s="2">
        <f>-4.08</f>
        <v>-4.08</v>
      </c>
      <c r="Q41" s="2"/>
      <c r="R41" s="22"/>
      <c r="S41" s="2"/>
      <c r="T41" s="2">
        <f>-6.78</f>
        <v>-6.78</v>
      </c>
      <c r="U41" s="2"/>
      <c r="V41" s="22"/>
      <c r="W41" s="2"/>
      <c r="X41" s="2">
        <f t="shared" si="2"/>
        <v>2.7</v>
      </c>
      <c r="Y41" s="2"/>
      <c r="Z41" s="22">
        <f t="shared" si="3"/>
        <v>-0.39823008849557523</v>
      </c>
    </row>
    <row r="42" spans="1:26" s="24" customFormat="1" hidden="1" outlineLevel="1" x14ac:dyDescent="0.25">
      <c r="A42" s="50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>-63.93</f>
        <v>-63.93</v>
      </c>
      <c r="E42" s="2"/>
      <c r="F42" s="22"/>
      <c r="G42" s="2"/>
      <c r="H42" s="2">
        <f>-11.17</f>
        <v>-11.17</v>
      </c>
      <c r="I42" s="2"/>
      <c r="J42" s="22"/>
      <c r="K42" s="2"/>
      <c r="L42" s="2">
        <f t="shared" si="0"/>
        <v>-52.76</v>
      </c>
      <c r="M42" s="2"/>
      <c r="N42" s="22">
        <f t="shared" si="1"/>
        <v>4.7233661593554164</v>
      </c>
      <c r="O42" s="11"/>
      <c r="P42" s="2">
        <f>-63.93</f>
        <v>-63.93</v>
      </c>
      <c r="Q42" s="2"/>
      <c r="R42" s="22"/>
      <c r="S42" s="2"/>
      <c r="T42" s="2">
        <f>-11.17</f>
        <v>-11.17</v>
      </c>
      <c r="U42" s="2"/>
      <c r="V42" s="22"/>
      <c r="W42" s="2"/>
      <c r="X42" s="2">
        <f t="shared" si="2"/>
        <v>-52.76</v>
      </c>
      <c r="Y42" s="2"/>
      <c r="Z42" s="22">
        <f t="shared" si="3"/>
        <v>4.7233661593554164</v>
      </c>
    </row>
    <row r="43" spans="1:26" s="24" customFormat="1" hidden="1" outlineLevel="1" x14ac:dyDescent="0.25">
      <c r="A43" s="50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-165.44</f>
        <v>-165.44</v>
      </c>
      <c r="E43" s="2"/>
      <c r="F43" s="22"/>
      <c r="G43" s="2"/>
      <c r="H43" s="2">
        <f>-121.97</f>
        <v>-121.97</v>
      </c>
      <c r="I43" s="2"/>
      <c r="J43" s="22"/>
      <c r="K43" s="2"/>
      <c r="L43" s="2">
        <f t="shared" si="0"/>
        <v>-43.47</v>
      </c>
      <c r="M43" s="2"/>
      <c r="N43" s="22">
        <f t="shared" si="1"/>
        <v>0.35639911453636142</v>
      </c>
      <c r="O43" s="11"/>
      <c r="P43" s="2">
        <f>-165.44</f>
        <v>-165.44</v>
      </c>
      <c r="Q43" s="2"/>
      <c r="R43" s="22"/>
      <c r="S43" s="2"/>
      <c r="T43" s="2">
        <f>-121.97</f>
        <v>-121.97</v>
      </c>
      <c r="U43" s="2"/>
      <c r="V43" s="22"/>
      <c r="W43" s="2"/>
      <c r="X43" s="2">
        <f t="shared" si="2"/>
        <v>-43.47</v>
      </c>
      <c r="Y43" s="2"/>
      <c r="Z43" s="22">
        <f t="shared" si="3"/>
        <v>0.35639911453636142</v>
      </c>
    </row>
    <row r="44" spans="1:26" s="24" customFormat="1" hidden="1" outlineLevel="1" x14ac:dyDescent="0.25">
      <c r="A44" s="50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-10.37</f>
        <v>-10.37</v>
      </c>
      <c r="E44" s="2"/>
      <c r="F44" s="22"/>
      <c r="G44" s="2"/>
      <c r="H44" s="2">
        <f>-149.44</f>
        <v>-149.44</v>
      </c>
      <c r="I44" s="2"/>
      <c r="J44" s="22"/>
      <c r="K44" s="2"/>
      <c r="L44" s="2">
        <f t="shared" si="0"/>
        <v>139.07</v>
      </c>
      <c r="M44" s="2"/>
      <c r="N44" s="22">
        <f t="shared" si="1"/>
        <v>-0.93060760171306212</v>
      </c>
      <c r="O44" s="11"/>
      <c r="P44" s="2">
        <f>-10.37</f>
        <v>-10.37</v>
      </c>
      <c r="Q44" s="2"/>
      <c r="R44" s="22"/>
      <c r="S44" s="2"/>
      <c r="T44" s="2">
        <f>-149.44</f>
        <v>-149.44</v>
      </c>
      <c r="U44" s="2"/>
      <c r="V44" s="22"/>
      <c r="W44" s="2"/>
      <c r="X44" s="2">
        <f t="shared" si="2"/>
        <v>139.07</v>
      </c>
      <c r="Y44" s="2"/>
      <c r="Z44" s="22">
        <f t="shared" si="3"/>
        <v>-0.93060760171306212</v>
      </c>
    </row>
    <row r="45" spans="1:26" s="24" customFormat="1" hidden="1" outlineLevel="1" x14ac:dyDescent="0.25">
      <c r="A45" s="50"/>
      <c r="B45" s="11" t="str">
        <f>CONCATENATE("          ", "4326", " - ", "SALES RETURN NON TAXABLE-WRITI")</f>
        <v xml:space="preserve">          4326 - SALES RETURN NON TAXABLE-WRITI</v>
      </c>
      <c r="C45" s="11"/>
      <c r="D45" s="2">
        <f>0</f>
        <v>0</v>
      </c>
      <c r="E45" s="2"/>
      <c r="F45" s="22"/>
      <c r="G45" s="2"/>
      <c r="H45" s="2">
        <f>-2.29</f>
        <v>-2.29</v>
      </c>
      <c r="I45" s="2"/>
      <c r="J45" s="22"/>
      <c r="K45" s="2"/>
      <c r="L45" s="2">
        <f t="shared" si="0"/>
        <v>2.29</v>
      </c>
      <c r="M45" s="2"/>
      <c r="N45" s="22">
        <f t="shared" si="1"/>
        <v>-1</v>
      </c>
      <c r="O45" s="11"/>
      <c r="P45" s="2">
        <f>0</f>
        <v>0</v>
      </c>
      <c r="Q45" s="2"/>
      <c r="R45" s="22"/>
      <c r="S45" s="2"/>
      <c r="T45" s="2">
        <f>-2.29</f>
        <v>-2.29</v>
      </c>
      <c r="U45" s="2"/>
      <c r="V45" s="22"/>
      <c r="W45" s="2"/>
      <c r="X45" s="2">
        <f t="shared" si="2"/>
        <v>2.29</v>
      </c>
      <c r="Y45" s="2"/>
      <c r="Z45" s="22">
        <f t="shared" si="3"/>
        <v>-1</v>
      </c>
    </row>
    <row r="46" spans="1:26" x14ac:dyDescent="0.25">
      <c r="A46" s="9"/>
      <c r="B46" s="10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collapsed="1" x14ac:dyDescent="0.25">
      <c r="A47" s="10"/>
      <c r="B47" s="26" t="s">
        <v>8</v>
      </c>
      <c r="C47" s="10"/>
      <c r="D47" s="4">
        <f>SUM(OSRRefD16x_0)</f>
        <v>9513.5799999999927</v>
      </c>
      <c r="E47" s="4"/>
      <c r="F47" s="12">
        <f t="shared" ref="F47:F62" si="4">IF(D$12=0,0,D47/D$12)</f>
        <v>0.50688323908106914</v>
      </c>
      <c r="G47" s="4"/>
      <c r="H47" s="4">
        <f>SUM(OSRRefH16x_0)</f>
        <v>9209.0800000000145</v>
      </c>
      <c r="I47" s="4"/>
      <c r="J47" s="12">
        <f t="shared" ref="J47:J62" si="5">IF(H$12=0,0,H47/H$12)</f>
        <v>0.51136243115213598</v>
      </c>
      <c r="K47" s="4"/>
      <c r="L47" s="4">
        <f t="shared" ref="L47:L62" si="6">+D47-H47</f>
        <v>304.49999999997817</v>
      </c>
      <c r="M47" s="4"/>
      <c r="N47" s="12">
        <f t="shared" ref="N47:N62" si="7">IF(H47=0,0,L47/H47)</f>
        <v>3.3065192179889596E-2</v>
      </c>
      <c r="O47" s="10"/>
      <c r="P47" s="4">
        <f>SUM(OSRRefP16x_0)</f>
        <v>9513.5799999999927</v>
      </c>
      <c r="Q47" s="4"/>
      <c r="R47" s="12">
        <f t="shared" ref="R47:R62" si="8">IF(P$12=0,0,P47/P$12)</f>
        <v>0.50688323908106914</v>
      </c>
      <c r="S47" s="4"/>
      <c r="T47" s="4">
        <f>SUM(OSRRefT16x_0)</f>
        <v>9209.0800000000145</v>
      </c>
      <c r="U47" s="4"/>
      <c r="V47" s="12">
        <f t="shared" ref="V47:V62" si="9">IF(T$12=0,0,T47/T$12)</f>
        <v>0.51136243115213598</v>
      </c>
      <c r="W47" s="4"/>
      <c r="X47" s="4">
        <f t="shared" ref="X47:X62" si="10">+P47-T47</f>
        <v>304.49999999997817</v>
      </c>
      <c r="Y47" s="4"/>
      <c r="Z47" s="12">
        <f t="shared" ref="Z47:Z62" si="11">IF(T47=0,0,X47/T47)</f>
        <v>3.3065192179889596E-2</v>
      </c>
    </row>
    <row r="48" spans="1:26" s="24" customFormat="1" hidden="1" outlineLevel="1" x14ac:dyDescent="0.25">
      <c r="A48" s="50"/>
      <c r="B48" s="11" t="str">
        <f>CONCATENATE("          ", "5025", " - ", "PURCHASES @ COST-TEST FORMS")</f>
        <v xml:space="preserve">          5025 - PURCHASES @ COST-TEST FORMS</v>
      </c>
      <c r="C48" s="11"/>
      <c r="D48" s="2">
        <v>879.12</v>
      </c>
      <c r="E48" s="2"/>
      <c r="F48" s="22">
        <f t="shared" si="4"/>
        <v>4.6839485571251817E-2</v>
      </c>
      <c r="G48" s="2"/>
      <c r="H48" s="2">
        <v>1035</v>
      </c>
      <c r="I48" s="2"/>
      <c r="J48" s="22">
        <f t="shared" si="5"/>
        <v>5.7471551581966915E-2</v>
      </c>
      <c r="K48" s="2"/>
      <c r="L48" s="2">
        <f t="shared" si="6"/>
        <v>-155.88</v>
      </c>
      <c r="M48" s="2"/>
      <c r="N48" s="22">
        <f t="shared" si="7"/>
        <v>-0.15060869565217391</v>
      </c>
      <c r="O48" s="11"/>
      <c r="P48" s="2">
        <v>879.12</v>
      </c>
      <c r="Q48" s="2"/>
      <c r="R48" s="22">
        <f t="shared" si="8"/>
        <v>4.6839485571251817E-2</v>
      </c>
      <c r="S48" s="2"/>
      <c r="T48" s="2">
        <v>1035</v>
      </c>
      <c r="U48" s="2"/>
      <c r="V48" s="22">
        <f t="shared" si="9"/>
        <v>5.7471551581966915E-2</v>
      </c>
      <c r="W48" s="2"/>
      <c r="X48" s="2">
        <f t="shared" si="10"/>
        <v>-155.88</v>
      </c>
      <c r="Y48" s="2"/>
      <c r="Z48" s="22">
        <f t="shared" si="11"/>
        <v>-0.15060869565217391</v>
      </c>
    </row>
    <row r="49" spans="1:26" s="24" customFormat="1" hidden="1" outlineLevel="1" x14ac:dyDescent="0.25">
      <c r="A49" s="50"/>
      <c r="B49" s="11" t="str">
        <f>CONCATENATE("          ", "5026", " - ", "PURCHASES @ COST-WRITING INSTR")</f>
        <v xml:space="preserve">          5026 - PURCHASES @ COST-WRITING INSTR</v>
      </c>
      <c r="C49" s="11"/>
      <c r="D49" s="2">
        <v>10405.76</v>
      </c>
      <c r="E49" s="2"/>
      <c r="F49" s="22">
        <f t="shared" si="4"/>
        <v>0.5544185610359329</v>
      </c>
      <c r="G49" s="2"/>
      <c r="H49" s="2">
        <v>21019.63</v>
      </c>
      <c r="I49" s="2"/>
      <c r="J49" s="22">
        <f t="shared" si="5"/>
        <v>1.1671794683853713</v>
      </c>
      <c r="K49" s="2"/>
      <c r="L49" s="2">
        <f t="shared" si="6"/>
        <v>-10613.87</v>
      </c>
      <c r="M49" s="2"/>
      <c r="N49" s="22">
        <f t="shared" si="7"/>
        <v>-0.50495037258029762</v>
      </c>
      <c r="O49" s="11"/>
      <c r="P49" s="2">
        <v>10405.76</v>
      </c>
      <c r="Q49" s="2"/>
      <c r="R49" s="22">
        <f t="shared" si="8"/>
        <v>0.5544185610359329</v>
      </c>
      <c r="S49" s="2"/>
      <c r="T49" s="2">
        <v>21019.63</v>
      </c>
      <c r="U49" s="2"/>
      <c r="V49" s="22">
        <f t="shared" si="9"/>
        <v>1.1671794683853713</v>
      </c>
      <c r="W49" s="2"/>
      <c r="X49" s="2">
        <f t="shared" si="10"/>
        <v>-10613.87</v>
      </c>
      <c r="Y49" s="2"/>
      <c r="Z49" s="22">
        <f t="shared" si="11"/>
        <v>-0.50495037258029762</v>
      </c>
    </row>
    <row r="50" spans="1:26" s="24" customFormat="1" hidden="1" outlineLevel="1" x14ac:dyDescent="0.25">
      <c r="A50" s="50"/>
      <c r="B50" s="11" t="str">
        <f>CONCATENATE("          ", "5027", " - ", "PURCHASES @ COST-SCHOOL SUPPLI")</f>
        <v xml:space="preserve">          5027 - PURCHASES @ COST-SCHOOL SUPPLI</v>
      </c>
      <c r="C50" s="11"/>
      <c r="D50" s="2">
        <v>50114.15</v>
      </c>
      <c r="E50" s="2"/>
      <c r="F50" s="22">
        <f t="shared" si="4"/>
        <v>2.6700803142239393</v>
      </c>
      <c r="G50" s="2"/>
      <c r="H50" s="2">
        <v>54744.259999999995</v>
      </c>
      <c r="I50" s="2"/>
      <c r="J50" s="22">
        <f t="shared" si="5"/>
        <v>3.0398430554653215</v>
      </c>
      <c r="K50" s="2"/>
      <c r="L50" s="2">
        <f t="shared" si="6"/>
        <v>-4630.1099999999933</v>
      </c>
      <c r="M50" s="2"/>
      <c r="N50" s="22">
        <f t="shared" si="7"/>
        <v>-8.4577086255252953E-2</v>
      </c>
      <c r="O50" s="11"/>
      <c r="P50" s="2">
        <v>50114.15</v>
      </c>
      <c r="Q50" s="2"/>
      <c r="R50" s="22">
        <f t="shared" si="8"/>
        <v>2.6700803142239393</v>
      </c>
      <c r="S50" s="2"/>
      <c r="T50" s="2">
        <v>54744.259999999995</v>
      </c>
      <c r="U50" s="2"/>
      <c r="V50" s="22">
        <f t="shared" si="9"/>
        <v>3.0398430554653215</v>
      </c>
      <c r="W50" s="2"/>
      <c r="X50" s="2">
        <f t="shared" si="10"/>
        <v>-4630.1099999999933</v>
      </c>
      <c r="Y50" s="2"/>
      <c r="Z50" s="22">
        <f t="shared" si="11"/>
        <v>-8.4577086255252953E-2</v>
      </c>
    </row>
    <row r="51" spans="1:26" s="24" customFormat="1" hidden="1" outlineLevel="1" x14ac:dyDescent="0.25">
      <c r="A51" s="50"/>
      <c r="B51" s="11" t="str">
        <f>CONCATENATE("          ", "5028", " - ", "PURCHASES @ COST-ART/TECH")</f>
        <v xml:space="preserve">          5028 - PURCHASES @ COST-ART/TECH</v>
      </c>
      <c r="C51" s="11"/>
      <c r="D51" s="2">
        <v>28027.649999999998</v>
      </c>
      <c r="E51" s="2"/>
      <c r="F51" s="22">
        <f t="shared" si="4"/>
        <v>1.49331229840192</v>
      </c>
      <c r="G51" s="2"/>
      <c r="H51" s="2">
        <v>26024.080000000002</v>
      </c>
      <c r="I51" s="2"/>
      <c r="J51" s="22">
        <f t="shared" si="5"/>
        <v>1.4450669140997427</v>
      </c>
      <c r="K51" s="2"/>
      <c r="L51" s="2">
        <f t="shared" si="6"/>
        <v>2003.5699999999961</v>
      </c>
      <c r="M51" s="2"/>
      <c r="N51" s="22">
        <f t="shared" si="7"/>
        <v>7.6989080882013727E-2</v>
      </c>
      <c r="O51" s="11"/>
      <c r="P51" s="2">
        <v>28027.649999999998</v>
      </c>
      <c r="Q51" s="2"/>
      <c r="R51" s="22">
        <f t="shared" si="8"/>
        <v>1.49331229840192</v>
      </c>
      <c r="S51" s="2"/>
      <c r="T51" s="2">
        <v>26024.080000000002</v>
      </c>
      <c r="U51" s="2"/>
      <c r="V51" s="22">
        <f t="shared" si="9"/>
        <v>1.4450669140997427</v>
      </c>
      <c r="W51" s="2"/>
      <c r="X51" s="2">
        <f t="shared" si="10"/>
        <v>2003.5699999999961</v>
      </c>
      <c r="Y51" s="2"/>
      <c r="Z51" s="22">
        <f t="shared" si="11"/>
        <v>7.6989080882013727E-2</v>
      </c>
    </row>
    <row r="52" spans="1:26" s="24" customFormat="1" hidden="1" outlineLevel="1" x14ac:dyDescent="0.25">
      <c r="A52" s="50"/>
      <c r="B52" s="11" t="str">
        <f>CONCATENATE("          ", "5031", " - ", "PURCHASES @ COST-FOOD")</f>
        <v xml:space="preserve">          5031 - PURCHASES @ COST-FOOD</v>
      </c>
      <c r="C52" s="11"/>
      <c r="D52" s="2"/>
      <c r="E52" s="2"/>
      <c r="F52" s="22">
        <f t="shared" si="4"/>
        <v>0</v>
      </c>
      <c r="G52" s="2"/>
      <c r="H52" s="2">
        <v>89.16</v>
      </c>
      <c r="I52" s="2"/>
      <c r="J52" s="22">
        <f t="shared" si="5"/>
        <v>4.9508826464233525E-3</v>
      </c>
      <c r="K52" s="2"/>
      <c r="L52" s="2">
        <f t="shared" si="6"/>
        <v>-89.16</v>
      </c>
      <c r="M52" s="2"/>
      <c r="N52" s="22">
        <f t="shared" si="7"/>
        <v>-1</v>
      </c>
      <c r="O52" s="11"/>
      <c r="P52" s="2"/>
      <c r="Q52" s="2"/>
      <c r="R52" s="22">
        <f t="shared" si="8"/>
        <v>0</v>
      </c>
      <c r="S52" s="2"/>
      <c r="T52" s="2">
        <v>89.16</v>
      </c>
      <c r="U52" s="2"/>
      <c r="V52" s="22">
        <f t="shared" si="9"/>
        <v>4.9508826464233525E-3</v>
      </c>
      <c r="W52" s="2"/>
      <c r="X52" s="2">
        <f t="shared" si="10"/>
        <v>-89.16</v>
      </c>
      <c r="Y52" s="2"/>
      <c r="Z52" s="22">
        <f t="shared" si="11"/>
        <v>-1</v>
      </c>
    </row>
    <row r="53" spans="1:26" s="24" customFormat="1" hidden="1" outlineLevel="1" x14ac:dyDescent="0.25">
      <c r="A53" s="50"/>
      <c r="B53" s="11" t="str">
        <f>CONCATENATE("          ", "5032", " - ", "PURCHASES @ COST-JUICE")</f>
        <v xml:space="preserve">          5032 - PURCHASES @ COST-JUICE</v>
      </c>
      <c r="C53" s="11"/>
      <c r="D53" s="2">
        <v>114.42</v>
      </c>
      <c r="E53" s="2"/>
      <c r="F53" s="22">
        <f t="shared" si="4"/>
        <v>6.0962939519776972E-3</v>
      </c>
      <c r="G53" s="2"/>
      <c r="H53" s="2"/>
      <c r="I53" s="2"/>
      <c r="J53" s="22">
        <f t="shared" si="5"/>
        <v>0</v>
      </c>
      <c r="K53" s="2"/>
      <c r="L53" s="2">
        <f t="shared" si="6"/>
        <v>114.42</v>
      </c>
      <c r="M53" s="2"/>
      <c r="N53" s="22">
        <f t="shared" si="7"/>
        <v>0</v>
      </c>
      <c r="O53" s="11"/>
      <c r="P53" s="2">
        <v>114.42</v>
      </c>
      <c r="Q53" s="2"/>
      <c r="R53" s="22">
        <f t="shared" si="8"/>
        <v>6.0962939519776972E-3</v>
      </c>
      <c r="S53" s="2"/>
      <c r="T53" s="2"/>
      <c r="U53" s="2"/>
      <c r="V53" s="22">
        <f t="shared" si="9"/>
        <v>0</v>
      </c>
      <c r="W53" s="2"/>
      <c r="X53" s="2">
        <f t="shared" si="10"/>
        <v>114.42</v>
      </c>
      <c r="Y53" s="2"/>
      <c r="Z53" s="22">
        <f t="shared" si="11"/>
        <v>0</v>
      </c>
    </row>
    <row r="54" spans="1:26" s="24" customFormat="1" hidden="1" outlineLevel="1" x14ac:dyDescent="0.25">
      <c r="A54" s="50"/>
      <c r="B54" s="11" t="str">
        <f>CONCATENATE("          ", "5033", " - ", "PURCHASES @ COST-CANDY")</f>
        <v xml:space="preserve">          5033 - PURCHASES @ COST-CANDY</v>
      </c>
      <c r="C54" s="11"/>
      <c r="D54" s="2"/>
      <c r="E54" s="2"/>
      <c r="F54" s="22">
        <f t="shared" si="4"/>
        <v>0</v>
      </c>
      <c r="G54" s="2"/>
      <c r="H54" s="2">
        <v>162.99</v>
      </c>
      <c r="I54" s="2"/>
      <c r="J54" s="22">
        <f t="shared" si="5"/>
        <v>9.0505199926036606E-3</v>
      </c>
      <c r="K54" s="2"/>
      <c r="L54" s="2">
        <f t="shared" si="6"/>
        <v>-162.99</v>
      </c>
      <c r="M54" s="2"/>
      <c r="N54" s="22">
        <f t="shared" si="7"/>
        <v>-1</v>
      </c>
      <c r="O54" s="11"/>
      <c r="P54" s="2"/>
      <c r="Q54" s="2"/>
      <c r="R54" s="22">
        <f t="shared" si="8"/>
        <v>0</v>
      </c>
      <c r="S54" s="2"/>
      <c r="T54" s="2">
        <v>162.99</v>
      </c>
      <c r="U54" s="2"/>
      <c r="V54" s="22">
        <f t="shared" si="9"/>
        <v>9.0505199926036606E-3</v>
      </c>
      <c r="W54" s="2"/>
      <c r="X54" s="2">
        <f t="shared" si="10"/>
        <v>-162.99</v>
      </c>
      <c r="Y54" s="2"/>
      <c r="Z54" s="22">
        <f t="shared" si="11"/>
        <v>-1</v>
      </c>
    </row>
    <row r="55" spans="1:26" s="24" customFormat="1" hidden="1" outlineLevel="1" x14ac:dyDescent="0.25">
      <c r="A55" s="50"/>
      <c r="B55" s="11" t="str">
        <f>CONCATENATE("          ", "5034", " - ", "PURCHASES @ COST-SODA")</f>
        <v xml:space="preserve">          5034 - PURCHASES @ COST-SODA</v>
      </c>
      <c r="C55" s="11"/>
      <c r="D55" s="2">
        <v>-61.54</v>
      </c>
      <c r="E55" s="2"/>
      <c r="F55" s="22">
        <f t="shared" si="4"/>
        <v>-3.2788492379366148E-3</v>
      </c>
      <c r="G55" s="2"/>
      <c r="H55" s="2">
        <v>9.24</v>
      </c>
      <c r="I55" s="2"/>
      <c r="J55" s="22">
        <f t="shared" si="5"/>
        <v>5.1307935905060321E-4</v>
      </c>
      <c r="K55" s="2"/>
      <c r="L55" s="2">
        <f t="shared" si="6"/>
        <v>-70.78</v>
      </c>
      <c r="M55" s="2"/>
      <c r="N55" s="22">
        <f t="shared" si="7"/>
        <v>-7.6601731601731604</v>
      </c>
      <c r="O55" s="11"/>
      <c r="P55" s="2">
        <v>-61.54</v>
      </c>
      <c r="Q55" s="2"/>
      <c r="R55" s="22">
        <f t="shared" si="8"/>
        <v>-3.2788492379366148E-3</v>
      </c>
      <c r="S55" s="2"/>
      <c r="T55" s="2">
        <v>9.24</v>
      </c>
      <c r="U55" s="2"/>
      <c r="V55" s="22">
        <f t="shared" si="9"/>
        <v>5.1307935905060321E-4</v>
      </c>
      <c r="W55" s="2"/>
      <c r="X55" s="2">
        <f t="shared" si="10"/>
        <v>-70.78</v>
      </c>
      <c r="Y55" s="2"/>
      <c r="Z55" s="22">
        <f t="shared" si="11"/>
        <v>-7.6601731601731604</v>
      </c>
    </row>
    <row r="56" spans="1:26" s="24" customFormat="1" hidden="1" outlineLevel="1" x14ac:dyDescent="0.25">
      <c r="A56" s="50"/>
      <c r="B56" s="11" t="str">
        <f>CONCATENATE("          ", "5037", " - ", "PURCHASES @ COST-WATER")</f>
        <v xml:space="preserve">          5037 - PURCHASES @ COST-WATER</v>
      </c>
      <c r="C56" s="11"/>
      <c r="D56" s="2">
        <v>16.54</v>
      </c>
      <c r="E56" s="2"/>
      <c r="F56" s="22">
        <f t="shared" si="4"/>
        <v>8.8125067265959717E-4</v>
      </c>
      <c r="G56" s="2"/>
      <c r="H56" s="2"/>
      <c r="I56" s="2"/>
      <c r="J56" s="22">
        <f t="shared" si="5"/>
        <v>0</v>
      </c>
      <c r="K56" s="2"/>
      <c r="L56" s="2">
        <f t="shared" si="6"/>
        <v>16.54</v>
      </c>
      <c r="M56" s="2"/>
      <c r="N56" s="22">
        <f t="shared" si="7"/>
        <v>0</v>
      </c>
      <c r="O56" s="11"/>
      <c r="P56" s="2">
        <v>16.54</v>
      </c>
      <c r="Q56" s="2"/>
      <c r="R56" s="22">
        <f t="shared" si="8"/>
        <v>8.8125067265959717E-4</v>
      </c>
      <c r="S56" s="2"/>
      <c r="T56" s="2"/>
      <c r="U56" s="2"/>
      <c r="V56" s="22">
        <f t="shared" si="9"/>
        <v>0</v>
      </c>
      <c r="W56" s="2"/>
      <c r="X56" s="2">
        <f t="shared" si="10"/>
        <v>16.54</v>
      </c>
      <c r="Y56" s="2"/>
      <c r="Z56" s="22">
        <f t="shared" si="11"/>
        <v>0</v>
      </c>
    </row>
    <row r="57" spans="1:26" s="24" customFormat="1" hidden="1" outlineLevel="1" x14ac:dyDescent="0.25">
      <c r="A57" s="50"/>
      <c r="B57" s="11" t="str">
        <f>CONCATENATE("          ", "5200", " - ", "PURCHASES OFFSET")</f>
        <v xml:space="preserve">          5200 - PURCHASES OFFSET</v>
      </c>
      <c r="C57" s="11"/>
      <c r="D57" s="2">
        <v>-89829</v>
      </c>
      <c r="E57" s="2"/>
      <c r="F57" s="22">
        <f t="shared" si="4"/>
        <v>-4.7860862560059827</v>
      </c>
      <c r="G57" s="2"/>
      <c r="H57" s="2">
        <v>-103545</v>
      </c>
      <c r="I57" s="2"/>
      <c r="J57" s="22">
        <f t="shared" si="5"/>
        <v>-5.7496539213089513</v>
      </c>
      <c r="K57" s="2"/>
      <c r="L57" s="2">
        <f t="shared" si="6"/>
        <v>13716</v>
      </c>
      <c r="M57" s="2"/>
      <c r="N57" s="22">
        <f t="shared" si="7"/>
        <v>-0.13246414602346807</v>
      </c>
      <c r="O57" s="11"/>
      <c r="P57" s="2">
        <v>-89829</v>
      </c>
      <c r="Q57" s="2"/>
      <c r="R57" s="22">
        <f t="shared" si="8"/>
        <v>-4.7860862560059827</v>
      </c>
      <c r="S57" s="2"/>
      <c r="T57" s="2">
        <v>-103545</v>
      </c>
      <c r="U57" s="2"/>
      <c r="V57" s="22">
        <f t="shared" si="9"/>
        <v>-5.7496539213089513</v>
      </c>
      <c r="W57" s="2"/>
      <c r="X57" s="2">
        <f t="shared" si="10"/>
        <v>13716</v>
      </c>
      <c r="Y57" s="2"/>
      <c r="Z57" s="22">
        <f t="shared" si="11"/>
        <v>-0.13246414602346807</v>
      </c>
    </row>
    <row r="58" spans="1:26" s="24" customFormat="1" hidden="1" outlineLevel="1" x14ac:dyDescent="0.25">
      <c r="A58" s="50"/>
      <c r="B58" s="11" t="str">
        <f>CONCATENATE("          ", "5300", " - ", "COG$ OFFSET")</f>
        <v xml:space="preserve">          5300 - COG$ OFFSET</v>
      </c>
      <c r="C58" s="11"/>
      <c r="D58" s="2">
        <v>9464</v>
      </c>
      <c r="E58" s="2"/>
      <c r="F58" s="22">
        <f t="shared" si="4"/>
        <v>0.50424161826181546</v>
      </c>
      <c r="G58" s="2"/>
      <c r="H58" s="2">
        <v>9209</v>
      </c>
      <c r="I58" s="2"/>
      <c r="J58" s="22">
        <f t="shared" si="5"/>
        <v>0.51135798890660222</v>
      </c>
      <c r="K58" s="2"/>
      <c r="L58" s="2">
        <f t="shared" si="6"/>
        <v>255</v>
      </c>
      <c r="M58" s="2"/>
      <c r="N58" s="22">
        <f t="shared" si="7"/>
        <v>2.7690302964491258E-2</v>
      </c>
      <c r="O58" s="11"/>
      <c r="P58" s="2">
        <v>9464</v>
      </c>
      <c r="Q58" s="2"/>
      <c r="R58" s="22">
        <f t="shared" si="8"/>
        <v>0.50424161826181546</v>
      </c>
      <c r="S58" s="2"/>
      <c r="T58" s="2">
        <v>9209</v>
      </c>
      <c r="U58" s="2"/>
      <c r="V58" s="22">
        <f t="shared" si="9"/>
        <v>0.51135798890660222</v>
      </c>
      <c r="W58" s="2"/>
      <c r="X58" s="2">
        <f t="shared" si="10"/>
        <v>255</v>
      </c>
      <c r="Y58" s="2"/>
      <c r="Z58" s="22">
        <f t="shared" si="11"/>
        <v>2.7690302964491258E-2</v>
      </c>
    </row>
    <row r="59" spans="1:26" s="24" customFormat="1" hidden="1" outlineLevel="1" x14ac:dyDescent="0.25">
      <c r="A59" s="50"/>
      <c r="B59" s="11" t="str">
        <f>CONCATENATE("          ", "5500", " - ", "FREIGHT-IN")</f>
        <v xml:space="preserve">          5500 - FREIGHT-IN</v>
      </c>
      <c r="C59" s="11"/>
      <c r="D59" s="2">
        <v>49</v>
      </c>
      <c r="E59" s="2"/>
      <c r="F59" s="22">
        <f t="shared" si="4"/>
        <v>2.6107184377460861E-3</v>
      </c>
      <c r="G59" s="2"/>
      <c r="H59" s="2"/>
      <c r="I59" s="2"/>
      <c r="J59" s="22">
        <f t="shared" si="5"/>
        <v>0</v>
      </c>
      <c r="K59" s="2"/>
      <c r="L59" s="2">
        <f t="shared" si="6"/>
        <v>49</v>
      </c>
      <c r="M59" s="2"/>
      <c r="N59" s="22">
        <f t="shared" si="7"/>
        <v>0</v>
      </c>
      <c r="O59" s="11"/>
      <c r="P59" s="2">
        <v>49</v>
      </c>
      <c r="Q59" s="2"/>
      <c r="R59" s="22">
        <f t="shared" si="8"/>
        <v>2.6107184377460861E-3</v>
      </c>
      <c r="S59" s="2"/>
      <c r="T59" s="2"/>
      <c r="U59" s="2"/>
      <c r="V59" s="22">
        <f t="shared" si="9"/>
        <v>0</v>
      </c>
      <c r="W59" s="2"/>
      <c r="X59" s="2">
        <f t="shared" si="10"/>
        <v>49</v>
      </c>
      <c r="Y59" s="2"/>
      <c r="Z59" s="22">
        <f t="shared" si="11"/>
        <v>0</v>
      </c>
    </row>
    <row r="60" spans="1:26" s="24" customFormat="1" hidden="1" outlineLevel="1" x14ac:dyDescent="0.25">
      <c r="A60" s="50"/>
      <c r="B60" s="11" t="str">
        <f>CONCATENATE("          ", "5526", " - ", "FREIGHT-IN-WRITING INSTRUMENTS")</f>
        <v xml:space="preserve">          5526 - FREIGHT-IN-WRITING INSTRUMENTS</v>
      </c>
      <c r="C60" s="11"/>
      <c r="D60" s="2">
        <v>39.11</v>
      </c>
      <c r="E60" s="2"/>
      <c r="F60" s="22">
        <f t="shared" si="4"/>
        <v>2.0837795530663145E-3</v>
      </c>
      <c r="G60" s="2"/>
      <c r="H60" s="2">
        <v>34.159999999999997</v>
      </c>
      <c r="I60" s="2"/>
      <c r="J60" s="22">
        <f t="shared" si="5"/>
        <v>1.8968388425507146E-3</v>
      </c>
      <c r="K60" s="2"/>
      <c r="L60" s="2">
        <f t="shared" si="6"/>
        <v>4.9500000000000028</v>
      </c>
      <c r="M60" s="2"/>
      <c r="N60" s="22">
        <f t="shared" si="7"/>
        <v>0.14490632318501181</v>
      </c>
      <c r="O60" s="11"/>
      <c r="P60" s="2">
        <v>39.11</v>
      </c>
      <c r="Q60" s="2"/>
      <c r="R60" s="22">
        <f t="shared" si="8"/>
        <v>2.0837795530663145E-3</v>
      </c>
      <c r="S60" s="2"/>
      <c r="T60" s="2">
        <v>34.159999999999997</v>
      </c>
      <c r="U60" s="2"/>
      <c r="V60" s="22">
        <f t="shared" si="9"/>
        <v>1.8968388425507146E-3</v>
      </c>
      <c r="W60" s="2"/>
      <c r="X60" s="2">
        <f t="shared" si="10"/>
        <v>4.9500000000000028</v>
      </c>
      <c r="Y60" s="2"/>
      <c r="Z60" s="22">
        <f t="shared" si="11"/>
        <v>0.14490632318501181</v>
      </c>
    </row>
    <row r="61" spans="1:26" s="24" customFormat="1" hidden="1" outlineLevel="1" x14ac:dyDescent="0.25">
      <c r="A61" s="50"/>
      <c r="B61" s="11" t="str">
        <f>CONCATENATE("          ", "5527", " - ", "FREIGHT-IN-SCHOOL SUPPLIES")</f>
        <v xml:space="preserve">          5527 - FREIGHT-IN-SCHOOL SUPPLIES</v>
      </c>
      <c r="C61" s="11"/>
      <c r="D61" s="2">
        <v>250.02</v>
      </c>
      <c r="E61" s="2"/>
      <c r="F61" s="22">
        <f t="shared" si="4"/>
        <v>1.3321057628679111E-2</v>
      </c>
      <c r="G61" s="2"/>
      <c r="H61" s="2">
        <v>280.67</v>
      </c>
      <c r="I61" s="2"/>
      <c r="J61" s="22">
        <f t="shared" si="5"/>
        <v>1.5585063171507879E-2</v>
      </c>
      <c r="K61" s="2"/>
      <c r="L61" s="2">
        <f t="shared" si="6"/>
        <v>-30.650000000000006</v>
      </c>
      <c r="M61" s="2"/>
      <c r="N61" s="22">
        <f t="shared" si="7"/>
        <v>-0.10920297858695266</v>
      </c>
      <c r="O61" s="11"/>
      <c r="P61" s="2">
        <v>250.02</v>
      </c>
      <c r="Q61" s="2"/>
      <c r="R61" s="22">
        <f t="shared" si="8"/>
        <v>1.3321057628679111E-2</v>
      </c>
      <c r="S61" s="2"/>
      <c r="T61" s="2">
        <v>280.67</v>
      </c>
      <c r="U61" s="2"/>
      <c r="V61" s="22">
        <f t="shared" si="9"/>
        <v>1.5585063171507879E-2</v>
      </c>
      <c r="W61" s="2"/>
      <c r="X61" s="2">
        <f t="shared" si="10"/>
        <v>-30.650000000000006</v>
      </c>
      <c r="Y61" s="2"/>
      <c r="Z61" s="22">
        <f t="shared" si="11"/>
        <v>-0.10920297858695266</v>
      </c>
    </row>
    <row r="62" spans="1:26" s="24" customFormat="1" hidden="1" outlineLevel="1" x14ac:dyDescent="0.25">
      <c r="A62" s="50"/>
      <c r="B62" s="11" t="str">
        <f>CONCATENATE("          ", "5528", " - ", "FREIGHT-IN-ART/TECH")</f>
        <v xml:space="preserve">          5528 - FREIGHT-IN-ART/TECH</v>
      </c>
      <c r="C62" s="11"/>
      <c r="D62" s="2">
        <v>44.35</v>
      </c>
      <c r="E62" s="2"/>
      <c r="F62" s="22">
        <f t="shared" si="4"/>
        <v>2.3629665860007941E-3</v>
      </c>
      <c r="G62" s="2"/>
      <c r="H62" s="2">
        <v>145.88999999999999</v>
      </c>
      <c r="I62" s="2"/>
      <c r="J62" s="22">
        <f t="shared" si="5"/>
        <v>8.1009900099450749E-3</v>
      </c>
      <c r="K62" s="2"/>
      <c r="L62" s="2">
        <f t="shared" si="6"/>
        <v>-101.53999999999999</v>
      </c>
      <c r="M62" s="2"/>
      <c r="N62" s="22">
        <f t="shared" si="7"/>
        <v>-0.69600383850846526</v>
      </c>
      <c r="O62" s="11"/>
      <c r="P62" s="2">
        <v>44.35</v>
      </c>
      <c r="Q62" s="2"/>
      <c r="R62" s="22">
        <f t="shared" si="8"/>
        <v>2.3629665860007941E-3</v>
      </c>
      <c r="S62" s="2"/>
      <c r="T62" s="2">
        <v>145.88999999999999</v>
      </c>
      <c r="U62" s="2"/>
      <c r="V62" s="22">
        <f t="shared" si="9"/>
        <v>8.1009900099450749E-3</v>
      </c>
      <c r="W62" s="2"/>
      <c r="X62" s="2">
        <f t="shared" si="10"/>
        <v>-101.53999999999999</v>
      </c>
      <c r="Y62" s="2"/>
      <c r="Z62" s="22">
        <f t="shared" si="11"/>
        <v>-0.69600383850846526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5" t="s">
        <v>6</v>
      </c>
      <c r="C64" s="25"/>
      <c r="D64" s="21">
        <f>D12-D47</f>
        <v>9255.2000000000135</v>
      </c>
      <c r="E64" s="13"/>
      <c r="F64" s="20">
        <f>IF(D$12=0,0,D64/D$12)</f>
        <v>0.49311676091893081</v>
      </c>
      <c r="G64" s="13"/>
      <c r="H64" s="21">
        <f>H12-H47</f>
        <v>8799.829999999989</v>
      </c>
      <c r="I64" s="13"/>
      <c r="J64" s="20">
        <f>IF(H$12=0,0,H64/H$12)</f>
        <v>0.48863756884786402</v>
      </c>
      <c r="K64" s="16"/>
      <c r="L64" s="21">
        <f>+D64-H64</f>
        <v>455.37000000002445</v>
      </c>
      <c r="M64" s="16"/>
      <c r="N64" s="20">
        <f>IF(H64=0,0,L64/H64)</f>
        <v>5.1747590578457202E-2</v>
      </c>
      <c r="O64" s="26"/>
      <c r="P64" s="21">
        <f>P12-P47</f>
        <v>9255.2000000000135</v>
      </c>
      <c r="Q64" s="13"/>
      <c r="R64" s="20">
        <f>IF(P$12=0,0,P64/P$12)</f>
        <v>0.49311676091893081</v>
      </c>
      <c r="S64" s="13"/>
      <c r="T64" s="21">
        <f>T12-T47</f>
        <v>8799.829999999989</v>
      </c>
      <c r="U64" s="13"/>
      <c r="V64" s="20">
        <f>IF(T$12=0,0,T64/T$12)</f>
        <v>0.48863756884786402</v>
      </c>
      <c r="W64" s="16"/>
      <c r="X64" s="21">
        <f>+P64-T64</f>
        <v>455.37000000002445</v>
      </c>
      <c r="Y64" s="16"/>
      <c r="Z64" s="20">
        <f>IF(T64=0,0,X64/T64)</f>
        <v>5.1747590578457202E-2</v>
      </c>
    </row>
    <row r="65" spans="1:26" x14ac:dyDescent="0.2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9</v>
      </c>
      <c r="C66" s="10"/>
      <c r="D66" s="19">
        <f>SUM(OSRRefD22x_0)</f>
        <v>23459.34</v>
      </c>
      <c r="E66" s="19"/>
      <c r="F66" s="35">
        <f t="shared" ref="F66:F75" si="12">IF(D$12=0,0,D66/D$12)</f>
        <v>1.2499128872521279</v>
      </c>
      <c r="G66" s="19"/>
      <c r="H66" s="19">
        <f>SUM(OSRRefH22x_0)</f>
        <v>19166.919999999998</v>
      </c>
      <c r="I66" s="19"/>
      <c r="J66" s="35">
        <f t="shared" ref="J66:J75" si="13">IF(H$12=0,0,H66/H$12)</f>
        <v>1.0643020593695007</v>
      </c>
      <c r="K66" s="4"/>
      <c r="L66" s="19">
        <f t="shared" ref="L66:L75" si="14">+D66-H66</f>
        <v>4292.4200000000019</v>
      </c>
      <c r="M66" s="4"/>
      <c r="N66" s="35">
        <f t="shared" ref="N66:N75" si="15">IF(H66=0,0,L66/H66)</f>
        <v>0.22394938779939616</v>
      </c>
      <c r="O66" s="10"/>
      <c r="P66" s="19">
        <f>SUM(OSRRefP22x_0)</f>
        <v>23459.34</v>
      </c>
      <c r="Q66" s="19"/>
      <c r="R66" s="35">
        <f t="shared" ref="R66:R75" si="16">IF(P$12=0,0,P66/P$12)</f>
        <v>1.2499128872521279</v>
      </c>
      <c r="S66" s="19"/>
      <c r="T66" s="19">
        <f>SUM(OSRRefT22x_0)</f>
        <v>19166.919999999998</v>
      </c>
      <c r="U66" s="19"/>
      <c r="V66" s="35">
        <f t="shared" ref="V66:V75" si="17">IF(T$12=0,0,T66/T$12)</f>
        <v>1.0643020593695007</v>
      </c>
      <c r="W66" s="4"/>
      <c r="X66" s="19">
        <f t="shared" ref="X66:X75" si="18">+P66-T66</f>
        <v>4292.4200000000019</v>
      </c>
      <c r="Y66" s="4"/>
      <c r="Z66" s="35">
        <f t="shared" ref="Z66:Z75" si="19">IF(T66=0,0,X66/T66)</f>
        <v>0.22394938779939616</v>
      </c>
    </row>
    <row r="67" spans="1:26" s="28" customFormat="1" outlineLevel="1" collapsed="1" x14ac:dyDescent="0.25">
      <c r="A67" s="27"/>
      <c r="B67" s="14" t="str">
        <f>CONCATENATE("     ","*Benefits                                         ")</f>
        <v xml:space="preserve">     *Benefits                                         </v>
      </c>
      <c r="C67" s="14"/>
      <c r="D67" s="1">
        <f>SUM(OSRRefD22_0x_0)</f>
        <v>3962.03</v>
      </c>
      <c r="E67" s="1"/>
      <c r="F67" s="5">
        <f t="shared" si="12"/>
        <v>0.21109683207965563</v>
      </c>
      <c r="G67" s="1"/>
      <c r="H67" s="1">
        <f>SUM(OSRRefH22_0x_0)</f>
        <v>3242.16</v>
      </c>
      <c r="I67" s="1"/>
      <c r="J67" s="5">
        <f t="shared" si="13"/>
        <v>0.18003088471206749</v>
      </c>
      <c r="K67" s="1"/>
      <c r="L67" s="1">
        <f t="shared" si="14"/>
        <v>719.87000000000035</v>
      </c>
      <c r="M67" s="1"/>
      <c r="N67" s="5">
        <f t="shared" si="15"/>
        <v>0.22203407604806683</v>
      </c>
      <c r="O67" s="14"/>
      <c r="P67" s="1">
        <f>SUM(OSRRefP22_0x_0)</f>
        <v>3962.03</v>
      </c>
      <c r="Q67" s="1"/>
      <c r="R67" s="5">
        <f t="shared" si="16"/>
        <v>0.21109683207965563</v>
      </c>
      <c r="S67" s="1"/>
      <c r="T67" s="1">
        <f>SUM(OSRRefT22_0x_0)</f>
        <v>3242.16</v>
      </c>
      <c r="U67" s="1"/>
      <c r="V67" s="5">
        <f t="shared" si="17"/>
        <v>0.18003088471206749</v>
      </c>
      <c r="W67" s="1"/>
      <c r="X67" s="1">
        <f t="shared" si="18"/>
        <v>719.87000000000035</v>
      </c>
      <c r="Y67" s="1"/>
      <c r="Z67" s="5">
        <f t="shared" si="19"/>
        <v>0.22203407604806683</v>
      </c>
    </row>
    <row r="68" spans="1:26" s="24" customFormat="1" hidden="1" outlineLevel="2" x14ac:dyDescent="0.25">
      <c r="A68" s="29"/>
      <c r="B68" s="11" t="str">
        <f>CONCATENATE("          ", "6111", " - ", "F.I.C.A.")</f>
        <v xml:space="preserve">          6111 - F.I.C.A.</v>
      </c>
      <c r="C68" s="11"/>
      <c r="D68" s="7">
        <v>838.94</v>
      </c>
      <c r="E68" s="2"/>
      <c r="F68" s="6">
        <f t="shared" si="12"/>
        <v>4.4698696452300034E-2</v>
      </c>
      <c r="G68" s="2"/>
      <c r="H68" s="7">
        <v>760.69</v>
      </c>
      <c r="I68" s="2"/>
      <c r="J68" s="6">
        <f t="shared" si="13"/>
        <v>4.2239646930325038E-2</v>
      </c>
      <c r="K68" s="2"/>
      <c r="L68" s="7">
        <f t="shared" si="14"/>
        <v>78.25</v>
      </c>
      <c r="M68" s="2"/>
      <c r="N68" s="6">
        <f t="shared" si="15"/>
        <v>0.10286713378643074</v>
      </c>
      <c r="O68" s="11"/>
      <c r="P68" s="7">
        <v>838.94</v>
      </c>
      <c r="Q68" s="2"/>
      <c r="R68" s="6">
        <f t="shared" si="16"/>
        <v>4.4698696452300034E-2</v>
      </c>
      <c r="S68" s="2"/>
      <c r="T68" s="7">
        <v>760.69</v>
      </c>
      <c r="U68" s="2"/>
      <c r="V68" s="6">
        <f t="shared" si="17"/>
        <v>4.2239646930325038E-2</v>
      </c>
      <c r="W68" s="2"/>
      <c r="X68" s="7">
        <f t="shared" si="18"/>
        <v>78.25</v>
      </c>
      <c r="Y68" s="2"/>
      <c r="Z68" s="6">
        <f t="shared" si="19"/>
        <v>0.10286713378643074</v>
      </c>
    </row>
    <row r="69" spans="1:26" s="24" customFormat="1" hidden="1" outlineLevel="2" x14ac:dyDescent="0.25">
      <c r="A69" s="29"/>
      <c r="B69" s="11" t="str">
        <f>CONCATENATE("          ", "6112", " - ", "COMPENSATION INSURANCE")</f>
        <v xml:space="preserve">          6112 - COMPENSATION INSURANCE</v>
      </c>
      <c r="C69" s="11"/>
      <c r="D69" s="7">
        <v>207.85</v>
      </c>
      <c r="E69" s="2"/>
      <c r="F69" s="6">
        <f t="shared" si="12"/>
        <v>1.1074241373173959E-2</v>
      </c>
      <c r="G69" s="2"/>
      <c r="H69" s="7">
        <v>162.13</v>
      </c>
      <c r="I69" s="2"/>
      <c r="J69" s="6">
        <f t="shared" si="13"/>
        <v>9.0027658531249243E-3</v>
      </c>
      <c r="K69" s="2"/>
      <c r="L69" s="7">
        <f t="shared" si="14"/>
        <v>45.72</v>
      </c>
      <c r="M69" s="2"/>
      <c r="N69" s="6">
        <f t="shared" si="15"/>
        <v>0.28199592919262323</v>
      </c>
      <c r="O69" s="11"/>
      <c r="P69" s="7">
        <v>207.85</v>
      </c>
      <c r="Q69" s="2"/>
      <c r="R69" s="6">
        <f t="shared" si="16"/>
        <v>1.1074241373173959E-2</v>
      </c>
      <c r="S69" s="2"/>
      <c r="T69" s="7">
        <v>162.13</v>
      </c>
      <c r="U69" s="2"/>
      <c r="V69" s="6">
        <f t="shared" si="17"/>
        <v>9.0027658531249243E-3</v>
      </c>
      <c r="W69" s="2"/>
      <c r="X69" s="7">
        <f t="shared" si="18"/>
        <v>45.72</v>
      </c>
      <c r="Y69" s="2"/>
      <c r="Z69" s="6">
        <f t="shared" si="19"/>
        <v>0.28199592919262323</v>
      </c>
    </row>
    <row r="70" spans="1:26" s="24" customFormat="1" hidden="1" outlineLevel="2" x14ac:dyDescent="0.25">
      <c r="A70" s="29"/>
      <c r="B70" s="11" t="str">
        <f>CONCATENATE("          ", "6113", " - ", "GROUP INSURANCE")</f>
        <v xml:space="preserve">          6113 - GROUP INSURANCE</v>
      </c>
      <c r="C70" s="11"/>
      <c r="D70" s="7">
        <v>1412.76</v>
      </c>
      <c r="E70" s="2"/>
      <c r="F70" s="6">
        <f t="shared" si="12"/>
        <v>7.5271807757350206E-2</v>
      </c>
      <c r="G70" s="2"/>
      <c r="H70" s="7">
        <v>382.12</v>
      </c>
      <c r="I70" s="2"/>
      <c r="J70" s="6">
        <f t="shared" si="13"/>
        <v>2.1218385787923864E-2</v>
      </c>
      <c r="K70" s="2"/>
      <c r="L70" s="7">
        <f t="shared" si="14"/>
        <v>1030.6399999999999</v>
      </c>
      <c r="M70" s="2"/>
      <c r="N70" s="6">
        <f t="shared" si="15"/>
        <v>2.6971631948079136</v>
      </c>
      <c r="O70" s="11"/>
      <c r="P70" s="7">
        <v>1412.76</v>
      </c>
      <c r="Q70" s="2"/>
      <c r="R70" s="6">
        <f t="shared" si="16"/>
        <v>7.5271807757350206E-2</v>
      </c>
      <c r="S70" s="2"/>
      <c r="T70" s="7">
        <v>382.12</v>
      </c>
      <c r="U70" s="2"/>
      <c r="V70" s="6">
        <f t="shared" si="17"/>
        <v>2.1218385787923864E-2</v>
      </c>
      <c r="W70" s="2"/>
      <c r="X70" s="7">
        <f t="shared" si="18"/>
        <v>1030.6399999999999</v>
      </c>
      <c r="Y70" s="2"/>
      <c r="Z70" s="6">
        <f t="shared" si="19"/>
        <v>2.6971631948079136</v>
      </c>
    </row>
    <row r="71" spans="1:26" s="24" customFormat="1" hidden="1" outlineLevel="2" x14ac:dyDescent="0.25">
      <c r="A71" s="29"/>
      <c r="B71" s="11" t="str">
        <f>CONCATENATE("          ", "6114", " - ", "STATE UNEMPLOYMENT INSURANCE")</f>
        <v xml:space="preserve">          6114 - STATE UNEMPLOYMENT INSURANCE</v>
      </c>
      <c r="C71" s="11"/>
      <c r="D71" s="7">
        <v>28.44</v>
      </c>
      <c r="E71" s="2"/>
      <c r="F71" s="6">
        <f t="shared" si="12"/>
        <v>1.5152822932550753E-3</v>
      </c>
      <c r="G71" s="2"/>
      <c r="H71" s="7">
        <v>35.43</v>
      </c>
      <c r="I71" s="2"/>
      <c r="J71" s="6">
        <f t="shared" si="13"/>
        <v>1.9673594903855921E-3</v>
      </c>
      <c r="K71" s="2"/>
      <c r="L71" s="7">
        <f t="shared" si="14"/>
        <v>-6.9899999999999984</v>
      </c>
      <c r="M71" s="2"/>
      <c r="N71" s="6">
        <f t="shared" si="15"/>
        <v>-0.19729043183742587</v>
      </c>
      <c r="O71" s="11"/>
      <c r="P71" s="7">
        <v>28.44</v>
      </c>
      <c r="Q71" s="2"/>
      <c r="R71" s="6">
        <f t="shared" si="16"/>
        <v>1.5152822932550753E-3</v>
      </c>
      <c r="S71" s="2"/>
      <c r="T71" s="7">
        <v>35.43</v>
      </c>
      <c r="U71" s="2"/>
      <c r="V71" s="6">
        <f t="shared" si="17"/>
        <v>1.9673594903855921E-3</v>
      </c>
      <c r="W71" s="2"/>
      <c r="X71" s="7">
        <f t="shared" si="18"/>
        <v>-6.9899999999999984</v>
      </c>
      <c r="Y71" s="2"/>
      <c r="Z71" s="6">
        <f t="shared" si="19"/>
        <v>-0.19729043183742587</v>
      </c>
    </row>
    <row r="72" spans="1:26" s="24" customFormat="1" hidden="1" outlineLevel="2" x14ac:dyDescent="0.25">
      <c r="A72" s="29"/>
      <c r="B72" s="11" t="str">
        <f>CONCATENATE("          ", "6115", " - ", "P.E.R.S.")</f>
        <v xml:space="preserve">          6115 - P.E.R.S.</v>
      </c>
      <c r="C72" s="11"/>
      <c r="D72" s="7">
        <v>384.57</v>
      </c>
      <c r="E72" s="2"/>
      <c r="F72" s="6">
        <f t="shared" si="12"/>
        <v>2.0489877338857394E-2</v>
      </c>
      <c r="G72" s="2"/>
      <c r="H72" s="7">
        <v>631.11</v>
      </c>
      <c r="I72" s="2"/>
      <c r="J72" s="6">
        <f t="shared" si="13"/>
        <v>3.5044319728401101E-2</v>
      </c>
      <c r="K72" s="2"/>
      <c r="L72" s="7">
        <f t="shared" si="14"/>
        <v>-246.54000000000002</v>
      </c>
      <c r="M72" s="2"/>
      <c r="N72" s="6">
        <f t="shared" si="15"/>
        <v>-0.39064505395255977</v>
      </c>
      <c r="O72" s="11"/>
      <c r="P72" s="7">
        <v>384.57</v>
      </c>
      <c r="Q72" s="2"/>
      <c r="R72" s="6">
        <f t="shared" si="16"/>
        <v>2.0489877338857394E-2</v>
      </c>
      <c r="S72" s="2"/>
      <c r="T72" s="7">
        <v>631.11</v>
      </c>
      <c r="U72" s="2"/>
      <c r="V72" s="6">
        <f t="shared" si="17"/>
        <v>3.5044319728401101E-2</v>
      </c>
      <c r="W72" s="2"/>
      <c r="X72" s="7">
        <f t="shared" si="18"/>
        <v>-246.54000000000002</v>
      </c>
      <c r="Y72" s="2"/>
      <c r="Z72" s="6">
        <f t="shared" si="19"/>
        <v>-0.39064505395255977</v>
      </c>
    </row>
    <row r="73" spans="1:26" s="24" customFormat="1" hidden="1" outlineLevel="2" x14ac:dyDescent="0.25">
      <c r="A73" s="29"/>
      <c r="B73" s="11" t="str">
        <f>CONCATENATE("          ", "6118", " - ", "VACATION")</f>
        <v xml:space="preserve">          6118 - VACATION</v>
      </c>
      <c r="C73" s="11"/>
      <c r="D73" s="7">
        <v>479.28</v>
      </c>
      <c r="E73" s="2"/>
      <c r="F73" s="6">
        <f t="shared" si="12"/>
        <v>2.5536023119243755E-2</v>
      </c>
      <c r="G73" s="2"/>
      <c r="H73" s="7">
        <v>507.19</v>
      </c>
      <c r="I73" s="2"/>
      <c r="J73" s="6">
        <f t="shared" si="13"/>
        <v>2.8163281397930243E-2</v>
      </c>
      <c r="K73" s="2"/>
      <c r="L73" s="7">
        <f t="shared" si="14"/>
        <v>-27.910000000000025</v>
      </c>
      <c r="M73" s="2"/>
      <c r="N73" s="6">
        <f t="shared" si="15"/>
        <v>-5.5028687474122172E-2</v>
      </c>
      <c r="O73" s="11"/>
      <c r="P73" s="7">
        <v>479.28</v>
      </c>
      <c r="Q73" s="2"/>
      <c r="R73" s="6">
        <f t="shared" si="16"/>
        <v>2.5536023119243755E-2</v>
      </c>
      <c r="S73" s="2"/>
      <c r="T73" s="7">
        <v>507.19</v>
      </c>
      <c r="U73" s="2"/>
      <c r="V73" s="6">
        <f t="shared" si="17"/>
        <v>2.8163281397930243E-2</v>
      </c>
      <c r="W73" s="2"/>
      <c r="X73" s="7">
        <f t="shared" si="18"/>
        <v>-27.910000000000025</v>
      </c>
      <c r="Y73" s="2"/>
      <c r="Z73" s="6">
        <f t="shared" si="19"/>
        <v>-5.5028687474122172E-2</v>
      </c>
    </row>
    <row r="74" spans="1:26" s="24" customFormat="1" hidden="1" outlineLevel="2" x14ac:dyDescent="0.25">
      <c r="A74" s="29"/>
      <c r="B74" s="11" t="str">
        <f>CONCATENATE("          ", "6119", " - ", "SICK LEAVE")</f>
        <v xml:space="preserve">          6119 - SICK LEAVE</v>
      </c>
      <c r="C74" s="11"/>
      <c r="D74" s="7">
        <v>461.46</v>
      </c>
      <c r="E74" s="2"/>
      <c r="F74" s="6">
        <f t="shared" si="12"/>
        <v>2.4586574087394057E-2</v>
      </c>
      <c r="G74" s="2"/>
      <c r="H74" s="7">
        <v>613.49</v>
      </c>
      <c r="I74" s="2"/>
      <c r="J74" s="6">
        <f t="shared" si="13"/>
        <v>3.4065915149778629E-2</v>
      </c>
      <c r="K74" s="2"/>
      <c r="L74" s="7">
        <f t="shared" si="14"/>
        <v>-152.03000000000003</v>
      </c>
      <c r="M74" s="2"/>
      <c r="N74" s="6">
        <f t="shared" si="15"/>
        <v>-0.24781170027221311</v>
      </c>
      <c r="O74" s="11"/>
      <c r="P74" s="7">
        <v>461.46</v>
      </c>
      <c r="Q74" s="2"/>
      <c r="R74" s="6">
        <f t="shared" si="16"/>
        <v>2.4586574087394057E-2</v>
      </c>
      <c r="S74" s="2"/>
      <c r="T74" s="7">
        <v>613.49</v>
      </c>
      <c r="U74" s="2"/>
      <c r="V74" s="6">
        <f t="shared" si="17"/>
        <v>3.4065915149778629E-2</v>
      </c>
      <c r="W74" s="2"/>
      <c r="X74" s="7">
        <f t="shared" si="18"/>
        <v>-152.03000000000003</v>
      </c>
      <c r="Y74" s="2"/>
      <c r="Z74" s="6">
        <f t="shared" si="19"/>
        <v>-0.24781170027221311</v>
      </c>
    </row>
    <row r="75" spans="1:26" s="24" customFormat="1" hidden="1" outlineLevel="2" x14ac:dyDescent="0.25">
      <c r="A75" s="29"/>
      <c r="B75" s="11" t="str">
        <f>CONCATENATE("          ", "6156", " - ", "EMPLOYEE MEALS")</f>
        <v xml:space="preserve">          6156 - EMPLOYEE MEALS</v>
      </c>
      <c r="C75" s="11"/>
      <c r="D75" s="7">
        <v>148.72999999999999</v>
      </c>
      <c r="E75" s="2"/>
      <c r="F75" s="6">
        <f t="shared" si="12"/>
        <v>7.9243296580811303E-3</v>
      </c>
      <c r="G75" s="2"/>
      <c r="H75" s="7">
        <v>150</v>
      </c>
      <c r="I75" s="2"/>
      <c r="J75" s="6">
        <f t="shared" si="13"/>
        <v>8.3292103741981031E-3</v>
      </c>
      <c r="K75" s="2"/>
      <c r="L75" s="7">
        <f t="shared" si="14"/>
        <v>-1.2700000000000102</v>
      </c>
      <c r="M75" s="2"/>
      <c r="N75" s="6">
        <f t="shared" si="15"/>
        <v>-8.4666666666667351E-3</v>
      </c>
      <c r="O75" s="11"/>
      <c r="P75" s="7">
        <v>148.72999999999999</v>
      </c>
      <c r="Q75" s="2"/>
      <c r="R75" s="6">
        <f t="shared" si="16"/>
        <v>7.9243296580811303E-3</v>
      </c>
      <c r="S75" s="2"/>
      <c r="T75" s="7">
        <v>150</v>
      </c>
      <c r="U75" s="2"/>
      <c r="V75" s="6">
        <f t="shared" si="17"/>
        <v>8.3292103741981031E-3</v>
      </c>
      <c r="W75" s="2"/>
      <c r="X75" s="7">
        <f t="shared" si="18"/>
        <v>-1.2700000000000102</v>
      </c>
      <c r="Y75" s="2"/>
      <c r="Z75" s="6">
        <f t="shared" si="19"/>
        <v>-8.4666666666667351E-3</v>
      </c>
    </row>
    <row r="76" spans="1:26" s="28" customFormat="1" outlineLevel="1" collapsed="1" x14ac:dyDescent="0.25">
      <c r="A76" s="27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15323.98</v>
      </c>
      <c r="E76" s="1"/>
      <c r="F76" s="5">
        <f t="shared" ref="F76:F79" si="20">IF(D$12=0,0,D76/D$12)</f>
        <v>0.81646116582963812</v>
      </c>
      <c r="G76" s="1"/>
      <c r="H76" s="1">
        <f>SUM(OSRRefH22_1x_0)</f>
        <v>11897.56</v>
      </c>
      <c r="I76" s="1"/>
      <c r="J76" s="5">
        <f t="shared" ref="J76:J79" si="21">IF(H$12=0,0,H76/H$12)</f>
        <v>0.66064853453096262</v>
      </c>
      <c r="K76" s="1"/>
      <c r="L76" s="1">
        <f t="shared" ref="L76:L79" si="22">+D76-H76</f>
        <v>3426.42</v>
      </c>
      <c r="M76" s="1"/>
      <c r="N76" s="5">
        <f t="shared" ref="N76:N79" si="23">IF(H76=0,0,L76/H76)</f>
        <v>0.28799350455051292</v>
      </c>
      <c r="O76" s="14"/>
      <c r="P76" s="1">
        <f>SUM(OSRRefP22_1x_0)</f>
        <v>15323.98</v>
      </c>
      <c r="Q76" s="1"/>
      <c r="R76" s="5">
        <f t="shared" ref="R76:R79" si="24">IF(P$12=0,0,P76/P$12)</f>
        <v>0.81646116582963812</v>
      </c>
      <c r="S76" s="1"/>
      <c r="T76" s="1">
        <f>SUM(OSRRefT22_1x_0)</f>
        <v>11897.56</v>
      </c>
      <c r="U76" s="1"/>
      <c r="V76" s="5">
        <f t="shared" ref="V76:V79" si="25">IF(T$12=0,0,T76/T$12)</f>
        <v>0.66064853453096262</v>
      </c>
      <c r="W76" s="1"/>
      <c r="X76" s="1">
        <f t="shared" ref="X76:X79" si="26">+P76-T76</f>
        <v>3426.42</v>
      </c>
      <c r="Y76" s="1"/>
      <c r="Z76" s="5">
        <f t="shared" ref="Z76:Z79" si="27">IF(T76=0,0,X76/T76)</f>
        <v>0.28799350455051292</v>
      </c>
    </row>
    <row r="77" spans="1:26" s="24" customFormat="1" hidden="1" outlineLevel="2" x14ac:dyDescent="0.25">
      <c r="A77" s="29"/>
      <c r="B77" s="11" t="str">
        <f>CONCATENATE("          ", "6002", " - ", "STAFF SALARIES")</f>
        <v xml:space="preserve">          6002 - STAFF SALARIES</v>
      </c>
      <c r="C77" s="11"/>
      <c r="D77" s="7">
        <v>8779.41</v>
      </c>
      <c r="E77" s="2"/>
      <c r="F77" s="6">
        <f t="shared" si="20"/>
        <v>0.46776668488841561</v>
      </c>
      <c r="G77" s="2"/>
      <c r="H77" s="7">
        <v>7271.69</v>
      </c>
      <c r="I77" s="2"/>
      <c r="J77" s="6">
        <f t="shared" si="21"/>
        <v>0.40378290523968402</v>
      </c>
      <c r="K77" s="2"/>
      <c r="L77" s="7">
        <f t="shared" si="22"/>
        <v>1507.7200000000003</v>
      </c>
      <c r="M77" s="2"/>
      <c r="N77" s="6">
        <f t="shared" si="23"/>
        <v>0.20734107202039695</v>
      </c>
      <c r="O77" s="11"/>
      <c r="P77" s="7">
        <v>8779.41</v>
      </c>
      <c r="Q77" s="2"/>
      <c r="R77" s="6">
        <f t="shared" si="24"/>
        <v>0.46776668488841561</v>
      </c>
      <c r="S77" s="2"/>
      <c r="T77" s="7">
        <v>7271.69</v>
      </c>
      <c r="U77" s="2"/>
      <c r="V77" s="6">
        <f t="shared" si="25"/>
        <v>0.40378290523968402</v>
      </c>
      <c r="W77" s="2"/>
      <c r="X77" s="7">
        <f t="shared" si="26"/>
        <v>1507.7200000000003</v>
      </c>
      <c r="Y77" s="2"/>
      <c r="Z77" s="6">
        <f t="shared" si="27"/>
        <v>0.20734107202039695</v>
      </c>
    </row>
    <row r="78" spans="1:26" s="24" customFormat="1" hidden="1" outlineLevel="2" x14ac:dyDescent="0.25">
      <c r="A78" s="29"/>
      <c r="B78" s="11" t="str">
        <f>CONCATENATE("          ", "6006", " - ", "TEMPORARY PART TIME")</f>
        <v xml:space="preserve">          6006 - TEMPORARY PART TIME</v>
      </c>
      <c r="C78" s="11"/>
      <c r="D78" s="7">
        <v>25.5</v>
      </c>
      <c r="E78" s="2"/>
      <c r="F78" s="6">
        <f t="shared" si="20"/>
        <v>1.35863918699031E-3</v>
      </c>
      <c r="G78" s="2"/>
      <c r="H78" s="7">
        <v>421.75</v>
      </c>
      <c r="I78" s="2"/>
      <c r="J78" s="6">
        <f t="shared" si="21"/>
        <v>2.3418963168787003E-2</v>
      </c>
      <c r="K78" s="2"/>
      <c r="L78" s="7">
        <f t="shared" si="22"/>
        <v>-396.25</v>
      </c>
      <c r="M78" s="2"/>
      <c r="N78" s="6">
        <f t="shared" si="23"/>
        <v>-0.93953764078245405</v>
      </c>
      <c r="O78" s="11"/>
      <c r="P78" s="7">
        <v>25.5</v>
      </c>
      <c r="Q78" s="2"/>
      <c r="R78" s="6">
        <f t="shared" si="24"/>
        <v>1.35863918699031E-3</v>
      </c>
      <c r="S78" s="2"/>
      <c r="T78" s="7">
        <v>421.75</v>
      </c>
      <c r="U78" s="2"/>
      <c r="V78" s="6">
        <f t="shared" si="25"/>
        <v>2.3418963168787003E-2</v>
      </c>
      <c r="W78" s="2"/>
      <c r="X78" s="7">
        <f t="shared" si="26"/>
        <v>-396.25</v>
      </c>
      <c r="Y78" s="2"/>
      <c r="Z78" s="6">
        <f t="shared" si="27"/>
        <v>-0.93953764078245405</v>
      </c>
    </row>
    <row r="79" spans="1:26" s="24" customFormat="1" hidden="1" outlineLevel="2" x14ac:dyDescent="0.25">
      <c r="A79" s="29"/>
      <c r="B79" s="11" t="str">
        <f>CONCATENATE("          ", "6007", " - ", "STUDENT HOURLY")</f>
        <v xml:space="preserve">          6007 - STUDENT HOURLY</v>
      </c>
      <c r="C79" s="11"/>
      <c r="D79" s="7">
        <v>6519.07</v>
      </c>
      <c r="E79" s="2"/>
      <c r="F79" s="6">
        <f t="shared" si="20"/>
        <v>0.34733584175423216</v>
      </c>
      <c r="G79" s="2"/>
      <c r="H79" s="7">
        <v>4204.12</v>
      </c>
      <c r="I79" s="2"/>
      <c r="J79" s="6">
        <f t="shared" si="21"/>
        <v>0.23344666612249154</v>
      </c>
      <c r="K79" s="2"/>
      <c r="L79" s="7">
        <f t="shared" si="22"/>
        <v>2314.9499999999998</v>
      </c>
      <c r="M79" s="2"/>
      <c r="N79" s="6">
        <f t="shared" si="23"/>
        <v>0.55063842135809626</v>
      </c>
      <c r="O79" s="11"/>
      <c r="P79" s="7">
        <v>6519.07</v>
      </c>
      <c r="Q79" s="2"/>
      <c r="R79" s="6">
        <f t="shared" si="24"/>
        <v>0.34733584175423216</v>
      </c>
      <c r="S79" s="2"/>
      <c r="T79" s="7">
        <v>4204.12</v>
      </c>
      <c r="U79" s="2"/>
      <c r="V79" s="6">
        <f t="shared" si="25"/>
        <v>0.23344666612249154</v>
      </c>
      <c r="W79" s="2"/>
      <c r="X79" s="7">
        <f t="shared" si="26"/>
        <v>2314.9499999999998</v>
      </c>
      <c r="Y79" s="2"/>
      <c r="Z79" s="6">
        <f t="shared" si="27"/>
        <v>0.55063842135809626</v>
      </c>
    </row>
    <row r="80" spans="1:26" s="28" customFormat="1" outlineLevel="1" collapsed="1" x14ac:dyDescent="0.25">
      <c r="A80" s="27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SUM(OSRRefD22_2x_0)</f>
        <v>0.38</v>
      </c>
      <c r="E80" s="1"/>
      <c r="F80" s="5">
        <f t="shared" ref="F80:F92" si="28">IF(D$12=0,0,D80/D$12)</f>
        <v>2.0246387884561485E-5</v>
      </c>
      <c r="G80" s="1"/>
      <c r="H80" s="1">
        <f>SUM(OSRRefH22_2x_0)</f>
        <v>-3.32</v>
      </c>
      <c r="I80" s="1"/>
      <c r="J80" s="5">
        <f t="shared" ref="J80:J92" si="29">IF(H$12=0,0,H80/H$12)</f>
        <v>-1.8435318961558468E-4</v>
      </c>
      <c r="K80" s="1"/>
      <c r="L80" s="1">
        <f t="shared" ref="L80:L92" si="30">+D80-H80</f>
        <v>3.6999999999999997</v>
      </c>
      <c r="M80" s="1"/>
      <c r="N80" s="5">
        <f t="shared" ref="N80:N92" si="31">IF(H80=0,0,L80/H80)</f>
        <v>-1.1144578313253011</v>
      </c>
      <c r="O80" s="14"/>
      <c r="P80" s="1">
        <f>SUM(OSRRefP22_2x_0)</f>
        <v>0.38</v>
      </c>
      <c r="Q80" s="1"/>
      <c r="R80" s="5">
        <f t="shared" ref="R80:R92" si="32">IF(P$12=0,0,P80/P$12)</f>
        <v>2.0246387884561485E-5</v>
      </c>
      <c r="S80" s="1"/>
      <c r="T80" s="1">
        <f>SUM(OSRRefT22_2x_0)</f>
        <v>-3.32</v>
      </c>
      <c r="U80" s="1"/>
      <c r="V80" s="5">
        <f t="shared" ref="V80:V92" si="33">IF(T$12=0,0,T80/T$12)</f>
        <v>-1.8435318961558468E-4</v>
      </c>
      <c r="W80" s="1"/>
      <c r="X80" s="1">
        <f t="shared" ref="X80:X92" si="34">+P80-T80</f>
        <v>3.6999999999999997</v>
      </c>
      <c r="Y80" s="1"/>
      <c r="Z80" s="5">
        <f t="shared" ref="Z80:Z92" si="35">IF(T80=0,0,X80/T80)</f>
        <v>-1.1144578313253011</v>
      </c>
    </row>
    <row r="81" spans="1:26" s="24" customFormat="1" hidden="1" outlineLevel="2" x14ac:dyDescent="0.25">
      <c r="A81" s="29"/>
      <c r="B81" s="11" t="str">
        <f>CONCATENATE("          ", "6272", " - ", "CASH (OVER/SHORT)")</f>
        <v xml:space="preserve">          6272 - CASH (OVER/SHORT)</v>
      </c>
      <c r="C81" s="11"/>
      <c r="D81" s="7">
        <v>0.38</v>
      </c>
      <c r="E81" s="2"/>
      <c r="F81" s="6">
        <f t="shared" si="28"/>
        <v>2.0246387884561485E-5</v>
      </c>
      <c r="G81" s="2"/>
      <c r="H81" s="7">
        <v>-3.32</v>
      </c>
      <c r="I81" s="2"/>
      <c r="J81" s="6">
        <f t="shared" si="29"/>
        <v>-1.8435318961558468E-4</v>
      </c>
      <c r="K81" s="2"/>
      <c r="L81" s="7">
        <f t="shared" si="30"/>
        <v>3.6999999999999997</v>
      </c>
      <c r="M81" s="2"/>
      <c r="N81" s="6">
        <f t="shared" si="31"/>
        <v>-1.1144578313253011</v>
      </c>
      <c r="O81" s="11"/>
      <c r="P81" s="7">
        <v>0.38</v>
      </c>
      <c r="Q81" s="2"/>
      <c r="R81" s="6">
        <f t="shared" si="32"/>
        <v>2.0246387884561485E-5</v>
      </c>
      <c r="S81" s="2"/>
      <c r="T81" s="7">
        <v>-3.32</v>
      </c>
      <c r="U81" s="2"/>
      <c r="V81" s="6">
        <f t="shared" si="33"/>
        <v>-1.8435318961558468E-4</v>
      </c>
      <c r="W81" s="2"/>
      <c r="X81" s="7">
        <f t="shared" si="34"/>
        <v>3.6999999999999997</v>
      </c>
      <c r="Y81" s="2"/>
      <c r="Z81" s="6">
        <f t="shared" si="35"/>
        <v>-1.1144578313253011</v>
      </c>
    </row>
    <row r="82" spans="1:26" s="28" customFormat="1" outlineLevel="1" collapsed="1" x14ac:dyDescent="0.25">
      <c r="A82" s="27"/>
      <c r="B82" s="14" t="str">
        <f>CONCATENATE("     ","Discounts and Markdowns                           ")</f>
        <v xml:space="preserve">     Discounts and Markdowns                           </v>
      </c>
      <c r="C82" s="14"/>
      <c r="D82" s="1">
        <f>SUM(OSRRefD22_3x_0)</f>
        <v>2285.6</v>
      </c>
      <c r="E82" s="1"/>
      <c r="F82" s="5">
        <f t="shared" si="28"/>
        <v>0.12177669512882559</v>
      </c>
      <c r="G82" s="1"/>
      <c r="H82" s="1">
        <f>SUM(OSRRefH22_3x_0)</f>
        <v>1858.11</v>
      </c>
      <c r="I82" s="1"/>
      <c r="J82" s="5">
        <f t="shared" si="29"/>
        <v>0.10317726058934158</v>
      </c>
      <c r="K82" s="1"/>
      <c r="L82" s="1">
        <f t="shared" si="30"/>
        <v>427.49</v>
      </c>
      <c r="M82" s="1"/>
      <c r="N82" s="5">
        <f t="shared" si="31"/>
        <v>0.23006711120439588</v>
      </c>
      <c r="O82" s="14"/>
      <c r="P82" s="1">
        <f>SUM(OSRRefP22_3x_0)</f>
        <v>2285.6</v>
      </c>
      <c r="Q82" s="1"/>
      <c r="R82" s="5">
        <f t="shared" si="32"/>
        <v>0.12177669512882559</v>
      </c>
      <c r="S82" s="1"/>
      <c r="T82" s="1">
        <f>SUM(OSRRefT22_3x_0)</f>
        <v>1858.11</v>
      </c>
      <c r="U82" s="1"/>
      <c r="V82" s="5">
        <f t="shared" si="33"/>
        <v>0.10317726058934158</v>
      </c>
      <c r="W82" s="1"/>
      <c r="X82" s="1">
        <f t="shared" si="34"/>
        <v>427.49</v>
      </c>
      <c r="Y82" s="1"/>
      <c r="Z82" s="5">
        <f t="shared" si="35"/>
        <v>0.23006711120439588</v>
      </c>
    </row>
    <row r="83" spans="1:26" s="24" customFormat="1" hidden="1" outlineLevel="2" x14ac:dyDescent="0.25">
      <c r="A83" s="29"/>
      <c r="B83" s="11" t="str">
        <f>CONCATENATE("          ", "6382", " - ", "DISCOUNTS/MARK DOWNS")</f>
        <v xml:space="preserve">          6382 - DISCOUNTS/MARK DOWNS</v>
      </c>
      <c r="C83" s="11"/>
      <c r="D83" s="7">
        <v>2285.6</v>
      </c>
      <c r="E83" s="2"/>
      <c r="F83" s="6">
        <f t="shared" si="28"/>
        <v>0.12177669512882559</v>
      </c>
      <c r="G83" s="2"/>
      <c r="H83" s="7">
        <v>1858.11</v>
      </c>
      <c r="I83" s="2"/>
      <c r="J83" s="6">
        <f t="shared" si="29"/>
        <v>0.10317726058934158</v>
      </c>
      <c r="K83" s="2"/>
      <c r="L83" s="7">
        <f t="shared" si="30"/>
        <v>427.49</v>
      </c>
      <c r="M83" s="2"/>
      <c r="N83" s="6">
        <f t="shared" si="31"/>
        <v>0.23006711120439588</v>
      </c>
      <c r="O83" s="11"/>
      <c r="P83" s="7">
        <v>2285.6</v>
      </c>
      <c r="Q83" s="2"/>
      <c r="R83" s="6">
        <f t="shared" si="32"/>
        <v>0.12177669512882559</v>
      </c>
      <c r="S83" s="2"/>
      <c r="T83" s="7">
        <v>1858.11</v>
      </c>
      <c r="U83" s="2"/>
      <c r="V83" s="6">
        <f t="shared" si="33"/>
        <v>0.10317726058934158</v>
      </c>
      <c r="W83" s="2"/>
      <c r="X83" s="7">
        <f t="shared" si="34"/>
        <v>427.49</v>
      </c>
      <c r="Y83" s="2"/>
      <c r="Z83" s="6">
        <f t="shared" si="35"/>
        <v>0.23006711120439588</v>
      </c>
    </row>
    <row r="84" spans="1:26" s="28" customFormat="1" outlineLevel="1" collapsed="1" x14ac:dyDescent="0.25">
      <c r="A84" s="27"/>
      <c r="B84" s="14" t="str">
        <f>CONCATENATE("     ","General                                           ")</f>
        <v xml:space="preserve">     General                                           </v>
      </c>
      <c r="C84" s="14"/>
      <c r="D84" s="1">
        <f>SUM(OSRRefD22_4x_0)</f>
        <v>694.55</v>
      </c>
      <c r="E84" s="1"/>
      <c r="F84" s="5">
        <f t="shared" si="28"/>
        <v>3.7005601855847836E-2</v>
      </c>
      <c r="G84" s="1"/>
      <c r="H84" s="1">
        <f>SUM(OSRRefH22_4x_0)</f>
        <v>669.2</v>
      </c>
      <c r="I84" s="1"/>
      <c r="J84" s="5">
        <f t="shared" si="29"/>
        <v>3.715938388275581E-2</v>
      </c>
      <c r="K84" s="1"/>
      <c r="L84" s="1">
        <f t="shared" si="30"/>
        <v>25.349999999999909</v>
      </c>
      <c r="M84" s="1"/>
      <c r="N84" s="5">
        <f t="shared" si="31"/>
        <v>3.7881052002390773E-2</v>
      </c>
      <c r="O84" s="14"/>
      <c r="P84" s="1">
        <f>SUM(OSRRefP22_4x_0)</f>
        <v>694.55</v>
      </c>
      <c r="Q84" s="1"/>
      <c r="R84" s="5">
        <f t="shared" si="32"/>
        <v>3.7005601855847836E-2</v>
      </c>
      <c r="S84" s="1"/>
      <c r="T84" s="1">
        <f>SUM(OSRRefT22_4x_0)</f>
        <v>669.2</v>
      </c>
      <c r="U84" s="1"/>
      <c r="V84" s="5">
        <f t="shared" si="33"/>
        <v>3.715938388275581E-2</v>
      </c>
      <c r="W84" s="1"/>
      <c r="X84" s="1">
        <f t="shared" si="34"/>
        <v>25.349999999999909</v>
      </c>
      <c r="Y84" s="1"/>
      <c r="Z84" s="5">
        <f t="shared" si="35"/>
        <v>3.7881052002390773E-2</v>
      </c>
    </row>
    <row r="85" spans="1:26" s="24" customFormat="1" hidden="1" outlineLevel="2" x14ac:dyDescent="0.25">
      <c r="A85" s="29"/>
      <c r="B85" s="11" t="str">
        <f>CONCATENATE("          ", "6279", " - ", "GENERAL EXPENSE")</f>
        <v xml:space="preserve">          6279 - GENERAL EXPENSE</v>
      </c>
      <c r="C85" s="11"/>
      <c r="D85" s="7">
        <v>694.55</v>
      </c>
      <c r="E85" s="2"/>
      <c r="F85" s="6">
        <f t="shared" si="28"/>
        <v>3.7005601855847836E-2</v>
      </c>
      <c r="G85" s="2"/>
      <c r="H85" s="7">
        <v>669.2</v>
      </c>
      <c r="I85" s="2"/>
      <c r="J85" s="6">
        <f t="shared" si="29"/>
        <v>3.715938388275581E-2</v>
      </c>
      <c r="K85" s="2"/>
      <c r="L85" s="7">
        <f t="shared" si="30"/>
        <v>25.349999999999909</v>
      </c>
      <c r="M85" s="2"/>
      <c r="N85" s="6">
        <f t="shared" si="31"/>
        <v>3.7881052002390773E-2</v>
      </c>
      <c r="O85" s="11"/>
      <c r="P85" s="7">
        <v>694.55</v>
      </c>
      <c r="Q85" s="2"/>
      <c r="R85" s="6">
        <f t="shared" si="32"/>
        <v>3.7005601855847836E-2</v>
      </c>
      <c r="S85" s="2"/>
      <c r="T85" s="7">
        <v>669.2</v>
      </c>
      <c r="U85" s="2"/>
      <c r="V85" s="6">
        <f t="shared" si="33"/>
        <v>3.715938388275581E-2</v>
      </c>
      <c r="W85" s="2"/>
      <c r="X85" s="7">
        <f t="shared" si="34"/>
        <v>25.349999999999909</v>
      </c>
      <c r="Y85" s="2"/>
      <c r="Z85" s="6">
        <f t="shared" si="35"/>
        <v>3.7881052002390773E-2</v>
      </c>
    </row>
    <row r="86" spans="1:26" s="28" customFormat="1" outlineLevel="1" collapsed="1" x14ac:dyDescent="0.25">
      <c r="A86" s="27"/>
      <c r="B86" s="14" t="str">
        <f>CONCATENATE("     ","Inventory Adjustment                              ")</f>
        <v xml:space="preserve">     Inventory Adjustment                              </v>
      </c>
      <c r="C86" s="14"/>
      <c r="D86" s="1">
        <f>SUM(OSRRefD22_5x_0)</f>
        <v>0</v>
      </c>
      <c r="E86" s="1"/>
      <c r="F86" s="5">
        <f t="shared" si="28"/>
        <v>0</v>
      </c>
      <c r="G86" s="1"/>
      <c r="H86" s="1">
        <f>SUM(OSRRefH22_5x_0)</f>
        <v>400</v>
      </c>
      <c r="I86" s="1"/>
      <c r="J86" s="5">
        <f t="shared" si="29"/>
        <v>2.2211227664528276E-2</v>
      </c>
      <c r="K86" s="1"/>
      <c r="L86" s="1">
        <f t="shared" si="30"/>
        <v>-400</v>
      </c>
      <c r="M86" s="1"/>
      <c r="N86" s="5">
        <f t="shared" si="31"/>
        <v>-1</v>
      </c>
      <c r="O86" s="14"/>
      <c r="P86" s="1">
        <f>SUM(OSRRefP22_5x_0)</f>
        <v>0</v>
      </c>
      <c r="Q86" s="1"/>
      <c r="R86" s="5">
        <f t="shared" si="32"/>
        <v>0</v>
      </c>
      <c r="S86" s="1"/>
      <c r="T86" s="1">
        <f>SUM(OSRRefT22_5x_0)</f>
        <v>400</v>
      </c>
      <c r="U86" s="1"/>
      <c r="V86" s="5">
        <f t="shared" si="33"/>
        <v>2.2211227664528276E-2</v>
      </c>
      <c r="W86" s="1"/>
      <c r="X86" s="1">
        <f t="shared" si="34"/>
        <v>-400</v>
      </c>
      <c r="Y86" s="1"/>
      <c r="Z86" s="5">
        <f t="shared" si="35"/>
        <v>-1</v>
      </c>
    </row>
    <row r="87" spans="1:26" s="24" customFormat="1" hidden="1" outlineLevel="2" x14ac:dyDescent="0.25">
      <c r="A87" s="29"/>
      <c r="B87" s="11" t="str">
        <f>CONCATENATE("          ", "6408", " - ", "INVENTORY ADJUSTMENT")</f>
        <v xml:space="preserve">          6408 - INVENTORY ADJUSTMENT</v>
      </c>
      <c r="C87" s="11"/>
      <c r="D87" s="7"/>
      <c r="E87" s="2"/>
      <c r="F87" s="6">
        <f t="shared" si="28"/>
        <v>0</v>
      </c>
      <c r="G87" s="2"/>
      <c r="H87" s="7">
        <v>400</v>
      </c>
      <c r="I87" s="2"/>
      <c r="J87" s="6">
        <f t="shared" si="29"/>
        <v>2.2211227664528276E-2</v>
      </c>
      <c r="K87" s="2"/>
      <c r="L87" s="7">
        <f t="shared" si="30"/>
        <v>-400</v>
      </c>
      <c r="M87" s="2"/>
      <c r="N87" s="6">
        <f t="shared" si="31"/>
        <v>-1</v>
      </c>
      <c r="O87" s="11"/>
      <c r="P87" s="7"/>
      <c r="Q87" s="2"/>
      <c r="R87" s="6">
        <f t="shared" si="32"/>
        <v>0</v>
      </c>
      <c r="S87" s="2"/>
      <c r="T87" s="7">
        <v>400</v>
      </c>
      <c r="U87" s="2"/>
      <c r="V87" s="6">
        <f t="shared" si="33"/>
        <v>2.2211227664528276E-2</v>
      </c>
      <c r="W87" s="2"/>
      <c r="X87" s="7">
        <f t="shared" si="34"/>
        <v>-400</v>
      </c>
      <c r="Y87" s="2"/>
      <c r="Z87" s="6">
        <f t="shared" si="35"/>
        <v>-1</v>
      </c>
    </row>
    <row r="88" spans="1:26" s="28" customFormat="1" outlineLevel="1" collapsed="1" x14ac:dyDescent="0.25">
      <c r="A88" s="27"/>
      <c r="B88" s="14" t="str">
        <f>CONCATENATE("     ","Professional Services                             ")</f>
        <v xml:space="preserve">     Professional Services                             </v>
      </c>
      <c r="C88" s="14"/>
      <c r="D88" s="1">
        <f>SUM(OSRRefD22_6x_0)</f>
        <v>750</v>
      </c>
      <c r="E88" s="1"/>
      <c r="F88" s="5">
        <f t="shared" si="28"/>
        <v>3.9959976087950294E-2</v>
      </c>
      <c r="G88" s="1"/>
      <c r="H88" s="1">
        <f>SUM(OSRRefH22_6x_0)</f>
        <v>750</v>
      </c>
      <c r="I88" s="1"/>
      <c r="J88" s="5">
        <f t="shared" si="29"/>
        <v>4.1646051870990519E-2</v>
      </c>
      <c r="K88" s="1"/>
      <c r="L88" s="1">
        <f t="shared" si="30"/>
        <v>0</v>
      </c>
      <c r="M88" s="1"/>
      <c r="N88" s="5">
        <f t="shared" si="31"/>
        <v>0</v>
      </c>
      <c r="O88" s="14"/>
      <c r="P88" s="1">
        <f>SUM(OSRRefP22_6x_0)</f>
        <v>750</v>
      </c>
      <c r="Q88" s="1"/>
      <c r="R88" s="5">
        <f t="shared" si="32"/>
        <v>3.9959976087950294E-2</v>
      </c>
      <c r="S88" s="1"/>
      <c r="T88" s="1">
        <f>SUM(OSRRefT22_6x_0)</f>
        <v>750</v>
      </c>
      <c r="U88" s="1"/>
      <c r="V88" s="5">
        <f t="shared" si="33"/>
        <v>4.1646051870990519E-2</v>
      </c>
      <c r="W88" s="1"/>
      <c r="X88" s="1">
        <f t="shared" si="34"/>
        <v>0</v>
      </c>
      <c r="Y88" s="1"/>
      <c r="Z88" s="5">
        <f t="shared" si="35"/>
        <v>0</v>
      </c>
    </row>
    <row r="89" spans="1:26" s="24" customFormat="1" hidden="1" outlineLevel="2" x14ac:dyDescent="0.25">
      <c r="A89" s="29"/>
      <c r="B89" s="11" t="str">
        <f>CONCATENATE("          ", "6336", " - ", "PROFESSIONAL SERVICES")</f>
        <v xml:space="preserve">          6336 - PROFESSIONAL SERVICES</v>
      </c>
      <c r="C89" s="11"/>
      <c r="D89" s="7">
        <v>750</v>
      </c>
      <c r="E89" s="2"/>
      <c r="F89" s="6">
        <f t="shared" si="28"/>
        <v>3.9959976087950294E-2</v>
      </c>
      <c r="G89" s="2"/>
      <c r="H89" s="7">
        <v>750</v>
      </c>
      <c r="I89" s="2"/>
      <c r="J89" s="6">
        <f t="shared" si="29"/>
        <v>4.1646051870990519E-2</v>
      </c>
      <c r="K89" s="2"/>
      <c r="L89" s="7">
        <f t="shared" si="30"/>
        <v>0</v>
      </c>
      <c r="M89" s="2"/>
      <c r="N89" s="6">
        <f t="shared" si="31"/>
        <v>0</v>
      </c>
      <c r="O89" s="11"/>
      <c r="P89" s="7">
        <v>750</v>
      </c>
      <c r="Q89" s="2"/>
      <c r="R89" s="6">
        <f t="shared" si="32"/>
        <v>3.9959976087950294E-2</v>
      </c>
      <c r="S89" s="2"/>
      <c r="T89" s="7">
        <v>750</v>
      </c>
      <c r="U89" s="2"/>
      <c r="V89" s="6">
        <f t="shared" si="33"/>
        <v>4.1646051870990519E-2</v>
      </c>
      <c r="W89" s="2"/>
      <c r="X89" s="7">
        <f t="shared" si="34"/>
        <v>0</v>
      </c>
      <c r="Y89" s="2"/>
      <c r="Z89" s="6">
        <f t="shared" si="35"/>
        <v>0</v>
      </c>
    </row>
    <row r="90" spans="1:26" s="28" customFormat="1" outlineLevel="1" collapsed="1" x14ac:dyDescent="0.25">
      <c r="A90" s="27"/>
      <c r="B90" s="14" t="str">
        <f>CONCATENATE("     ","Services                                          ")</f>
        <v xml:space="preserve">     Services                                          </v>
      </c>
      <c r="C90" s="14"/>
      <c r="D90" s="1">
        <f>SUM(OSRRefD22_7x_0)</f>
        <v>207.67</v>
      </c>
      <c r="E90" s="1"/>
      <c r="F90" s="5">
        <f t="shared" si="28"/>
        <v>1.1064650978912851E-2</v>
      </c>
      <c r="G90" s="1"/>
      <c r="H90" s="1">
        <f>SUM(OSRRefH22_7x_0)</f>
        <v>234.6</v>
      </c>
      <c r="I90" s="1"/>
      <c r="J90" s="5">
        <f t="shared" si="29"/>
        <v>1.3026885025245833E-2</v>
      </c>
      <c r="K90" s="1"/>
      <c r="L90" s="1">
        <f t="shared" si="30"/>
        <v>-26.930000000000007</v>
      </c>
      <c r="M90" s="1"/>
      <c r="N90" s="5">
        <f t="shared" si="31"/>
        <v>-0.11479113384484231</v>
      </c>
      <c r="O90" s="14"/>
      <c r="P90" s="1">
        <f>SUM(OSRRefP22_7x_0)</f>
        <v>207.67</v>
      </c>
      <c r="Q90" s="1"/>
      <c r="R90" s="5">
        <f t="shared" si="32"/>
        <v>1.1064650978912851E-2</v>
      </c>
      <c r="S90" s="1"/>
      <c r="T90" s="1">
        <f>SUM(OSRRefT22_7x_0)</f>
        <v>234.6</v>
      </c>
      <c r="U90" s="1"/>
      <c r="V90" s="5">
        <f t="shared" si="33"/>
        <v>1.3026885025245833E-2</v>
      </c>
      <c r="W90" s="1"/>
      <c r="X90" s="1">
        <f t="shared" si="34"/>
        <v>-26.930000000000007</v>
      </c>
      <c r="Y90" s="1"/>
      <c r="Z90" s="5">
        <f t="shared" si="35"/>
        <v>-0.11479113384484231</v>
      </c>
    </row>
    <row r="91" spans="1:26" s="24" customFormat="1" hidden="1" outlineLevel="2" x14ac:dyDescent="0.25">
      <c r="A91" s="29"/>
      <c r="B91" s="11" t="str">
        <f>CONCATENATE("          ", "6282", " - ", "JANITORIAL/EXTERMINATOR EXPENS")</f>
        <v xml:space="preserve">          6282 - JANITORIAL/EXTERMINATOR EXPENS</v>
      </c>
      <c r="C91" s="11"/>
      <c r="D91" s="7">
        <v>44</v>
      </c>
      <c r="E91" s="2"/>
      <c r="F91" s="6">
        <f t="shared" si="28"/>
        <v>2.3443185971597507E-3</v>
      </c>
      <c r="G91" s="2"/>
      <c r="H91" s="7">
        <v>41.5</v>
      </c>
      <c r="I91" s="2"/>
      <c r="J91" s="6">
        <f t="shared" si="29"/>
        <v>2.3044148701948089E-3</v>
      </c>
      <c r="K91" s="2"/>
      <c r="L91" s="7">
        <f t="shared" si="30"/>
        <v>2.5</v>
      </c>
      <c r="M91" s="2"/>
      <c r="N91" s="6">
        <f t="shared" si="31"/>
        <v>6.0240963855421686E-2</v>
      </c>
      <c r="O91" s="11"/>
      <c r="P91" s="7">
        <v>44</v>
      </c>
      <c r="Q91" s="2"/>
      <c r="R91" s="6">
        <f t="shared" si="32"/>
        <v>2.3443185971597507E-3</v>
      </c>
      <c r="S91" s="2"/>
      <c r="T91" s="7">
        <v>41.5</v>
      </c>
      <c r="U91" s="2"/>
      <c r="V91" s="6">
        <f t="shared" si="33"/>
        <v>2.3044148701948089E-3</v>
      </c>
      <c r="W91" s="2"/>
      <c r="X91" s="7">
        <f t="shared" si="34"/>
        <v>2.5</v>
      </c>
      <c r="Y91" s="2"/>
      <c r="Z91" s="6">
        <f t="shared" si="35"/>
        <v>6.0240963855421686E-2</v>
      </c>
    </row>
    <row r="92" spans="1:26" s="24" customFormat="1" hidden="1" outlineLevel="2" x14ac:dyDescent="0.25">
      <c r="A92" s="29"/>
      <c r="B92" s="11" t="str">
        <f>CONCATENATE("          ", "6285", " - ", "JANITORIAL SERVICES")</f>
        <v xml:space="preserve">          6285 - JANITORIAL SERVICES</v>
      </c>
      <c r="C92" s="11"/>
      <c r="D92" s="7">
        <v>163.66999999999999</v>
      </c>
      <c r="E92" s="2"/>
      <c r="F92" s="6">
        <f t="shared" si="28"/>
        <v>8.7203323817530987E-3</v>
      </c>
      <c r="G92" s="2"/>
      <c r="H92" s="7">
        <v>193.1</v>
      </c>
      <c r="I92" s="2"/>
      <c r="J92" s="6">
        <f t="shared" si="29"/>
        <v>1.0722470155051025E-2</v>
      </c>
      <c r="K92" s="2"/>
      <c r="L92" s="7">
        <f t="shared" si="30"/>
        <v>-29.430000000000007</v>
      </c>
      <c r="M92" s="2"/>
      <c r="N92" s="6">
        <f t="shared" si="31"/>
        <v>-0.1524080787156914</v>
      </c>
      <c r="O92" s="11"/>
      <c r="P92" s="7">
        <v>163.66999999999999</v>
      </c>
      <c r="Q92" s="2"/>
      <c r="R92" s="6">
        <f t="shared" si="32"/>
        <v>8.7203323817530987E-3</v>
      </c>
      <c r="S92" s="2"/>
      <c r="T92" s="7">
        <v>193.1</v>
      </c>
      <c r="U92" s="2"/>
      <c r="V92" s="6">
        <f t="shared" si="33"/>
        <v>1.0722470155051025E-2</v>
      </c>
      <c r="W92" s="2"/>
      <c r="X92" s="7">
        <f t="shared" si="34"/>
        <v>-29.430000000000007</v>
      </c>
      <c r="Y92" s="2"/>
      <c r="Z92" s="6">
        <f t="shared" si="35"/>
        <v>-0.1524080787156914</v>
      </c>
    </row>
    <row r="93" spans="1:26" s="28" customFormat="1" outlineLevel="1" collapsed="1" x14ac:dyDescent="0.25">
      <c r="A93" s="27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SUM(OSRRefD22_8x_0)</f>
        <v>161.13</v>
      </c>
      <c r="E93" s="1"/>
      <c r="F93" s="5">
        <f t="shared" ref="F93:F96" si="36">IF(D$12=0,0,D93/D$12)</f>
        <v>8.5850012627352416E-3</v>
      </c>
      <c r="G93" s="1"/>
      <c r="H93" s="1">
        <f>SUM(OSRRefH22_8x_0)</f>
        <v>33.61</v>
      </c>
      <c r="I93" s="1"/>
      <c r="J93" s="5">
        <f t="shared" ref="J93:J96" si="37">IF(H$12=0,0,H93/H$12)</f>
        <v>1.8662984045119883E-3</v>
      </c>
      <c r="K93" s="1"/>
      <c r="L93" s="1">
        <f t="shared" ref="L93:L96" si="38">+D93-H93</f>
        <v>127.52</v>
      </c>
      <c r="M93" s="1"/>
      <c r="N93" s="5">
        <f t="shared" ref="N93:N96" si="39">IF(H93=0,0,L93/H93)</f>
        <v>3.7941088961618563</v>
      </c>
      <c r="O93" s="14"/>
      <c r="P93" s="1">
        <f>SUM(OSRRefP22_8x_0)</f>
        <v>161.13</v>
      </c>
      <c r="Q93" s="1"/>
      <c r="R93" s="5">
        <f t="shared" ref="R93:R96" si="40">IF(P$12=0,0,P93/P$12)</f>
        <v>8.5850012627352416E-3</v>
      </c>
      <c r="S93" s="1"/>
      <c r="T93" s="1">
        <f>SUM(OSRRefT22_8x_0)</f>
        <v>33.61</v>
      </c>
      <c r="U93" s="1"/>
      <c r="V93" s="5">
        <f t="shared" ref="V93:V96" si="41">IF(T$12=0,0,T93/T$12)</f>
        <v>1.8662984045119883E-3</v>
      </c>
      <c r="W93" s="1"/>
      <c r="X93" s="1">
        <f t="shared" ref="X93:X96" si="42">+P93-T93</f>
        <v>127.52</v>
      </c>
      <c r="Y93" s="1"/>
      <c r="Z93" s="5">
        <f t="shared" ref="Z93:Z96" si="43">IF(T93=0,0,X93/T93)</f>
        <v>3.7941088961618563</v>
      </c>
    </row>
    <row r="94" spans="1:26" s="24" customFormat="1" hidden="1" outlineLevel="2" x14ac:dyDescent="0.25">
      <c r="A94" s="29"/>
      <c r="B94" s="11" t="str">
        <f>CONCATENATE("          ", "6241", " - ", "OFFICE EXPENSE")</f>
        <v xml:space="preserve">          6241 - OFFICE EXPENSE</v>
      </c>
      <c r="C94" s="11"/>
      <c r="D94" s="7">
        <v>161.13</v>
      </c>
      <c r="E94" s="2"/>
      <c r="F94" s="6">
        <f t="shared" si="36"/>
        <v>8.5850012627352416E-3</v>
      </c>
      <c r="G94" s="2"/>
      <c r="H94" s="7">
        <v>33.61</v>
      </c>
      <c r="I94" s="2"/>
      <c r="J94" s="6">
        <f t="shared" si="37"/>
        <v>1.8662984045119883E-3</v>
      </c>
      <c r="K94" s="2"/>
      <c r="L94" s="7">
        <f t="shared" si="38"/>
        <v>127.52</v>
      </c>
      <c r="M94" s="2"/>
      <c r="N94" s="6">
        <f t="shared" si="39"/>
        <v>3.7941088961618563</v>
      </c>
      <c r="O94" s="11"/>
      <c r="P94" s="7">
        <v>161.13</v>
      </c>
      <c r="Q94" s="2"/>
      <c r="R94" s="6">
        <f t="shared" si="40"/>
        <v>8.5850012627352416E-3</v>
      </c>
      <c r="S94" s="2"/>
      <c r="T94" s="7">
        <v>33.61</v>
      </c>
      <c r="U94" s="2"/>
      <c r="V94" s="6">
        <f t="shared" si="41"/>
        <v>1.8662984045119883E-3</v>
      </c>
      <c r="W94" s="2"/>
      <c r="X94" s="7">
        <f t="shared" si="42"/>
        <v>127.52</v>
      </c>
      <c r="Y94" s="2"/>
      <c r="Z94" s="6">
        <f t="shared" si="43"/>
        <v>3.7941088961618563</v>
      </c>
    </row>
    <row r="95" spans="1:26" s="28" customFormat="1" outlineLevel="1" collapsed="1" x14ac:dyDescent="0.25">
      <c r="A95" s="27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SUM(OSRRefD22_9x_0)</f>
        <v>74</v>
      </c>
      <c r="E95" s="1"/>
      <c r="F95" s="5">
        <f t="shared" si="36"/>
        <v>3.9427176406777627E-3</v>
      </c>
      <c r="G95" s="1"/>
      <c r="H95" s="1">
        <f>SUM(OSRRefH22_9x_0)</f>
        <v>85</v>
      </c>
      <c r="I95" s="1"/>
      <c r="J95" s="5">
        <f t="shared" si="37"/>
        <v>4.7198858787122584E-3</v>
      </c>
      <c r="K95" s="1"/>
      <c r="L95" s="1">
        <f t="shared" si="38"/>
        <v>-11</v>
      </c>
      <c r="M95" s="1"/>
      <c r="N95" s="5">
        <f t="shared" si="39"/>
        <v>-0.12941176470588237</v>
      </c>
      <c r="O95" s="14"/>
      <c r="P95" s="1">
        <f>SUM(OSRRefP22_9x_0)</f>
        <v>74</v>
      </c>
      <c r="Q95" s="1"/>
      <c r="R95" s="5">
        <f t="shared" si="40"/>
        <v>3.9427176406777627E-3</v>
      </c>
      <c r="S95" s="1"/>
      <c r="T95" s="1">
        <f>SUM(OSRRefT22_9x_0)</f>
        <v>85</v>
      </c>
      <c r="U95" s="1"/>
      <c r="V95" s="5">
        <f t="shared" si="41"/>
        <v>4.7198858787122584E-3</v>
      </c>
      <c r="W95" s="1"/>
      <c r="X95" s="1">
        <f t="shared" si="42"/>
        <v>-11</v>
      </c>
      <c r="Y95" s="1"/>
      <c r="Z95" s="5">
        <f t="shared" si="43"/>
        <v>-0.12941176470588237</v>
      </c>
    </row>
    <row r="96" spans="1:26" s="24" customFormat="1" hidden="1" outlineLevel="2" x14ac:dyDescent="0.25">
      <c r="A96" s="29"/>
      <c r="B96" s="11" t="str">
        <f>CONCATENATE("          ", "6309", " - ", "TELEPHONE")</f>
        <v xml:space="preserve">          6309 - TELEPHONE</v>
      </c>
      <c r="C96" s="11"/>
      <c r="D96" s="7">
        <v>74</v>
      </c>
      <c r="E96" s="2"/>
      <c r="F96" s="6">
        <f t="shared" si="36"/>
        <v>3.9427176406777627E-3</v>
      </c>
      <c r="G96" s="2"/>
      <c r="H96" s="7">
        <v>85</v>
      </c>
      <c r="I96" s="2"/>
      <c r="J96" s="6">
        <f t="shared" si="37"/>
        <v>4.7198858787122584E-3</v>
      </c>
      <c r="K96" s="2"/>
      <c r="L96" s="7">
        <f t="shared" si="38"/>
        <v>-11</v>
      </c>
      <c r="M96" s="2"/>
      <c r="N96" s="6">
        <f t="shared" si="39"/>
        <v>-0.12941176470588237</v>
      </c>
      <c r="O96" s="11"/>
      <c r="P96" s="7">
        <v>74</v>
      </c>
      <c r="Q96" s="2"/>
      <c r="R96" s="6">
        <f t="shared" si="40"/>
        <v>3.9427176406777627E-3</v>
      </c>
      <c r="S96" s="2"/>
      <c r="T96" s="7">
        <v>85</v>
      </c>
      <c r="U96" s="2"/>
      <c r="V96" s="6">
        <f t="shared" si="41"/>
        <v>4.7198858787122584E-3</v>
      </c>
      <c r="W96" s="2"/>
      <c r="X96" s="7">
        <f t="shared" si="42"/>
        <v>-11</v>
      </c>
      <c r="Y96" s="2"/>
      <c r="Z96" s="6">
        <f t="shared" si="43"/>
        <v>-0.12941176470588237</v>
      </c>
    </row>
    <row r="97" spans="1:26" s="54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6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5" t="s">
        <v>3</v>
      </c>
      <c r="C100" s="25"/>
      <c r="D100" s="21">
        <f>+D64-D66+D98</f>
        <v>-14204.139999999987</v>
      </c>
      <c r="E100" s="13"/>
      <c r="F100" s="20">
        <f>IF(D$12=0,0,D100/D$12)</f>
        <v>-0.75679612633319704</v>
      </c>
      <c r="G100" s="13"/>
      <c r="H100" s="21">
        <f>+H64-H66+H98</f>
        <v>-10367.090000000009</v>
      </c>
      <c r="I100" s="13"/>
      <c r="J100" s="20">
        <f>IF(H$12=0,0,H100/H$12)</f>
        <v>-0.5756644905216366</v>
      </c>
      <c r="K100" s="16"/>
      <c r="L100" s="21">
        <f>+D100-H100</f>
        <v>-3837.0499999999774</v>
      </c>
      <c r="M100" s="16"/>
      <c r="N100" s="20">
        <f>IF(H100=0,0,L100/H100)</f>
        <v>0.37011832635773145</v>
      </c>
      <c r="O100" s="26"/>
      <c r="P100" s="21">
        <f>+P64-P66+P98</f>
        <v>-14204.139999999987</v>
      </c>
      <c r="Q100" s="13"/>
      <c r="R100" s="20">
        <f>IF(P$12=0,0,P100/P$12)</f>
        <v>-0.75679612633319704</v>
      </c>
      <c r="S100" s="13"/>
      <c r="T100" s="21">
        <f>+T64-T66+T98</f>
        <v>-10367.090000000009</v>
      </c>
      <c r="U100" s="13"/>
      <c r="V100" s="20">
        <f>IF(T$12=0,0,T100/T$12)</f>
        <v>-0.5756644905216366</v>
      </c>
      <c r="W100" s="16"/>
      <c r="X100" s="21">
        <f>+P100-T100</f>
        <v>-3837.0499999999774</v>
      </c>
      <c r="Y100" s="16"/>
      <c r="Z100" s="20">
        <f>IF(T100=0,0,X100/T100)</f>
        <v>0.37011832635773145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3902.58</v>
      </c>
      <c r="E102" s="4"/>
      <c r="F102" s="12">
        <f>IF(D$12=0,0,D102/D$12)</f>
        <v>0.20792933797508409</v>
      </c>
      <c r="G102" s="4"/>
      <c r="H102" s="4">
        <v>3697.24</v>
      </c>
      <c r="I102" s="4"/>
      <c r="J102" s="12">
        <f>IF(H$12=0,0,H102/H$12)</f>
        <v>0.20530059842600129</v>
      </c>
      <c r="K102" s="4"/>
      <c r="L102" s="4">
        <f>+D102-H102</f>
        <v>205.34000000000015</v>
      </c>
      <c r="M102" s="4"/>
      <c r="N102" s="12">
        <f>IF(H102=0,0,L102/H102)</f>
        <v>5.5538726184937999E-2</v>
      </c>
      <c r="O102" s="10"/>
      <c r="P102" s="4">
        <v>3902.58</v>
      </c>
      <c r="Q102" s="4"/>
      <c r="R102" s="12">
        <f>IF(P$12=0,0,P102/P$12)</f>
        <v>0.20792933797508409</v>
      </c>
      <c r="S102" s="4"/>
      <c r="T102" s="4">
        <v>3697.24</v>
      </c>
      <c r="U102" s="4"/>
      <c r="V102" s="12">
        <f>IF(T$12=0,0,T102/T$12)</f>
        <v>0.20530059842600129</v>
      </c>
      <c r="W102" s="4"/>
      <c r="X102" s="4">
        <f>+P102-T102</f>
        <v>205.34000000000015</v>
      </c>
      <c r="Y102" s="4"/>
      <c r="Z102" s="12">
        <f>IF(T102=0,0,X102/T102)</f>
        <v>5.5538726184937999E-2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4</v>
      </c>
      <c r="C104" s="25"/>
      <c r="D104" s="33">
        <f>+D100-D102</f>
        <v>-18106.719999999987</v>
      </c>
      <c r="E104" s="13"/>
      <c r="F104" s="34">
        <f>IF(D$12=0,0,D104/D$12)</f>
        <v>-0.9647254643082811</v>
      </c>
      <c r="G104" s="13"/>
      <c r="H104" s="33">
        <f>+H100-H102</f>
        <v>-14064.330000000009</v>
      </c>
      <c r="I104" s="13"/>
      <c r="J104" s="34">
        <f>IF(H$12=0,0,H104/H$12)</f>
        <v>-0.78096508894763794</v>
      </c>
      <c r="K104" s="16"/>
      <c r="L104" s="33">
        <f>D104-H104</f>
        <v>-4042.3899999999776</v>
      </c>
      <c r="M104" s="16"/>
      <c r="N104" s="34">
        <f>IF(H104=0,0,L104/H104)</f>
        <v>0.28742144133421038</v>
      </c>
      <c r="O104" s="26"/>
      <c r="P104" s="33">
        <f>+P100-P102</f>
        <v>-18106.719999999987</v>
      </c>
      <c r="Q104" s="13"/>
      <c r="R104" s="34">
        <f>IF(P$12=0,0,P104/P$12)</f>
        <v>-0.9647254643082811</v>
      </c>
      <c r="S104" s="13"/>
      <c r="T104" s="33">
        <f>+T100-T102</f>
        <v>-14064.330000000009</v>
      </c>
      <c r="U104" s="13"/>
      <c r="V104" s="34">
        <f>IF(T$12=0,0,T104/T$12)</f>
        <v>-0.78096508894763794</v>
      </c>
      <c r="W104" s="16"/>
      <c r="X104" s="33">
        <f>P104-T104</f>
        <v>-4042.3899999999776</v>
      </c>
      <c r="Y104" s="16"/>
      <c r="Z104" s="34">
        <f>IF(T104=0,0,X104/T104)</f>
        <v>0.28742144133421038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5</v>
      </c>
      <c r="C107" s="25"/>
      <c r="D107" s="31">
        <f>SUM(D104:D106)</f>
        <v>-18106.719999999987</v>
      </c>
      <c r="E107" s="13"/>
      <c r="F107" s="30">
        <f>IF(D$12=0,0,D107/D$12)</f>
        <v>-0.9647254643082811</v>
      </c>
      <c r="G107" s="13"/>
      <c r="H107" s="31">
        <f>SUM(H104:H106)</f>
        <v>-14064.330000000009</v>
      </c>
      <c r="I107" s="13"/>
      <c r="J107" s="30">
        <f>IF(H$12=0,0,H107/H$12)</f>
        <v>-0.78096508894763794</v>
      </c>
      <c r="K107" s="16"/>
      <c r="L107" s="31">
        <f>+D107-H107</f>
        <v>-4042.3899999999776</v>
      </c>
      <c r="M107" s="16"/>
      <c r="N107" s="30">
        <f>IF(H107=0,0,L107/H107)</f>
        <v>0.28742144133421038</v>
      </c>
      <c r="O107" s="26"/>
      <c r="P107" s="31">
        <f>SUM(P104:P106)</f>
        <v>-18106.719999999987</v>
      </c>
      <c r="Q107" s="13"/>
      <c r="R107" s="30">
        <f>IF(P$12=0,0,P107/P$12)</f>
        <v>-0.9647254643082811</v>
      </c>
      <c r="S107" s="13"/>
      <c r="T107" s="31">
        <f>SUM(T104:T106)</f>
        <v>-14064.330000000009</v>
      </c>
      <c r="U107" s="13"/>
      <c r="V107" s="30">
        <f>IF(T$12=0,0,T107/T$12)</f>
        <v>-0.78096508894763794</v>
      </c>
      <c r="W107" s="16"/>
      <c r="X107" s="31">
        <f>+P107-T107</f>
        <v>-4042.3899999999776</v>
      </c>
      <c r="Y107" s="16"/>
      <c r="Z107" s="30">
        <f>IF(T107=0,0,X107/T107)</f>
        <v>0.28742144133421038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6">
        <v>43726.681383333336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3" t="s">
        <v>313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2425.96</v>
      </c>
      <c r="E12" s="4"/>
      <c r="F12" s="12"/>
      <c r="G12" s="4"/>
      <c r="H12" s="4">
        <f>SUM(OSRRefH13x_0)</f>
        <v>1878.0400000000004</v>
      </c>
      <c r="I12" s="4"/>
      <c r="J12" s="12"/>
      <c r="K12" s="4"/>
      <c r="L12" s="4">
        <f t="shared" ref="L12:L36" si="0">+D12-H12</f>
        <v>547.91999999999962</v>
      </c>
      <c r="M12" s="4"/>
      <c r="N12" s="12">
        <f t="shared" ref="N12:N36" si="1">IF(H12=0,0,L12/H12)</f>
        <v>0.29175097442013986</v>
      </c>
      <c r="O12" s="10"/>
      <c r="P12" s="4">
        <f>SUM(OSRRefP13x_0)</f>
        <v>2425.96</v>
      </c>
      <c r="Q12" s="4"/>
      <c r="R12" s="12"/>
      <c r="S12" s="4"/>
      <c r="T12" s="4">
        <f>SUM(OSRRefT13x_0)</f>
        <v>1878.0400000000004</v>
      </c>
      <c r="U12" s="4"/>
      <c r="V12" s="12"/>
      <c r="W12" s="4"/>
      <c r="X12" s="4">
        <f t="shared" ref="X12:X36" si="2">+P12-T12</f>
        <v>547.91999999999962</v>
      </c>
      <c r="Y12" s="4"/>
      <c r="Z12" s="12">
        <f t="shared" ref="Z12:Z36" si="3">IF(T12=0,0,X12/T12)</f>
        <v>0.29175097442013986</v>
      </c>
    </row>
    <row r="13" spans="1:26" s="24" customFormat="1" hidden="1" outlineLevel="1" x14ac:dyDescent="0.25">
      <c r="A13" s="50"/>
      <c r="B13" s="11" t="str">
        <f>CONCATENATE("          ", "4019", " - ", "TAXABLE SALES-BOOK RELATED")</f>
        <v xml:space="preserve">          4019 - TAXABLE SALES-BOOK RELATED</v>
      </c>
      <c r="C13" s="11"/>
      <c r="D13" s="2">
        <f>0</f>
        <v>0</v>
      </c>
      <c r="E13" s="2"/>
      <c r="F13" s="22"/>
      <c r="G13" s="2"/>
      <c r="H13" s="2">
        <f>--39.9</f>
        <v>39.9</v>
      </c>
      <c r="I13" s="2"/>
      <c r="J13" s="22"/>
      <c r="K13" s="2"/>
      <c r="L13" s="2">
        <f t="shared" si="0"/>
        <v>-39.9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f>--39.9</f>
        <v>39.9</v>
      </c>
      <c r="U13" s="2"/>
      <c r="V13" s="22"/>
      <c r="W13" s="2"/>
      <c r="X13" s="2">
        <f t="shared" si="2"/>
        <v>-39.9</v>
      </c>
      <c r="Y13" s="2"/>
      <c r="Z13" s="22">
        <f t="shared" si="3"/>
        <v>-1</v>
      </c>
    </row>
    <row r="14" spans="1:26" s="24" customFormat="1" hidden="1" outlineLevel="1" x14ac:dyDescent="0.25">
      <c r="A14" s="50"/>
      <c r="B14" s="11" t="str">
        <f>CONCATENATE("          ", "4025", " - ", "TAXABLE SALES-TEST FORMS")</f>
        <v xml:space="preserve">          4025 - TAXABLE SALES-TEST FORMS</v>
      </c>
      <c r="C14" s="11"/>
      <c r="D14" s="2">
        <f>--1.47</f>
        <v>1.47</v>
      </c>
      <c r="E14" s="2"/>
      <c r="F14" s="22"/>
      <c r="G14" s="2"/>
      <c r="H14" s="2">
        <f>--1.8</f>
        <v>1.8</v>
      </c>
      <c r="I14" s="2"/>
      <c r="J14" s="22"/>
      <c r="K14" s="2"/>
      <c r="L14" s="2">
        <f t="shared" si="0"/>
        <v>-0.33000000000000007</v>
      </c>
      <c r="M14" s="2"/>
      <c r="N14" s="22">
        <f t="shared" si="1"/>
        <v>-0.18333333333333338</v>
      </c>
      <c r="O14" s="11"/>
      <c r="P14" s="2">
        <f>--1.47</f>
        <v>1.47</v>
      </c>
      <c r="Q14" s="2"/>
      <c r="R14" s="22"/>
      <c r="S14" s="2"/>
      <c r="T14" s="2">
        <f>--1.8</f>
        <v>1.8</v>
      </c>
      <c r="U14" s="2"/>
      <c r="V14" s="22"/>
      <c r="W14" s="2"/>
      <c r="X14" s="2">
        <f t="shared" si="2"/>
        <v>-0.33000000000000007</v>
      </c>
      <c r="Y14" s="2"/>
      <c r="Z14" s="22">
        <f t="shared" si="3"/>
        <v>-0.18333333333333338</v>
      </c>
    </row>
    <row r="15" spans="1:26" s="24" customFormat="1" hidden="1" outlineLevel="1" x14ac:dyDescent="0.25">
      <c r="A15" s="50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--22.8</f>
        <v>22.8</v>
      </c>
      <c r="E15" s="2"/>
      <c r="F15" s="22"/>
      <c r="G15" s="2"/>
      <c r="H15" s="2">
        <f>--50.98</f>
        <v>50.98</v>
      </c>
      <c r="I15" s="2"/>
      <c r="J15" s="22"/>
      <c r="K15" s="2"/>
      <c r="L15" s="2">
        <f t="shared" si="0"/>
        <v>-28.179999999999996</v>
      </c>
      <c r="M15" s="2"/>
      <c r="N15" s="22">
        <f t="shared" si="1"/>
        <v>-0.55276579050608077</v>
      </c>
      <c r="O15" s="11"/>
      <c r="P15" s="2">
        <f>--22.8</f>
        <v>22.8</v>
      </c>
      <c r="Q15" s="2"/>
      <c r="R15" s="22"/>
      <c r="S15" s="2"/>
      <c r="T15" s="2">
        <f>--50.98</f>
        <v>50.98</v>
      </c>
      <c r="U15" s="2"/>
      <c r="V15" s="22"/>
      <c r="W15" s="2"/>
      <c r="X15" s="2">
        <f t="shared" si="2"/>
        <v>-28.179999999999996</v>
      </c>
      <c r="Y15" s="2"/>
      <c r="Z15" s="22">
        <f t="shared" si="3"/>
        <v>-0.55276579050608077</v>
      </c>
    </row>
    <row r="16" spans="1:26" s="24" customFormat="1" hidden="1" outlineLevel="1" x14ac:dyDescent="0.25">
      <c r="A16" s="50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--72.11</f>
        <v>72.11</v>
      </c>
      <c r="E16" s="2"/>
      <c r="F16" s="22"/>
      <c r="G16" s="2"/>
      <c r="H16" s="2">
        <f>--43.94</f>
        <v>43.94</v>
      </c>
      <c r="I16" s="2"/>
      <c r="J16" s="22"/>
      <c r="K16" s="2"/>
      <c r="L16" s="2">
        <f t="shared" si="0"/>
        <v>28.17</v>
      </c>
      <c r="M16" s="2"/>
      <c r="N16" s="22">
        <f t="shared" si="1"/>
        <v>0.64110150204824767</v>
      </c>
      <c r="O16" s="11"/>
      <c r="P16" s="2">
        <f>--72.11</f>
        <v>72.11</v>
      </c>
      <c r="Q16" s="2"/>
      <c r="R16" s="22"/>
      <c r="S16" s="2"/>
      <c r="T16" s="2">
        <f>--43.94</f>
        <v>43.94</v>
      </c>
      <c r="U16" s="2"/>
      <c r="V16" s="22"/>
      <c r="W16" s="2"/>
      <c r="X16" s="2">
        <f t="shared" si="2"/>
        <v>28.17</v>
      </c>
      <c r="Y16" s="2"/>
      <c r="Z16" s="22">
        <f t="shared" si="3"/>
        <v>0.64110150204824767</v>
      </c>
    </row>
    <row r="17" spans="1:26" s="24" customFormat="1" hidden="1" outlineLevel="1" x14ac:dyDescent="0.25">
      <c r="A17" s="50"/>
      <c r="B17" s="11" t="str">
        <f>CONCATENATE("          ", "4028", " - ", "TAXABLE SALES-ART/TECH")</f>
        <v xml:space="preserve">          4028 - TAXABLE SALES-ART/TECH</v>
      </c>
      <c r="C17" s="11"/>
      <c r="D17" s="2">
        <f>--1856.37</f>
        <v>1856.37</v>
      </c>
      <c r="E17" s="2"/>
      <c r="F17" s="22"/>
      <c r="G17" s="2"/>
      <c r="H17" s="2">
        <f>--1384.66</f>
        <v>1384.66</v>
      </c>
      <c r="I17" s="2"/>
      <c r="J17" s="22"/>
      <c r="K17" s="2"/>
      <c r="L17" s="2">
        <f t="shared" si="0"/>
        <v>471.70999999999981</v>
      </c>
      <c r="M17" s="2"/>
      <c r="N17" s="22">
        <f t="shared" si="1"/>
        <v>0.34066846734938527</v>
      </c>
      <c r="O17" s="11"/>
      <c r="P17" s="2">
        <f>--1856.37</f>
        <v>1856.37</v>
      </c>
      <c r="Q17" s="2"/>
      <c r="R17" s="22"/>
      <c r="S17" s="2"/>
      <c r="T17" s="2">
        <f>--1384.66</f>
        <v>1384.66</v>
      </c>
      <c r="U17" s="2"/>
      <c r="V17" s="22"/>
      <c r="W17" s="2"/>
      <c r="X17" s="2">
        <f t="shared" si="2"/>
        <v>471.70999999999981</v>
      </c>
      <c r="Y17" s="2"/>
      <c r="Z17" s="22">
        <f t="shared" si="3"/>
        <v>0.34066846734938527</v>
      </c>
    </row>
    <row r="18" spans="1:26" s="24" customFormat="1" hidden="1" outlineLevel="1" x14ac:dyDescent="0.25">
      <c r="A18" s="50"/>
      <c r="B18" s="11" t="str">
        <f>CONCATENATE("          ", "4031", " - ", "TAXABLE SALES-FOOD")</f>
        <v xml:space="preserve">          4031 - TAXABLE SALES-FOOD</v>
      </c>
      <c r="C18" s="11"/>
      <c r="D18" s="2">
        <f>--1.52</f>
        <v>1.52</v>
      </c>
      <c r="E18" s="2"/>
      <c r="F18" s="22"/>
      <c r="G18" s="2"/>
      <c r="H18" s="2">
        <f>--1.23</f>
        <v>1.23</v>
      </c>
      <c r="I18" s="2"/>
      <c r="J18" s="22"/>
      <c r="K18" s="2"/>
      <c r="L18" s="2">
        <f t="shared" si="0"/>
        <v>0.29000000000000004</v>
      </c>
      <c r="M18" s="2"/>
      <c r="N18" s="22">
        <f t="shared" si="1"/>
        <v>0.23577235772357727</v>
      </c>
      <c r="O18" s="11"/>
      <c r="P18" s="2">
        <f>--1.52</f>
        <v>1.52</v>
      </c>
      <c r="Q18" s="2"/>
      <c r="R18" s="22"/>
      <c r="S18" s="2"/>
      <c r="T18" s="2">
        <f>--1.23</f>
        <v>1.23</v>
      </c>
      <c r="U18" s="2"/>
      <c r="V18" s="22"/>
      <c r="W18" s="2"/>
      <c r="X18" s="2">
        <f t="shared" si="2"/>
        <v>0.29000000000000004</v>
      </c>
      <c r="Y18" s="2"/>
      <c r="Z18" s="22">
        <f t="shared" si="3"/>
        <v>0.23577235772357727</v>
      </c>
    </row>
    <row r="19" spans="1:26" s="24" customFormat="1" hidden="1" outlineLevel="1" x14ac:dyDescent="0.25">
      <c r="A19" s="50"/>
      <c r="B19" s="11" t="str">
        <f>CONCATENATE("          ", "4032", " - ", "TAXABLE SALES-JUICE")</f>
        <v xml:space="preserve">          4032 - TAXABLE SALES-JUICE</v>
      </c>
      <c r="C19" s="11"/>
      <c r="D19" s="2">
        <f>--1.47</f>
        <v>1.47</v>
      </c>
      <c r="E19" s="2"/>
      <c r="F19" s="22"/>
      <c r="G19" s="2"/>
      <c r="H19" s="2">
        <f>--0.22</f>
        <v>0.22</v>
      </c>
      <c r="I19" s="2"/>
      <c r="J19" s="22"/>
      <c r="K19" s="2"/>
      <c r="L19" s="2">
        <f t="shared" si="0"/>
        <v>1.25</v>
      </c>
      <c r="M19" s="2"/>
      <c r="N19" s="22">
        <f t="shared" si="1"/>
        <v>5.6818181818181817</v>
      </c>
      <c r="O19" s="11"/>
      <c r="P19" s="2">
        <f>--1.47</f>
        <v>1.47</v>
      </c>
      <c r="Q19" s="2"/>
      <c r="R19" s="22"/>
      <c r="S19" s="2"/>
      <c r="T19" s="2">
        <f>--0.22</f>
        <v>0.22</v>
      </c>
      <c r="U19" s="2"/>
      <c r="V19" s="22"/>
      <c r="W19" s="2"/>
      <c r="X19" s="2">
        <f t="shared" si="2"/>
        <v>1.25</v>
      </c>
      <c r="Y19" s="2"/>
      <c r="Z19" s="22">
        <f t="shared" si="3"/>
        <v>5.6818181818181817</v>
      </c>
    </row>
    <row r="20" spans="1:26" s="24" customFormat="1" hidden="1" outlineLevel="1" x14ac:dyDescent="0.25">
      <c r="A20" s="50"/>
      <c r="B20" s="11" t="str">
        <f>CONCATENATE("          ", "4033", " - ", "TAXABLE SALES-CANDY")</f>
        <v xml:space="preserve">          4033 - TAXABLE SALES-CANDY</v>
      </c>
      <c r="C20" s="11"/>
      <c r="D20" s="2">
        <f>--3.17</f>
        <v>3.17</v>
      </c>
      <c r="E20" s="2"/>
      <c r="F20" s="22"/>
      <c r="G20" s="2"/>
      <c r="H20" s="2">
        <f>--0.68</f>
        <v>0.68</v>
      </c>
      <c r="I20" s="2"/>
      <c r="J20" s="22"/>
      <c r="K20" s="2"/>
      <c r="L20" s="2">
        <f t="shared" si="0"/>
        <v>2.4899999999999998</v>
      </c>
      <c r="M20" s="2"/>
      <c r="N20" s="22">
        <f t="shared" si="1"/>
        <v>3.6617647058823524</v>
      </c>
      <c r="O20" s="11"/>
      <c r="P20" s="2">
        <f>--3.17</f>
        <v>3.17</v>
      </c>
      <c r="Q20" s="2"/>
      <c r="R20" s="22"/>
      <c r="S20" s="2"/>
      <c r="T20" s="2">
        <f>--0.68</f>
        <v>0.68</v>
      </c>
      <c r="U20" s="2"/>
      <c r="V20" s="22"/>
      <c r="W20" s="2"/>
      <c r="X20" s="2">
        <f t="shared" si="2"/>
        <v>2.4899999999999998</v>
      </c>
      <c r="Y20" s="2"/>
      <c r="Z20" s="22">
        <f t="shared" si="3"/>
        <v>3.6617647058823524</v>
      </c>
    </row>
    <row r="21" spans="1:26" s="24" customFormat="1" hidden="1" outlineLevel="1" x14ac:dyDescent="0.25">
      <c r="A21" s="50"/>
      <c r="B21" s="11" t="str">
        <f>CONCATENATE("          ", "4034", " - ", "TAXABLE SALES-SODA")</f>
        <v xml:space="preserve">          4034 - TAXABLE SALES-SODA</v>
      </c>
      <c r="C21" s="11"/>
      <c r="D21" s="2">
        <f>--34.74</f>
        <v>34.74</v>
      </c>
      <c r="E21" s="2"/>
      <c r="F21" s="22"/>
      <c r="G21" s="2"/>
      <c r="H21" s="2">
        <f>--31.26</f>
        <v>31.26</v>
      </c>
      <c r="I21" s="2"/>
      <c r="J21" s="22"/>
      <c r="K21" s="2"/>
      <c r="L21" s="2">
        <f t="shared" si="0"/>
        <v>3.4800000000000004</v>
      </c>
      <c r="M21" s="2"/>
      <c r="N21" s="22">
        <f t="shared" si="1"/>
        <v>0.11132437619961613</v>
      </c>
      <c r="O21" s="11"/>
      <c r="P21" s="2">
        <f>--34.74</f>
        <v>34.74</v>
      </c>
      <c r="Q21" s="2"/>
      <c r="R21" s="22"/>
      <c r="S21" s="2"/>
      <c r="T21" s="2">
        <f>--31.26</f>
        <v>31.26</v>
      </c>
      <c r="U21" s="2"/>
      <c r="V21" s="22"/>
      <c r="W21" s="2"/>
      <c r="X21" s="2">
        <f t="shared" si="2"/>
        <v>3.4800000000000004</v>
      </c>
      <c r="Y21" s="2"/>
      <c r="Z21" s="22">
        <f t="shared" si="3"/>
        <v>0.11132437619961613</v>
      </c>
    </row>
    <row r="22" spans="1:26" s="24" customFormat="1" hidden="1" outlineLevel="1" x14ac:dyDescent="0.25">
      <c r="A22" s="50"/>
      <c r="B22" s="11" t="str">
        <f>CONCATENATE("          ", "4035", " - ", "TAXABLE SALES-HEALTH &amp; BEAUTY")</f>
        <v xml:space="preserve">          4035 - TAXABLE SALES-HEALTH &amp; BEAUTY</v>
      </c>
      <c r="C22" s="11"/>
      <c r="D22" s="2">
        <f>--2.99</f>
        <v>2.99</v>
      </c>
      <c r="E22" s="2"/>
      <c r="F22" s="22"/>
      <c r="G22" s="2"/>
      <c r="H22" s="2">
        <f>--3.55</f>
        <v>3.55</v>
      </c>
      <c r="I22" s="2"/>
      <c r="J22" s="22"/>
      <c r="K22" s="2"/>
      <c r="L22" s="2">
        <f t="shared" si="0"/>
        <v>-0.55999999999999961</v>
      </c>
      <c r="M22" s="2"/>
      <c r="N22" s="22">
        <f t="shared" si="1"/>
        <v>-0.15774647887323934</v>
      </c>
      <c r="O22" s="11"/>
      <c r="P22" s="2">
        <f>--2.99</f>
        <v>2.99</v>
      </c>
      <c r="Q22" s="2"/>
      <c r="R22" s="22"/>
      <c r="S22" s="2"/>
      <c r="T22" s="2">
        <f>--3.55</f>
        <v>3.55</v>
      </c>
      <c r="U22" s="2"/>
      <c r="V22" s="22"/>
      <c r="W22" s="2"/>
      <c r="X22" s="2">
        <f t="shared" si="2"/>
        <v>-0.55999999999999961</v>
      </c>
      <c r="Y22" s="2"/>
      <c r="Z22" s="22">
        <f t="shared" si="3"/>
        <v>-0.15774647887323934</v>
      </c>
    </row>
    <row r="23" spans="1:26" s="24" customFormat="1" hidden="1" outlineLevel="1" x14ac:dyDescent="0.25">
      <c r="A23" s="50"/>
      <c r="B23" s="11" t="str">
        <f>CONCATENATE("          ", "4037", " - ", "TAXABLE SALES-WATER")</f>
        <v xml:space="preserve">          4037 - TAXABLE SALES-WATER</v>
      </c>
      <c r="C23" s="11"/>
      <c r="D23" s="2">
        <f>--5.29</f>
        <v>5.29</v>
      </c>
      <c r="E23" s="2"/>
      <c r="F23" s="22"/>
      <c r="G23" s="2"/>
      <c r="H23" s="2">
        <f>--5.31</f>
        <v>5.31</v>
      </c>
      <c r="I23" s="2"/>
      <c r="J23" s="22"/>
      <c r="K23" s="2"/>
      <c r="L23" s="2">
        <f t="shared" si="0"/>
        <v>-1.9999999999999574E-2</v>
      </c>
      <c r="M23" s="2"/>
      <c r="N23" s="22">
        <f t="shared" si="1"/>
        <v>-3.7664783427494492E-3</v>
      </c>
      <c r="O23" s="11"/>
      <c r="P23" s="2">
        <f>--5.29</f>
        <v>5.29</v>
      </c>
      <c r="Q23" s="2"/>
      <c r="R23" s="22"/>
      <c r="S23" s="2"/>
      <c r="T23" s="2">
        <f>--5.31</f>
        <v>5.31</v>
      </c>
      <c r="U23" s="2"/>
      <c r="V23" s="22"/>
      <c r="W23" s="2"/>
      <c r="X23" s="2">
        <f t="shared" si="2"/>
        <v>-1.9999999999999574E-2</v>
      </c>
      <c r="Y23" s="2"/>
      <c r="Z23" s="22">
        <f t="shared" si="3"/>
        <v>-3.7664783427494492E-3</v>
      </c>
    </row>
    <row r="24" spans="1:26" s="24" customFormat="1" hidden="1" outlineLevel="1" x14ac:dyDescent="0.25">
      <c r="A24" s="50"/>
      <c r="B24" s="11" t="str">
        <f>CONCATENATE("          ", "4042", " - ", "TAXABLE SALES-EVERYDAY GIFTS")</f>
        <v xml:space="preserve">          4042 - TAXABLE SALES-EVERYDAY GIFTS</v>
      </c>
      <c r="C24" s="11"/>
      <c r="D24" s="2">
        <f>0</f>
        <v>0</v>
      </c>
      <c r="E24" s="2"/>
      <c r="F24" s="22"/>
      <c r="G24" s="2"/>
      <c r="H24" s="2">
        <f>--39.95</f>
        <v>39.950000000000003</v>
      </c>
      <c r="I24" s="2"/>
      <c r="J24" s="22"/>
      <c r="K24" s="2"/>
      <c r="L24" s="2">
        <f t="shared" si="0"/>
        <v>-39.950000000000003</v>
      </c>
      <c r="M24" s="2"/>
      <c r="N24" s="22">
        <f t="shared" si="1"/>
        <v>-1</v>
      </c>
      <c r="O24" s="11"/>
      <c r="P24" s="2">
        <f>0</f>
        <v>0</v>
      </c>
      <c r="Q24" s="2"/>
      <c r="R24" s="22"/>
      <c r="S24" s="2"/>
      <c r="T24" s="2">
        <f>--39.95</f>
        <v>39.950000000000003</v>
      </c>
      <c r="U24" s="2"/>
      <c r="V24" s="22"/>
      <c r="W24" s="2"/>
      <c r="X24" s="2">
        <f t="shared" si="2"/>
        <v>-39.950000000000003</v>
      </c>
      <c r="Y24" s="2"/>
      <c r="Z24" s="22">
        <f t="shared" si="3"/>
        <v>-1</v>
      </c>
    </row>
    <row r="25" spans="1:26" s="24" customFormat="1" hidden="1" outlineLevel="1" x14ac:dyDescent="0.25">
      <c r="A25" s="50"/>
      <c r="B25" s="11" t="str">
        <f>CONCATENATE("          ", "4081", " - ", "TAXABLE SALES-ELECTRONICS")</f>
        <v xml:space="preserve">          4081 - TAXABLE SALES-ELECTRONICS</v>
      </c>
      <c r="C25" s="11"/>
      <c r="D25" s="2">
        <f>--7.98</f>
        <v>7.98</v>
      </c>
      <c r="E25" s="2"/>
      <c r="F25" s="22"/>
      <c r="G25" s="2"/>
      <c r="H25" s="2">
        <f>--2.99</f>
        <v>2.99</v>
      </c>
      <c r="I25" s="2"/>
      <c r="J25" s="22"/>
      <c r="K25" s="2"/>
      <c r="L25" s="2">
        <f t="shared" si="0"/>
        <v>4.99</v>
      </c>
      <c r="M25" s="2"/>
      <c r="N25" s="22">
        <f t="shared" si="1"/>
        <v>1.6688963210702341</v>
      </c>
      <c r="O25" s="11"/>
      <c r="P25" s="2">
        <f>--7.98</f>
        <v>7.98</v>
      </c>
      <c r="Q25" s="2"/>
      <c r="R25" s="22"/>
      <c r="S25" s="2"/>
      <c r="T25" s="2">
        <f>--2.99</f>
        <v>2.99</v>
      </c>
      <c r="U25" s="2"/>
      <c r="V25" s="22"/>
      <c r="W25" s="2"/>
      <c r="X25" s="2">
        <f t="shared" si="2"/>
        <v>4.99</v>
      </c>
      <c r="Y25" s="2"/>
      <c r="Z25" s="22">
        <f t="shared" si="3"/>
        <v>1.6688963210702341</v>
      </c>
    </row>
    <row r="26" spans="1:26" s="24" customFormat="1" hidden="1" outlineLevel="1" x14ac:dyDescent="0.25">
      <c r="A26" s="50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--19</f>
        <v>19</v>
      </c>
      <c r="E26" s="2"/>
      <c r="F26" s="22"/>
      <c r="G26" s="2"/>
      <c r="H26" s="2">
        <f>0</f>
        <v>0</v>
      </c>
      <c r="I26" s="2"/>
      <c r="J26" s="22"/>
      <c r="K26" s="2"/>
      <c r="L26" s="2">
        <f t="shared" si="0"/>
        <v>19</v>
      </c>
      <c r="M26" s="2"/>
      <c r="N26" s="22">
        <f t="shared" si="1"/>
        <v>0</v>
      </c>
      <c r="O26" s="11"/>
      <c r="P26" s="2">
        <f>--19</f>
        <v>19</v>
      </c>
      <c r="Q26" s="2"/>
      <c r="R26" s="22"/>
      <c r="S26" s="2"/>
      <c r="T26" s="2">
        <f>0</f>
        <v>0</v>
      </c>
      <c r="U26" s="2"/>
      <c r="V26" s="22"/>
      <c r="W26" s="2"/>
      <c r="X26" s="2">
        <f t="shared" si="2"/>
        <v>19</v>
      </c>
      <c r="Y26" s="2"/>
      <c r="Z26" s="22">
        <f t="shared" si="3"/>
        <v>0</v>
      </c>
    </row>
    <row r="27" spans="1:26" s="24" customFormat="1" hidden="1" outlineLevel="1" x14ac:dyDescent="0.25">
      <c r="A27" s="50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0</f>
        <v>0</v>
      </c>
      <c r="E27" s="2"/>
      <c r="F27" s="22"/>
      <c r="G27" s="2"/>
      <c r="H27" s="2">
        <f>--19.98</f>
        <v>19.98</v>
      </c>
      <c r="I27" s="2"/>
      <c r="J27" s="22"/>
      <c r="K27" s="2"/>
      <c r="L27" s="2">
        <f t="shared" si="0"/>
        <v>-19.98</v>
      </c>
      <c r="M27" s="2"/>
      <c r="N27" s="22">
        <f t="shared" si="1"/>
        <v>-1</v>
      </c>
      <c r="O27" s="11"/>
      <c r="P27" s="2">
        <f>0</f>
        <v>0</v>
      </c>
      <c r="Q27" s="2"/>
      <c r="R27" s="22"/>
      <c r="S27" s="2"/>
      <c r="T27" s="2">
        <f>--19.98</f>
        <v>19.98</v>
      </c>
      <c r="U27" s="2"/>
      <c r="V27" s="22"/>
      <c r="W27" s="2"/>
      <c r="X27" s="2">
        <f t="shared" si="2"/>
        <v>-19.98</v>
      </c>
      <c r="Y27" s="2"/>
      <c r="Z27" s="22">
        <f t="shared" si="3"/>
        <v>-1</v>
      </c>
    </row>
    <row r="28" spans="1:26" s="24" customFormat="1" hidden="1" outlineLevel="1" x14ac:dyDescent="0.25">
      <c r="A28" s="50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>--14.99</f>
        <v>14.99</v>
      </c>
      <c r="E28" s="2"/>
      <c r="F28" s="22"/>
      <c r="G28" s="2"/>
      <c r="H28" s="2">
        <f>--24.98</f>
        <v>24.98</v>
      </c>
      <c r="I28" s="2"/>
      <c r="J28" s="22"/>
      <c r="K28" s="2"/>
      <c r="L28" s="2">
        <f t="shared" si="0"/>
        <v>-9.99</v>
      </c>
      <c r="M28" s="2"/>
      <c r="N28" s="22">
        <f t="shared" si="1"/>
        <v>-0.39991993594875902</v>
      </c>
      <c r="O28" s="11"/>
      <c r="P28" s="2">
        <f>--14.99</f>
        <v>14.99</v>
      </c>
      <c r="Q28" s="2"/>
      <c r="R28" s="22"/>
      <c r="S28" s="2"/>
      <c r="T28" s="2">
        <f>--24.98</f>
        <v>24.98</v>
      </c>
      <c r="U28" s="2"/>
      <c r="V28" s="22"/>
      <c r="W28" s="2"/>
      <c r="X28" s="2">
        <f t="shared" si="2"/>
        <v>-9.99</v>
      </c>
      <c r="Y28" s="2"/>
      <c r="Z28" s="22">
        <f t="shared" si="3"/>
        <v>-0.39991993594875902</v>
      </c>
    </row>
    <row r="29" spans="1:26" s="24" customFormat="1" hidden="1" outlineLevel="1" x14ac:dyDescent="0.25">
      <c r="A29" s="50"/>
      <c r="B29" s="11" t="str">
        <f>CONCATENATE("          ", "4131", " - ", "NON-TAXABLE SALES-FOOD")</f>
        <v xml:space="preserve">          4131 - NON-TAXABLE SALES-FOOD</v>
      </c>
      <c r="C29" s="11"/>
      <c r="D29" s="2">
        <f>--142.2</f>
        <v>142.19999999999999</v>
      </c>
      <c r="E29" s="2"/>
      <c r="F29" s="22"/>
      <c r="G29" s="2"/>
      <c r="H29" s="2">
        <f>--204.82</f>
        <v>204.82</v>
      </c>
      <c r="I29" s="2"/>
      <c r="J29" s="22"/>
      <c r="K29" s="2"/>
      <c r="L29" s="2">
        <f t="shared" si="0"/>
        <v>-62.620000000000005</v>
      </c>
      <c r="M29" s="2"/>
      <c r="N29" s="22">
        <f t="shared" si="1"/>
        <v>-0.30573186212283959</v>
      </c>
      <c r="O29" s="11"/>
      <c r="P29" s="2">
        <f>--142.2</f>
        <v>142.19999999999999</v>
      </c>
      <c r="Q29" s="2"/>
      <c r="R29" s="22"/>
      <c r="S29" s="2"/>
      <c r="T29" s="2">
        <f>--204.82</f>
        <v>204.82</v>
      </c>
      <c r="U29" s="2"/>
      <c r="V29" s="22"/>
      <c r="W29" s="2"/>
      <c r="X29" s="2">
        <f t="shared" si="2"/>
        <v>-62.620000000000005</v>
      </c>
      <c r="Y29" s="2"/>
      <c r="Z29" s="22">
        <f t="shared" si="3"/>
        <v>-0.30573186212283959</v>
      </c>
    </row>
    <row r="30" spans="1:26" s="24" customFormat="1" hidden="1" outlineLevel="1" x14ac:dyDescent="0.25">
      <c r="A30" s="50"/>
      <c r="B30" s="11" t="str">
        <f>CONCATENATE("          ", "4132", " - ", "NON-TAXABLE SALES-JUICE")</f>
        <v xml:space="preserve">          4132 - NON-TAXABLE SALES-JUICE</v>
      </c>
      <c r="C30" s="11"/>
      <c r="D30" s="2">
        <f>--45.31</f>
        <v>45.31</v>
      </c>
      <c r="E30" s="2"/>
      <c r="F30" s="22"/>
      <c r="G30" s="2"/>
      <c r="H30" s="2">
        <f>--70.91</f>
        <v>70.91</v>
      </c>
      <c r="I30" s="2"/>
      <c r="J30" s="22"/>
      <c r="K30" s="2"/>
      <c r="L30" s="2">
        <f t="shared" si="0"/>
        <v>-25.599999999999994</v>
      </c>
      <c r="M30" s="2"/>
      <c r="N30" s="22">
        <f t="shared" si="1"/>
        <v>-0.36102101255112107</v>
      </c>
      <c r="O30" s="11"/>
      <c r="P30" s="2">
        <f>--45.31</f>
        <v>45.31</v>
      </c>
      <c r="Q30" s="2"/>
      <c r="R30" s="22"/>
      <c r="S30" s="2"/>
      <c r="T30" s="2">
        <f>--70.91</f>
        <v>70.91</v>
      </c>
      <c r="U30" s="2"/>
      <c r="V30" s="22"/>
      <c r="W30" s="2"/>
      <c r="X30" s="2">
        <f t="shared" si="2"/>
        <v>-25.599999999999994</v>
      </c>
      <c r="Y30" s="2"/>
      <c r="Z30" s="22">
        <f t="shared" si="3"/>
        <v>-0.36102101255112107</v>
      </c>
    </row>
    <row r="31" spans="1:26" s="24" customFormat="1" hidden="1" outlineLevel="1" x14ac:dyDescent="0.25">
      <c r="A31" s="50"/>
      <c r="B31" s="11" t="str">
        <f>CONCATENATE("          ", "4133", " - ", "NON-TAXABLE SALES-CANDY")</f>
        <v xml:space="preserve">          4133 - NON-TAXABLE SALES-CANDY</v>
      </c>
      <c r="C31" s="11"/>
      <c r="D31" s="2">
        <f>--183.37</f>
        <v>183.37</v>
      </c>
      <c r="E31" s="2"/>
      <c r="F31" s="22"/>
      <c r="G31" s="2"/>
      <c r="H31" s="2">
        <f>--74.18</f>
        <v>74.180000000000007</v>
      </c>
      <c r="I31" s="2"/>
      <c r="J31" s="22"/>
      <c r="K31" s="2"/>
      <c r="L31" s="2">
        <f t="shared" si="0"/>
        <v>109.19</v>
      </c>
      <c r="M31" s="2"/>
      <c r="N31" s="22">
        <f t="shared" si="1"/>
        <v>1.4719600970612023</v>
      </c>
      <c r="O31" s="11"/>
      <c r="P31" s="2">
        <f>--183.37</f>
        <v>183.37</v>
      </c>
      <c r="Q31" s="2"/>
      <c r="R31" s="22"/>
      <c r="S31" s="2"/>
      <c r="T31" s="2">
        <f>--74.18</f>
        <v>74.180000000000007</v>
      </c>
      <c r="U31" s="2"/>
      <c r="V31" s="22"/>
      <c r="W31" s="2"/>
      <c r="X31" s="2">
        <f t="shared" si="2"/>
        <v>109.19</v>
      </c>
      <c r="Y31" s="2"/>
      <c r="Z31" s="22">
        <f t="shared" si="3"/>
        <v>1.4719600970612023</v>
      </c>
    </row>
    <row r="32" spans="1:26" s="24" customFormat="1" hidden="1" outlineLevel="1" x14ac:dyDescent="0.25">
      <c r="A32" s="50"/>
      <c r="B32" s="11" t="str">
        <f>CONCATENATE("          ", "4134", " - ", "NON-TAXABLE SALES-SODA")</f>
        <v xml:space="preserve">          4134 - NON-TAXABLE SALES-SODA</v>
      </c>
      <c r="C32" s="11"/>
      <c r="D32" s="2">
        <f>0</f>
        <v>0</v>
      </c>
      <c r="E32" s="2"/>
      <c r="F32" s="22"/>
      <c r="G32" s="2"/>
      <c r="H32" s="2">
        <f>--5.25</f>
        <v>5.25</v>
      </c>
      <c r="I32" s="2"/>
      <c r="J32" s="22"/>
      <c r="K32" s="2"/>
      <c r="L32" s="2">
        <f t="shared" si="0"/>
        <v>-5.25</v>
      </c>
      <c r="M32" s="2"/>
      <c r="N32" s="22">
        <f t="shared" si="1"/>
        <v>-1</v>
      </c>
      <c r="O32" s="11"/>
      <c r="P32" s="2">
        <f>0</f>
        <v>0</v>
      </c>
      <c r="Q32" s="2"/>
      <c r="R32" s="22"/>
      <c r="S32" s="2"/>
      <c r="T32" s="2">
        <f>--5.25</f>
        <v>5.25</v>
      </c>
      <c r="U32" s="2"/>
      <c r="V32" s="22"/>
      <c r="W32" s="2"/>
      <c r="X32" s="2">
        <f t="shared" si="2"/>
        <v>-5.25</v>
      </c>
      <c r="Y32" s="2"/>
      <c r="Z32" s="22">
        <f t="shared" si="3"/>
        <v>-1</v>
      </c>
    </row>
    <row r="33" spans="1:26" s="24" customFormat="1" hidden="1" outlineLevel="1" x14ac:dyDescent="0.25">
      <c r="A33" s="50"/>
      <c r="B33" s="11" t="str">
        <f>CONCATENATE("          ", "4137", " - ", "NON-TAXABLE SALES-WATER")</f>
        <v xml:space="preserve">          4137 - NON-TAXABLE SALES-WATER</v>
      </c>
      <c r="C33" s="11"/>
      <c r="D33" s="2">
        <f>--30.52</f>
        <v>30.52</v>
      </c>
      <c r="E33" s="2"/>
      <c r="F33" s="22"/>
      <c r="G33" s="2"/>
      <c r="H33" s="2">
        <f>--35.88</f>
        <v>35.880000000000003</v>
      </c>
      <c r="I33" s="2"/>
      <c r="J33" s="22"/>
      <c r="K33" s="2"/>
      <c r="L33" s="2">
        <f t="shared" si="0"/>
        <v>-5.360000000000003</v>
      </c>
      <c r="M33" s="2"/>
      <c r="N33" s="22">
        <f t="shared" si="1"/>
        <v>-0.14938684503901903</v>
      </c>
      <c r="O33" s="11"/>
      <c r="P33" s="2">
        <f>--30.52</f>
        <v>30.52</v>
      </c>
      <c r="Q33" s="2"/>
      <c r="R33" s="22"/>
      <c r="S33" s="2"/>
      <c r="T33" s="2">
        <f>--35.88</f>
        <v>35.880000000000003</v>
      </c>
      <c r="U33" s="2"/>
      <c r="V33" s="22"/>
      <c r="W33" s="2"/>
      <c r="X33" s="2">
        <f t="shared" si="2"/>
        <v>-5.360000000000003</v>
      </c>
      <c r="Y33" s="2"/>
      <c r="Z33" s="22">
        <f t="shared" si="3"/>
        <v>-0.14938684503901903</v>
      </c>
    </row>
    <row r="34" spans="1:26" s="24" customFormat="1" hidden="1" outlineLevel="1" x14ac:dyDescent="0.25">
      <c r="A34" s="50"/>
      <c r="B34" s="11" t="str">
        <f>CONCATENATE("          ", "4186", " - ", "NON-TAXABLE SALES-COMPUTER SUP")</f>
        <v xml:space="preserve">          4186 - NON-TAXABLE SALES-COMPUTER SUP</v>
      </c>
      <c r="C34" s="11"/>
      <c r="D34" s="2">
        <f>0</f>
        <v>0</v>
      </c>
      <c r="E34" s="2"/>
      <c r="F34" s="22"/>
      <c r="G34" s="2"/>
      <c r="H34" s="2">
        <f>-14.99</f>
        <v>-14.99</v>
      </c>
      <c r="I34" s="2"/>
      <c r="J34" s="22"/>
      <c r="K34" s="2"/>
      <c r="L34" s="2">
        <f t="shared" si="0"/>
        <v>14.99</v>
      </c>
      <c r="M34" s="2"/>
      <c r="N34" s="22">
        <f t="shared" si="1"/>
        <v>-1</v>
      </c>
      <c r="O34" s="11"/>
      <c r="P34" s="2">
        <f>0</f>
        <v>0</v>
      </c>
      <c r="Q34" s="2"/>
      <c r="R34" s="22"/>
      <c r="S34" s="2"/>
      <c r="T34" s="2">
        <f>-14.99</f>
        <v>-14.99</v>
      </c>
      <c r="U34" s="2"/>
      <c r="V34" s="22"/>
      <c r="W34" s="2"/>
      <c r="X34" s="2">
        <f t="shared" si="2"/>
        <v>14.99</v>
      </c>
      <c r="Y34" s="2"/>
      <c r="Z34" s="22">
        <f t="shared" si="3"/>
        <v>-1</v>
      </c>
    </row>
    <row r="35" spans="1:26" s="24" customFormat="1" hidden="1" outlineLevel="1" x14ac:dyDescent="0.25">
      <c r="A35" s="50"/>
      <c r="B35" s="11" t="str">
        <f>CONCATENATE("          ", "4227", " - ", "SALES RETURN TAXABLE-SCHOOL SU")</f>
        <v xml:space="preserve">          4227 - SALES RETURN TAXABLE-SCHOOL SU</v>
      </c>
      <c r="C35" s="11"/>
      <c r="D35" s="2">
        <f>-8.97</f>
        <v>-8.9700000000000006</v>
      </c>
      <c r="E35" s="2"/>
      <c r="F35" s="22"/>
      <c r="G35" s="2"/>
      <c r="H35" s="2">
        <f>0</f>
        <v>0</v>
      </c>
      <c r="I35" s="2"/>
      <c r="J35" s="22"/>
      <c r="K35" s="2"/>
      <c r="L35" s="2">
        <f t="shared" si="0"/>
        <v>-8.9700000000000006</v>
      </c>
      <c r="M35" s="2"/>
      <c r="N35" s="22">
        <f t="shared" si="1"/>
        <v>0</v>
      </c>
      <c r="O35" s="11"/>
      <c r="P35" s="2">
        <f>-8.97</f>
        <v>-8.9700000000000006</v>
      </c>
      <c r="Q35" s="2"/>
      <c r="R35" s="22"/>
      <c r="S35" s="2"/>
      <c r="T35" s="2">
        <f>0</f>
        <v>0</v>
      </c>
      <c r="U35" s="2"/>
      <c r="V35" s="22"/>
      <c r="W35" s="2"/>
      <c r="X35" s="2">
        <f t="shared" si="2"/>
        <v>-8.9700000000000006</v>
      </c>
      <c r="Y35" s="2"/>
      <c r="Z35" s="22">
        <f t="shared" si="3"/>
        <v>0</v>
      </c>
    </row>
    <row r="36" spans="1:26" s="24" customFormat="1" hidden="1" outlineLevel="1" x14ac:dyDescent="0.25">
      <c r="A36" s="50"/>
      <c r="B36" s="11" t="str">
        <f>CONCATENATE("          ", "4228", " - ", "SALES RETURN TAXABLE-ART/TECH")</f>
        <v xml:space="preserve">          4228 - SALES RETURN TAXABLE-ART/TECH</v>
      </c>
      <c r="C36" s="11"/>
      <c r="D36" s="2">
        <f>-10.37</f>
        <v>-10.37</v>
      </c>
      <c r="E36" s="2"/>
      <c r="F36" s="22"/>
      <c r="G36" s="2"/>
      <c r="H36" s="2">
        <f>-149.44</f>
        <v>-149.44</v>
      </c>
      <c r="I36" s="2"/>
      <c r="J36" s="22"/>
      <c r="K36" s="2"/>
      <c r="L36" s="2">
        <f t="shared" si="0"/>
        <v>139.07</v>
      </c>
      <c r="M36" s="2"/>
      <c r="N36" s="22">
        <f t="shared" si="1"/>
        <v>-0.93060760171306212</v>
      </c>
      <c r="O36" s="11"/>
      <c r="P36" s="2">
        <f>-10.37</f>
        <v>-10.37</v>
      </c>
      <c r="Q36" s="2"/>
      <c r="R36" s="22"/>
      <c r="S36" s="2"/>
      <c r="T36" s="2">
        <f>-149.44</f>
        <v>-149.44</v>
      </c>
      <c r="U36" s="2"/>
      <c r="V36" s="22"/>
      <c r="W36" s="2"/>
      <c r="X36" s="2">
        <f t="shared" si="2"/>
        <v>139.07</v>
      </c>
      <c r="Y36" s="2"/>
      <c r="Z36" s="22">
        <f t="shared" si="3"/>
        <v>-0.93060760171306212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6" t="s">
        <v>8</v>
      </c>
      <c r="C38" s="10"/>
      <c r="D38" s="4">
        <f>SUM(OSRRefD16x_0)</f>
        <v>1364.8799999999987</v>
      </c>
      <c r="E38" s="4"/>
      <c r="F38" s="12">
        <f t="shared" ref="F38:F48" si="4">IF(D$12=0,0,D38/D$12)</f>
        <v>0.56261438770630956</v>
      </c>
      <c r="G38" s="4"/>
      <c r="H38" s="4">
        <f>SUM(OSRRefH16x_0)</f>
        <v>1084.3000000000038</v>
      </c>
      <c r="I38" s="4"/>
      <c r="J38" s="12">
        <f t="shared" ref="J38:J48" si="5">IF(H$12=0,0,H38/H$12)</f>
        <v>0.57735724478712036</v>
      </c>
      <c r="K38" s="4"/>
      <c r="L38" s="4">
        <f t="shared" ref="L38:L48" si="6">+D38-H38</f>
        <v>280.57999999999493</v>
      </c>
      <c r="M38" s="4"/>
      <c r="N38" s="12">
        <f t="shared" ref="N38:N48" si="7">IF(H38=0,0,L38/H38)</f>
        <v>0.25876602416304889</v>
      </c>
      <c r="O38" s="10"/>
      <c r="P38" s="4">
        <f>SUM(OSRRefP16x_0)</f>
        <v>1364.8799999999987</v>
      </c>
      <c r="Q38" s="4"/>
      <c r="R38" s="12">
        <f t="shared" ref="R38:R48" si="8">IF(P$12=0,0,P38/P$12)</f>
        <v>0.56261438770630956</v>
      </c>
      <c r="S38" s="4"/>
      <c r="T38" s="4">
        <f>SUM(OSRRefT16x_0)</f>
        <v>1084.3000000000038</v>
      </c>
      <c r="U38" s="4"/>
      <c r="V38" s="12">
        <f t="shared" ref="V38:V48" si="9">IF(T$12=0,0,T38/T$12)</f>
        <v>0.57735724478712036</v>
      </c>
      <c r="W38" s="4"/>
      <c r="X38" s="4">
        <f t="shared" ref="X38:X48" si="10">+P38-T38</f>
        <v>280.57999999999493</v>
      </c>
      <c r="Y38" s="4"/>
      <c r="Z38" s="12">
        <f t="shared" ref="Z38:Z48" si="11">IF(T38=0,0,X38/T38)</f>
        <v>0.25876602416304889</v>
      </c>
    </row>
    <row r="39" spans="1:26" s="24" customFormat="1" hidden="1" outlineLevel="1" x14ac:dyDescent="0.25">
      <c r="A39" s="50"/>
      <c r="B39" s="11" t="str">
        <f>CONCATENATE("          ", "5026", " - ", "PURCHASES @ COST-WRITING INSTR")</f>
        <v xml:space="preserve">          5026 - PURCHASES @ COST-WRITING INSTR</v>
      </c>
      <c r="C39" s="11"/>
      <c r="D39" s="2">
        <v>875.53</v>
      </c>
      <c r="E39" s="2"/>
      <c r="F39" s="22">
        <f t="shared" si="4"/>
        <v>0.36090042704743686</v>
      </c>
      <c r="G39" s="2"/>
      <c r="H39" s="2">
        <v>373.64</v>
      </c>
      <c r="I39" s="2"/>
      <c r="J39" s="22">
        <f t="shared" si="5"/>
        <v>0.19895209899682642</v>
      </c>
      <c r="K39" s="2"/>
      <c r="L39" s="2">
        <f t="shared" si="6"/>
        <v>501.89</v>
      </c>
      <c r="M39" s="2"/>
      <c r="N39" s="22">
        <f t="shared" si="7"/>
        <v>1.34324483460015</v>
      </c>
      <c r="O39" s="11"/>
      <c r="P39" s="2">
        <v>875.53</v>
      </c>
      <c r="Q39" s="2"/>
      <c r="R39" s="22">
        <f t="shared" si="8"/>
        <v>0.36090042704743686</v>
      </c>
      <c r="S39" s="2"/>
      <c r="T39" s="2">
        <v>373.64</v>
      </c>
      <c r="U39" s="2"/>
      <c r="V39" s="22">
        <f t="shared" si="9"/>
        <v>0.19895209899682642</v>
      </c>
      <c r="W39" s="2"/>
      <c r="X39" s="2">
        <f t="shared" si="10"/>
        <v>501.89</v>
      </c>
      <c r="Y39" s="2"/>
      <c r="Z39" s="22">
        <f t="shared" si="11"/>
        <v>1.34324483460015</v>
      </c>
    </row>
    <row r="40" spans="1:26" s="24" customFormat="1" hidden="1" outlineLevel="1" x14ac:dyDescent="0.25">
      <c r="A40" s="50"/>
      <c r="B40" s="11" t="str">
        <f>CONCATENATE("          ", "5027", " - ", "PURCHASES @ COST-SCHOOL SUPPLI")</f>
        <v xml:space="preserve">          5027 - PURCHASES @ COST-SCHOOL SUPPLI</v>
      </c>
      <c r="C40" s="11"/>
      <c r="D40" s="2">
        <v>857.49</v>
      </c>
      <c r="E40" s="2"/>
      <c r="F40" s="22">
        <f t="shared" si="4"/>
        <v>0.35346419561740505</v>
      </c>
      <c r="G40" s="2"/>
      <c r="H40" s="2">
        <v>618.51</v>
      </c>
      <c r="I40" s="2"/>
      <c r="J40" s="22">
        <f t="shared" si="5"/>
        <v>0.3293380332687269</v>
      </c>
      <c r="K40" s="2"/>
      <c r="L40" s="2">
        <f t="shared" si="6"/>
        <v>238.98000000000002</v>
      </c>
      <c r="M40" s="2"/>
      <c r="N40" s="22">
        <f t="shared" si="7"/>
        <v>0.38638017170296363</v>
      </c>
      <c r="O40" s="11"/>
      <c r="P40" s="2">
        <v>857.49</v>
      </c>
      <c r="Q40" s="2"/>
      <c r="R40" s="22">
        <f t="shared" si="8"/>
        <v>0.35346419561740505</v>
      </c>
      <c r="S40" s="2"/>
      <c r="T40" s="2">
        <v>618.51</v>
      </c>
      <c r="U40" s="2"/>
      <c r="V40" s="22">
        <f t="shared" si="9"/>
        <v>0.3293380332687269</v>
      </c>
      <c r="W40" s="2"/>
      <c r="X40" s="2">
        <f t="shared" si="10"/>
        <v>238.98000000000002</v>
      </c>
      <c r="Y40" s="2"/>
      <c r="Z40" s="22">
        <f t="shared" si="11"/>
        <v>0.38638017170296363</v>
      </c>
    </row>
    <row r="41" spans="1:26" s="24" customFormat="1" hidden="1" outlineLevel="1" x14ac:dyDescent="0.25">
      <c r="A41" s="50"/>
      <c r="B41" s="11" t="str">
        <f>CONCATENATE("          ", "5028", " - ", "PURCHASES @ COST-ART/TECH")</f>
        <v xml:space="preserve">          5028 - PURCHASES @ COST-ART/TECH</v>
      </c>
      <c r="C41" s="11"/>
      <c r="D41" s="2">
        <v>25883.09</v>
      </c>
      <c r="E41" s="2"/>
      <c r="F41" s="22">
        <f t="shared" si="4"/>
        <v>10.669215485828291</v>
      </c>
      <c r="G41" s="2"/>
      <c r="H41" s="2">
        <v>24154.54</v>
      </c>
      <c r="I41" s="2"/>
      <c r="J41" s="22">
        <f t="shared" si="5"/>
        <v>12.861568443696617</v>
      </c>
      <c r="K41" s="2"/>
      <c r="L41" s="2">
        <f t="shared" si="6"/>
        <v>1728.5499999999993</v>
      </c>
      <c r="M41" s="2"/>
      <c r="N41" s="22">
        <f t="shared" si="7"/>
        <v>7.1562116272965631E-2</v>
      </c>
      <c r="O41" s="11"/>
      <c r="P41" s="2">
        <v>25883.09</v>
      </c>
      <c r="Q41" s="2"/>
      <c r="R41" s="22">
        <f t="shared" si="8"/>
        <v>10.669215485828291</v>
      </c>
      <c r="S41" s="2"/>
      <c r="T41" s="2">
        <v>24154.54</v>
      </c>
      <c r="U41" s="2"/>
      <c r="V41" s="22">
        <f t="shared" si="9"/>
        <v>12.861568443696617</v>
      </c>
      <c r="W41" s="2"/>
      <c r="X41" s="2">
        <f t="shared" si="10"/>
        <v>1728.5499999999993</v>
      </c>
      <c r="Y41" s="2"/>
      <c r="Z41" s="22">
        <f t="shared" si="11"/>
        <v>7.1562116272965631E-2</v>
      </c>
    </row>
    <row r="42" spans="1:26" s="24" customFormat="1" hidden="1" outlineLevel="1" x14ac:dyDescent="0.25">
      <c r="A42" s="50"/>
      <c r="B42" s="11" t="str">
        <f>CONCATENATE("          ", "5032", " - ", "PURCHASES @ COST-JUICE")</f>
        <v xml:space="preserve">          5032 - PURCHASES @ COST-JUICE</v>
      </c>
      <c r="C42" s="11"/>
      <c r="D42" s="2">
        <v>114.42</v>
      </c>
      <c r="E42" s="2"/>
      <c r="F42" s="22">
        <f t="shared" si="4"/>
        <v>4.7164833715312701E-2</v>
      </c>
      <c r="G42" s="2"/>
      <c r="H42" s="2"/>
      <c r="I42" s="2"/>
      <c r="J42" s="22">
        <f t="shared" si="5"/>
        <v>0</v>
      </c>
      <c r="K42" s="2"/>
      <c r="L42" s="2">
        <f t="shared" si="6"/>
        <v>114.42</v>
      </c>
      <c r="M42" s="2"/>
      <c r="N42" s="22">
        <f t="shared" si="7"/>
        <v>0</v>
      </c>
      <c r="O42" s="11"/>
      <c r="P42" s="2">
        <v>114.42</v>
      </c>
      <c r="Q42" s="2"/>
      <c r="R42" s="22">
        <f t="shared" si="8"/>
        <v>4.7164833715312701E-2</v>
      </c>
      <c r="S42" s="2"/>
      <c r="T42" s="2"/>
      <c r="U42" s="2"/>
      <c r="V42" s="22">
        <f t="shared" si="9"/>
        <v>0</v>
      </c>
      <c r="W42" s="2"/>
      <c r="X42" s="2">
        <f t="shared" si="10"/>
        <v>114.42</v>
      </c>
      <c r="Y42" s="2"/>
      <c r="Z42" s="22">
        <f t="shared" si="11"/>
        <v>0</v>
      </c>
    </row>
    <row r="43" spans="1:26" s="24" customFormat="1" hidden="1" outlineLevel="1" x14ac:dyDescent="0.25">
      <c r="A43" s="50"/>
      <c r="B43" s="11" t="str">
        <f>CONCATENATE("          ", "5034", " - ", "PURCHASES @ COST-SODA")</f>
        <v xml:space="preserve">          5034 - PURCHASES @ COST-SODA</v>
      </c>
      <c r="C43" s="11"/>
      <c r="D43" s="2">
        <v>-61.54</v>
      </c>
      <c r="E43" s="2"/>
      <c r="F43" s="22">
        <f t="shared" si="4"/>
        <v>-2.5367277284044254E-2</v>
      </c>
      <c r="G43" s="2"/>
      <c r="H43" s="2">
        <v>9.24</v>
      </c>
      <c r="I43" s="2"/>
      <c r="J43" s="22">
        <f t="shared" si="5"/>
        <v>4.9200230027049464E-3</v>
      </c>
      <c r="K43" s="2"/>
      <c r="L43" s="2">
        <f t="shared" si="6"/>
        <v>-70.78</v>
      </c>
      <c r="M43" s="2"/>
      <c r="N43" s="22">
        <f t="shared" si="7"/>
        <v>-7.6601731601731604</v>
      </c>
      <c r="O43" s="11"/>
      <c r="P43" s="2">
        <v>-61.54</v>
      </c>
      <c r="Q43" s="2"/>
      <c r="R43" s="22">
        <f t="shared" si="8"/>
        <v>-2.5367277284044254E-2</v>
      </c>
      <c r="S43" s="2"/>
      <c r="T43" s="2">
        <v>9.24</v>
      </c>
      <c r="U43" s="2"/>
      <c r="V43" s="22">
        <f t="shared" si="9"/>
        <v>4.9200230027049464E-3</v>
      </c>
      <c r="W43" s="2"/>
      <c r="X43" s="2">
        <f t="shared" si="10"/>
        <v>-70.78</v>
      </c>
      <c r="Y43" s="2"/>
      <c r="Z43" s="22">
        <f t="shared" si="11"/>
        <v>-7.6601731601731604</v>
      </c>
    </row>
    <row r="44" spans="1:26" s="24" customFormat="1" hidden="1" outlineLevel="1" x14ac:dyDescent="0.25">
      <c r="A44" s="50"/>
      <c r="B44" s="11" t="str">
        <f>CONCATENATE("          ", "5037", " - ", "PURCHASES @ COST-WATER")</f>
        <v xml:space="preserve">          5037 - PURCHASES @ COST-WATER</v>
      </c>
      <c r="C44" s="11"/>
      <c r="D44" s="2">
        <v>16.54</v>
      </c>
      <c r="E44" s="2"/>
      <c r="F44" s="22">
        <f t="shared" si="4"/>
        <v>6.8179195040313934E-3</v>
      </c>
      <c r="G44" s="2"/>
      <c r="H44" s="2"/>
      <c r="I44" s="2"/>
      <c r="J44" s="22">
        <f t="shared" si="5"/>
        <v>0</v>
      </c>
      <c r="K44" s="2"/>
      <c r="L44" s="2">
        <f t="shared" si="6"/>
        <v>16.54</v>
      </c>
      <c r="M44" s="2"/>
      <c r="N44" s="22">
        <f t="shared" si="7"/>
        <v>0</v>
      </c>
      <c r="O44" s="11"/>
      <c r="P44" s="2">
        <v>16.54</v>
      </c>
      <c r="Q44" s="2"/>
      <c r="R44" s="22">
        <f t="shared" si="8"/>
        <v>6.8179195040313934E-3</v>
      </c>
      <c r="S44" s="2"/>
      <c r="T44" s="2"/>
      <c r="U44" s="2"/>
      <c r="V44" s="22">
        <f t="shared" si="9"/>
        <v>0</v>
      </c>
      <c r="W44" s="2"/>
      <c r="X44" s="2">
        <f t="shared" si="10"/>
        <v>16.54</v>
      </c>
      <c r="Y44" s="2"/>
      <c r="Z44" s="22">
        <f t="shared" si="11"/>
        <v>0</v>
      </c>
    </row>
    <row r="45" spans="1:26" s="24" customFormat="1" hidden="1" outlineLevel="1" x14ac:dyDescent="0.25">
      <c r="A45" s="50"/>
      <c r="B45" s="11" t="str">
        <f>CONCATENATE("          ", "5200", " - ", "PURCHASES OFFSET")</f>
        <v xml:space="preserve">          5200 - PURCHASES OFFSET</v>
      </c>
      <c r="C45" s="11"/>
      <c r="D45" s="2">
        <v>-27685</v>
      </c>
      <c r="E45" s="2"/>
      <c r="F45" s="22">
        <f t="shared" si="4"/>
        <v>-11.411977114214579</v>
      </c>
      <c r="G45" s="2"/>
      <c r="H45" s="2">
        <v>-25390</v>
      </c>
      <c r="I45" s="2"/>
      <c r="J45" s="22">
        <f t="shared" si="5"/>
        <v>-13.519413856999847</v>
      </c>
      <c r="K45" s="2"/>
      <c r="L45" s="2">
        <f t="shared" si="6"/>
        <v>-2295</v>
      </c>
      <c r="M45" s="2"/>
      <c r="N45" s="22">
        <f t="shared" si="7"/>
        <v>9.0389917290271765E-2</v>
      </c>
      <c r="O45" s="11"/>
      <c r="P45" s="2">
        <v>-27685</v>
      </c>
      <c r="Q45" s="2"/>
      <c r="R45" s="22">
        <f t="shared" si="8"/>
        <v>-11.411977114214579</v>
      </c>
      <c r="S45" s="2"/>
      <c r="T45" s="2">
        <v>-25390</v>
      </c>
      <c r="U45" s="2"/>
      <c r="V45" s="22">
        <f t="shared" si="9"/>
        <v>-13.519413856999847</v>
      </c>
      <c r="W45" s="2"/>
      <c r="X45" s="2">
        <f t="shared" si="10"/>
        <v>-2295</v>
      </c>
      <c r="Y45" s="2"/>
      <c r="Z45" s="22">
        <f t="shared" si="11"/>
        <v>9.0389917290271765E-2</v>
      </c>
    </row>
    <row r="46" spans="1:26" s="24" customFormat="1" hidden="1" outlineLevel="1" x14ac:dyDescent="0.25">
      <c r="A46" s="50"/>
      <c r="B46" s="11" t="str">
        <f>CONCATENATE("          ", "5300", " - ", "COG$ OFFSET")</f>
        <v xml:space="preserve">          5300 - COG$ OFFSET</v>
      </c>
      <c r="C46" s="11"/>
      <c r="D46" s="2">
        <v>1364</v>
      </c>
      <c r="E46" s="2"/>
      <c r="F46" s="22">
        <f t="shared" si="4"/>
        <v>0.56225164470972311</v>
      </c>
      <c r="G46" s="2"/>
      <c r="H46" s="2">
        <v>1084</v>
      </c>
      <c r="I46" s="2"/>
      <c r="J46" s="22">
        <f t="shared" si="5"/>
        <v>0.57719750378053702</v>
      </c>
      <c r="K46" s="2"/>
      <c r="L46" s="2">
        <f t="shared" si="6"/>
        <v>280</v>
      </c>
      <c r="M46" s="2"/>
      <c r="N46" s="22">
        <f t="shared" si="7"/>
        <v>0.25830258302583026</v>
      </c>
      <c r="O46" s="11"/>
      <c r="P46" s="2">
        <v>1364</v>
      </c>
      <c r="Q46" s="2"/>
      <c r="R46" s="22">
        <f t="shared" si="8"/>
        <v>0.56225164470972311</v>
      </c>
      <c r="S46" s="2"/>
      <c r="T46" s="2">
        <v>1084</v>
      </c>
      <c r="U46" s="2"/>
      <c r="V46" s="22">
        <f t="shared" si="9"/>
        <v>0.57719750378053702</v>
      </c>
      <c r="W46" s="2"/>
      <c r="X46" s="2">
        <f t="shared" si="10"/>
        <v>280</v>
      </c>
      <c r="Y46" s="2"/>
      <c r="Z46" s="22">
        <f t="shared" si="11"/>
        <v>0.25830258302583026</v>
      </c>
    </row>
    <row r="47" spans="1:26" s="24" customFormat="1" hidden="1" outlineLevel="1" x14ac:dyDescent="0.25">
      <c r="A47" s="50"/>
      <c r="B47" s="11" t="str">
        <f>CONCATENATE("          ", "5527", " - ", "FREIGHT-IN-SCHOOL SUPPLIES")</f>
        <v xml:space="preserve">          5527 - FREIGHT-IN-SCHOOL SUPPLIES</v>
      </c>
      <c r="C47" s="11"/>
      <c r="D47" s="2"/>
      <c r="E47" s="2"/>
      <c r="F47" s="22">
        <f t="shared" si="4"/>
        <v>0</v>
      </c>
      <c r="G47" s="2"/>
      <c r="H47" s="2">
        <v>88.48</v>
      </c>
      <c r="I47" s="2"/>
      <c r="J47" s="22">
        <f t="shared" si="5"/>
        <v>4.7112947541053433E-2</v>
      </c>
      <c r="K47" s="2"/>
      <c r="L47" s="2">
        <f t="shared" si="6"/>
        <v>-88.48</v>
      </c>
      <c r="M47" s="2"/>
      <c r="N47" s="22">
        <f t="shared" si="7"/>
        <v>-1</v>
      </c>
      <c r="O47" s="11"/>
      <c r="P47" s="2"/>
      <c r="Q47" s="2"/>
      <c r="R47" s="22">
        <f t="shared" si="8"/>
        <v>0</v>
      </c>
      <c r="S47" s="2"/>
      <c r="T47" s="2">
        <v>88.48</v>
      </c>
      <c r="U47" s="2"/>
      <c r="V47" s="22">
        <f t="shared" si="9"/>
        <v>4.7112947541053433E-2</v>
      </c>
      <c r="W47" s="2"/>
      <c r="X47" s="2">
        <f t="shared" si="10"/>
        <v>-88.48</v>
      </c>
      <c r="Y47" s="2"/>
      <c r="Z47" s="22">
        <f t="shared" si="11"/>
        <v>-1</v>
      </c>
    </row>
    <row r="48" spans="1:26" s="24" customFormat="1" hidden="1" outlineLevel="1" x14ac:dyDescent="0.25">
      <c r="A48" s="50"/>
      <c r="B48" s="11" t="str">
        <f>CONCATENATE("          ", "5528", " - ", "FREIGHT-IN-ART/TECH")</f>
        <v xml:space="preserve">          5528 - FREIGHT-IN-ART/TECH</v>
      </c>
      <c r="C48" s="11"/>
      <c r="D48" s="2">
        <v>0.35</v>
      </c>
      <c r="E48" s="2"/>
      <c r="F48" s="22">
        <f t="shared" si="4"/>
        <v>1.4427278273343336E-4</v>
      </c>
      <c r="G48" s="2"/>
      <c r="H48" s="2">
        <v>145.88999999999999</v>
      </c>
      <c r="I48" s="2"/>
      <c r="J48" s="22">
        <f t="shared" si="5"/>
        <v>7.7682051500500504E-2</v>
      </c>
      <c r="K48" s="2"/>
      <c r="L48" s="2">
        <f t="shared" si="6"/>
        <v>-145.54</v>
      </c>
      <c r="M48" s="2"/>
      <c r="N48" s="22">
        <f t="shared" si="7"/>
        <v>-0.99760093220919877</v>
      </c>
      <c r="O48" s="11"/>
      <c r="P48" s="2">
        <v>0.35</v>
      </c>
      <c r="Q48" s="2"/>
      <c r="R48" s="22">
        <f t="shared" si="8"/>
        <v>1.4427278273343336E-4</v>
      </c>
      <c r="S48" s="2"/>
      <c r="T48" s="2">
        <v>145.88999999999999</v>
      </c>
      <c r="U48" s="2"/>
      <c r="V48" s="22">
        <f t="shared" si="9"/>
        <v>7.7682051500500504E-2</v>
      </c>
      <c r="W48" s="2"/>
      <c r="X48" s="2">
        <f t="shared" si="10"/>
        <v>-145.54</v>
      </c>
      <c r="Y48" s="2"/>
      <c r="Z48" s="22">
        <f t="shared" si="11"/>
        <v>-0.99760093220919877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5" t="s">
        <v>6</v>
      </c>
      <c r="C50" s="25"/>
      <c r="D50" s="21">
        <f>D12-D38</f>
        <v>1061.0800000000013</v>
      </c>
      <c r="E50" s="13"/>
      <c r="F50" s="20">
        <f>IF(D$12=0,0,D50/D$12)</f>
        <v>0.43738561229369044</v>
      </c>
      <c r="G50" s="13"/>
      <c r="H50" s="21">
        <f>H12-H38</f>
        <v>793.7399999999966</v>
      </c>
      <c r="I50" s="13"/>
      <c r="J50" s="20">
        <f>IF(H$12=0,0,H50/H$12)</f>
        <v>0.42264275521287958</v>
      </c>
      <c r="K50" s="16"/>
      <c r="L50" s="21">
        <f>+D50-H50</f>
        <v>267.34000000000469</v>
      </c>
      <c r="M50" s="16"/>
      <c r="N50" s="20">
        <f>IF(H50=0,0,L50/H50)</f>
        <v>0.3368105424950309</v>
      </c>
      <c r="O50" s="26"/>
      <c r="P50" s="21">
        <f>P12-P38</f>
        <v>1061.0800000000013</v>
      </c>
      <c r="Q50" s="13"/>
      <c r="R50" s="20">
        <f>IF(P$12=0,0,P50/P$12)</f>
        <v>0.43738561229369044</v>
      </c>
      <c r="S50" s="13"/>
      <c r="T50" s="21">
        <f>T12-T38</f>
        <v>793.7399999999966</v>
      </c>
      <c r="U50" s="13"/>
      <c r="V50" s="20">
        <f>IF(T$12=0,0,T50/T$12)</f>
        <v>0.42264275521287958</v>
      </c>
      <c r="W50" s="16"/>
      <c r="X50" s="21">
        <f>+P50-T50</f>
        <v>267.34000000000469</v>
      </c>
      <c r="Y50" s="16"/>
      <c r="Z50" s="20">
        <f>IF(T50=0,0,X50/T50)</f>
        <v>0.3368105424950309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6" t="s">
        <v>9</v>
      </c>
      <c r="C52" s="10"/>
      <c r="D52" s="19">
        <f>SUM(OSRRefD22x_0)</f>
        <v>11283.699999999999</v>
      </c>
      <c r="E52" s="19"/>
      <c r="F52" s="35">
        <f t="shared" ref="F52:F61" si="12">IF(D$12=0,0,D52/D$12)</f>
        <v>4.6512308529406914</v>
      </c>
      <c r="G52" s="19"/>
      <c r="H52" s="19">
        <f>SUM(OSRRefH22x_0)</f>
        <v>9857.8000000000011</v>
      </c>
      <c r="I52" s="19"/>
      <c r="J52" s="35">
        <f t="shared" ref="J52:J61" si="13">IF(H$12=0,0,H52/H$12)</f>
        <v>5.2489829822580987</v>
      </c>
      <c r="K52" s="4"/>
      <c r="L52" s="19">
        <f t="shared" ref="L52:L61" si="14">+D52-H52</f>
        <v>1425.8999999999978</v>
      </c>
      <c r="M52" s="4"/>
      <c r="N52" s="35">
        <f t="shared" ref="N52:N61" si="15">IF(H52=0,0,L52/H52)</f>
        <v>0.14464687861388928</v>
      </c>
      <c r="O52" s="10"/>
      <c r="P52" s="19">
        <f>SUM(OSRRefP22x_0)</f>
        <v>11283.699999999999</v>
      </c>
      <c r="Q52" s="19"/>
      <c r="R52" s="35">
        <f t="shared" ref="R52:R61" si="16">IF(P$12=0,0,P52/P$12)</f>
        <v>4.6512308529406914</v>
      </c>
      <c r="S52" s="19"/>
      <c r="T52" s="19">
        <f>SUM(OSRRefT22x_0)</f>
        <v>9857.8000000000011</v>
      </c>
      <c r="U52" s="19"/>
      <c r="V52" s="35">
        <f t="shared" ref="V52:V61" si="17">IF(T$12=0,0,T52/T$12)</f>
        <v>5.2489829822580987</v>
      </c>
      <c r="W52" s="4"/>
      <c r="X52" s="19">
        <f t="shared" ref="X52:X61" si="18">+P52-T52</f>
        <v>1425.8999999999978</v>
      </c>
      <c r="Y52" s="4"/>
      <c r="Z52" s="35">
        <f t="shared" ref="Z52:Z61" si="19">IF(T52=0,0,X52/T52)</f>
        <v>0.14464687861388928</v>
      </c>
    </row>
    <row r="53" spans="1:26" s="28" customFormat="1" outlineLevel="1" collapsed="1" x14ac:dyDescent="0.25">
      <c r="A53" s="27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1603.75</v>
      </c>
      <c r="E53" s="1"/>
      <c r="F53" s="5">
        <f t="shared" si="12"/>
        <v>0.66107850088212505</v>
      </c>
      <c r="G53" s="1"/>
      <c r="H53" s="1">
        <f>SUM(OSRRefH22_0x_0)</f>
        <v>1582.9699999999998</v>
      </c>
      <c r="I53" s="1"/>
      <c r="J53" s="5">
        <f t="shared" si="13"/>
        <v>0.84288407062682347</v>
      </c>
      <c r="K53" s="1"/>
      <c r="L53" s="1">
        <f t="shared" si="14"/>
        <v>20.7800000000002</v>
      </c>
      <c r="M53" s="1"/>
      <c r="N53" s="5">
        <f t="shared" si="15"/>
        <v>1.3127222878513303E-2</v>
      </c>
      <c r="O53" s="14"/>
      <c r="P53" s="1">
        <f>SUM(OSRRefP22_0x_0)</f>
        <v>1603.75</v>
      </c>
      <c r="Q53" s="1"/>
      <c r="R53" s="5">
        <f t="shared" si="16"/>
        <v>0.66107850088212505</v>
      </c>
      <c r="S53" s="1"/>
      <c r="T53" s="1">
        <f>SUM(OSRRefT22_0x_0)</f>
        <v>1582.9699999999998</v>
      </c>
      <c r="U53" s="1"/>
      <c r="V53" s="5">
        <f t="shared" si="17"/>
        <v>0.84288407062682347</v>
      </c>
      <c r="W53" s="1"/>
      <c r="X53" s="1">
        <f t="shared" si="18"/>
        <v>20.7800000000002</v>
      </c>
      <c r="Y53" s="1"/>
      <c r="Z53" s="5">
        <f t="shared" si="19"/>
        <v>1.3127222878513303E-2</v>
      </c>
    </row>
    <row r="54" spans="1:26" s="24" customFormat="1" hidden="1" outlineLevel="2" x14ac:dyDescent="0.25">
      <c r="A54" s="29"/>
      <c r="B54" s="11" t="str">
        <f>CONCATENATE("          ", "6111", " - ", "F.I.C.A.")</f>
        <v xml:space="preserve">          6111 - F.I.C.A.</v>
      </c>
      <c r="C54" s="11"/>
      <c r="D54" s="7">
        <v>364.25</v>
      </c>
      <c r="E54" s="2"/>
      <c r="F54" s="6">
        <f t="shared" si="12"/>
        <v>0.15014674603043743</v>
      </c>
      <c r="G54" s="2"/>
      <c r="H54" s="7">
        <v>382.97</v>
      </c>
      <c r="I54" s="2"/>
      <c r="J54" s="6">
        <f t="shared" si="13"/>
        <v>0.20392004430150579</v>
      </c>
      <c r="K54" s="2"/>
      <c r="L54" s="7">
        <f t="shared" si="14"/>
        <v>-18.720000000000027</v>
      </c>
      <c r="M54" s="2"/>
      <c r="N54" s="6">
        <f t="shared" si="15"/>
        <v>-4.8881113403138693E-2</v>
      </c>
      <c r="O54" s="11"/>
      <c r="P54" s="7">
        <v>364.25</v>
      </c>
      <c r="Q54" s="2"/>
      <c r="R54" s="6">
        <f t="shared" si="16"/>
        <v>0.15014674603043743</v>
      </c>
      <c r="S54" s="2"/>
      <c r="T54" s="7">
        <v>382.97</v>
      </c>
      <c r="U54" s="2"/>
      <c r="V54" s="6">
        <f t="shared" si="17"/>
        <v>0.20392004430150579</v>
      </c>
      <c r="W54" s="2"/>
      <c r="X54" s="7">
        <f t="shared" si="18"/>
        <v>-18.720000000000027</v>
      </c>
      <c r="Y54" s="2"/>
      <c r="Z54" s="6">
        <f t="shared" si="19"/>
        <v>-4.8881113403138693E-2</v>
      </c>
    </row>
    <row r="55" spans="1:26" s="24" customFormat="1" hidden="1" outlineLevel="2" x14ac:dyDescent="0.25">
      <c r="A55" s="29"/>
      <c r="B55" s="11" t="str">
        <f>CONCATENATE("          ", "6112", " - ", "COMPENSATION INSURANCE")</f>
        <v xml:space="preserve">          6112 - COMPENSATION INSURANCE</v>
      </c>
      <c r="C55" s="11"/>
      <c r="D55" s="7">
        <v>89.98</v>
      </c>
      <c r="E55" s="2"/>
      <c r="F55" s="6">
        <f t="shared" si="12"/>
        <v>3.7090471401012383E-2</v>
      </c>
      <c r="G55" s="2"/>
      <c r="H55" s="7">
        <v>91.47</v>
      </c>
      <c r="I55" s="2"/>
      <c r="J55" s="6">
        <f t="shared" si="13"/>
        <v>4.8705032906647343E-2</v>
      </c>
      <c r="K55" s="2"/>
      <c r="L55" s="7">
        <f t="shared" si="14"/>
        <v>-1.4899999999999949</v>
      </c>
      <c r="M55" s="2"/>
      <c r="N55" s="6">
        <f t="shared" si="15"/>
        <v>-1.6289493823111349E-2</v>
      </c>
      <c r="O55" s="11"/>
      <c r="P55" s="7">
        <v>89.98</v>
      </c>
      <c r="Q55" s="2"/>
      <c r="R55" s="6">
        <f t="shared" si="16"/>
        <v>3.7090471401012383E-2</v>
      </c>
      <c r="S55" s="2"/>
      <c r="T55" s="7">
        <v>91.47</v>
      </c>
      <c r="U55" s="2"/>
      <c r="V55" s="6">
        <f t="shared" si="17"/>
        <v>4.8705032906647343E-2</v>
      </c>
      <c r="W55" s="2"/>
      <c r="X55" s="7">
        <f t="shared" si="18"/>
        <v>-1.4899999999999949</v>
      </c>
      <c r="Y55" s="2"/>
      <c r="Z55" s="6">
        <f t="shared" si="19"/>
        <v>-1.6289493823111349E-2</v>
      </c>
    </row>
    <row r="56" spans="1:26" s="24" customFormat="1" hidden="1" outlineLevel="2" x14ac:dyDescent="0.25">
      <c r="A56" s="29"/>
      <c r="B56" s="11" t="str">
        <f>CONCATENATE("          ", "6113", " - ", "GROUP INSURANCE")</f>
        <v xml:space="preserve">          6113 - GROUP INSURANCE</v>
      </c>
      <c r="C56" s="11"/>
      <c r="D56" s="7">
        <v>488.51</v>
      </c>
      <c r="E56" s="2"/>
      <c r="F56" s="6">
        <f t="shared" si="12"/>
        <v>0.20136770598031295</v>
      </c>
      <c r="G56" s="2"/>
      <c r="H56" s="7">
        <v>28.32</v>
      </c>
      <c r="I56" s="2"/>
      <c r="J56" s="6">
        <f t="shared" si="13"/>
        <v>1.5079551021277499E-2</v>
      </c>
      <c r="K56" s="2"/>
      <c r="L56" s="7">
        <f t="shared" si="14"/>
        <v>460.19</v>
      </c>
      <c r="M56" s="2"/>
      <c r="N56" s="6">
        <f t="shared" si="15"/>
        <v>16.249646892655367</v>
      </c>
      <c r="O56" s="11"/>
      <c r="P56" s="7">
        <v>488.51</v>
      </c>
      <c r="Q56" s="2"/>
      <c r="R56" s="6">
        <f t="shared" si="16"/>
        <v>0.20136770598031295</v>
      </c>
      <c r="S56" s="2"/>
      <c r="T56" s="7">
        <v>28.32</v>
      </c>
      <c r="U56" s="2"/>
      <c r="V56" s="6">
        <f t="shared" si="17"/>
        <v>1.5079551021277499E-2</v>
      </c>
      <c r="W56" s="2"/>
      <c r="X56" s="7">
        <f t="shared" si="18"/>
        <v>460.19</v>
      </c>
      <c r="Y56" s="2"/>
      <c r="Z56" s="6">
        <f t="shared" si="19"/>
        <v>16.249646892655367</v>
      </c>
    </row>
    <row r="57" spans="1:26" s="24" customFormat="1" hidden="1" outlineLevel="2" x14ac:dyDescent="0.25">
      <c r="A57" s="29"/>
      <c r="B57" s="11" t="str">
        <f>CONCATENATE("          ", "6114", " - ", "STATE UNEMPLOYMENT INSURANCE")</f>
        <v xml:space="preserve">          6114 - STATE UNEMPLOYMENT INSURANCE</v>
      </c>
      <c r="C57" s="11"/>
      <c r="D57" s="7">
        <v>12.31</v>
      </c>
      <c r="E57" s="2"/>
      <c r="F57" s="6">
        <f t="shared" si="12"/>
        <v>5.0742798727101846E-3</v>
      </c>
      <c r="G57" s="2"/>
      <c r="H57" s="7">
        <v>19.989999999999998</v>
      </c>
      <c r="I57" s="2"/>
      <c r="J57" s="6">
        <f t="shared" si="13"/>
        <v>1.0644075738535918E-2</v>
      </c>
      <c r="K57" s="2"/>
      <c r="L57" s="7">
        <f t="shared" si="14"/>
        <v>-7.6799999999999979</v>
      </c>
      <c r="M57" s="2"/>
      <c r="N57" s="6">
        <f t="shared" si="15"/>
        <v>-0.38419209604802396</v>
      </c>
      <c r="O57" s="11"/>
      <c r="P57" s="7">
        <v>12.31</v>
      </c>
      <c r="Q57" s="2"/>
      <c r="R57" s="6">
        <f t="shared" si="16"/>
        <v>5.0742798727101846E-3</v>
      </c>
      <c r="S57" s="2"/>
      <c r="T57" s="7">
        <v>19.989999999999998</v>
      </c>
      <c r="U57" s="2"/>
      <c r="V57" s="6">
        <f t="shared" si="17"/>
        <v>1.0644075738535918E-2</v>
      </c>
      <c r="W57" s="2"/>
      <c r="X57" s="7">
        <f t="shared" si="18"/>
        <v>-7.6799999999999979</v>
      </c>
      <c r="Y57" s="2"/>
      <c r="Z57" s="6">
        <f t="shared" si="19"/>
        <v>-0.38419209604802396</v>
      </c>
    </row>
    <row r="58" spans="1:26" s="24" customFormat="1" hidden="1" outlineLevel="2" x14ac:dyDescent="0.25">
      <c r="A58" s="29"/>
      <c r="B58" s="11" t="str">
        <f>CONCATENATE("          ", "6115", " - ", "P.E.R.S.")</f>
        <v xml:space="preserve">          6115 - P.E.R.S.</v>
      </c>
      <c r="C58" s="11"/>
      <c r="D58" s="7">
        <v>201.17</v>
      </c>
      <c r="E58" s="2"/>
      <c r="F58" s="6">
        <f t="shared" si="12"/>
        <v>8.2923873435670814E-2</v>
      </c>
      <c r="G58" s="2"/>
      <c r="H58" s="7">
        <v>372.03</v>
      </c>
      <c r="I58" s="2"/>
      <c r="J58" s="6">
        <f t="shared" si="13"/>
        <v>0.19809482226150663</v>
      </c>
      <c r="K58" s="2"/>
      <c r="L58" s="7">
        <f t="shared" si="14"/>
        <v>-170.85999999999999</v>
      </c>
      <c r="M58" s="2"/>
      <c r="N58" s="6">
        <f t="shared" si="15"/>
        <v>-0.45926403784641023</v>
      </c>
      <c r="O58" s="11"/>
      <c r="P58" s="7">
        <v>201.17</v>
      </c>
      <c r="Q58" s="2"/>
      <c r="R58" s="6">
        <f t="shared" si="16"/>
        <v>8.2923873435670814E-2</v>
      </c>
      <c r="S58" s="2"/>
      <c r="T58" s="7">
        <v>372.03</v>
      </c>
      <c r="U58" s="2"/>
      <c r="V58" s="6">
        <f t="shared" si="17"/>
        <v>0.19809482226150663</v>
      </c>
      <c r="W58" s="2"/>
      <c r="X58" s="7">
        <f t="shared" si="18"/>
        <v>-170.85999999999999</v>
      </c>
      <c r="Y58" s="2"/>
      <c r="Z58" s="6">
        <f t="shared" si="19"/>
        <v>-0.45926403784641023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7">
        <v>165.96</v>
      </c>
      <c r="E59" s="2"/>
      <c r="F59" s="6">
        <f t="shared" si="12"/>
        <v>6.8410031492687429E-2</v>
      </c>
      <c r="G59" s="2"/>
      <c r="H59" s="7">
        <v>210.36</v>
      </c>
      <c r="I59" s="2"/>
      <c r="J59" s="6">
        <f t="shared" si="13"/>
        <v>0.1120103938148282</v>
      </c>
      <c r="K59" s="2"/>
      <c r="L59" s="7">
        <f t="shared" si="14"/>
        <v>-44.400000000000006</v>
      </c>
      <c r="M59" s="2"/>
      <c r="N59" s="6">
        <f t="shared" si="15"/>
        <v>-0.21106674272675416</v>
      </c>
      <c r="O59" s="11"/>
      <c r="P59" s="7">
        <v>165.96</v>
      </c>
      <c r="Q59" s="2"/>
      <c r="R59" s="6">
        <f t="shared" si="16"/>
        <v>6.8410031492687429E-2</v>
      </c>
      <c r="S59" s="2"/>
      <c r="T59" s="7">
        <v>210.36</v>
      </c>
      <c r="U59" s="2"/>
      <c r="V59" s="6">
        <f t="shared" si="17"/>
        <v>0.1120103938148282</v>
      </c>
      <c r="W59" s="2"/>
      <c r="X59" s="7">
        <f t="shared" si="18"/>
        <v>-44.400000000000006</v>
      </c>
      <c r="Y59" s="2"/>
      <c r="Z59" s="6">
        <f t="shared" si="19"/>
        <v>-0.21106674272675416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7">
        <v>132.84</v>
      </c>
      <c r="E60" s="2"/>
      <c r="F60" s="6">
        <f t="shared" si="12"/>
        <v>5.4757704166597969E-2</v>
      </c>
      <c r="G60" s="2"/>
      <c r="H60" s="7">
        <v>327.83</v>
      </c>
      <c r="I60" s="2"/>
      <c r="J60" s="6">
        <f t="shared" si="13"/>
        <v>0.17455964729185741</v>
      </c>
      <c r="K60" s="2"/>
      <c r="L60" s="7">
        <f t="shared" si="14"/>
        <v>-194.98999999999998</v>
      </c>
      <c r="M60" s="2"/>
      <c r="N60" s="6">
        <f t="shared" si="15"/>
        <v>-0.59478998261293958</v>
      </c>
      <c r="O60" s="11"/>
      <c r="P60" s="7">
        <v>132.84</v>
      </c>
      <c r="Q60" s="2"/>
      <c r="R60" s="6">
        <f t="shared" si="16"/>
        <v>5.4757704166597969E-2</v>
      </c>
      <c r="S60" s="2"/>
      <c r="T60" s="7">
        <v>327.83</v>
      </c>
      <c r="U60" s="2"/>
      <c r="V60" s="6">
        <f t="shared" si="17"/>
        <v>0.17455964729185741</v>
      </c>
      <c r="W60" s="2"/>
      <c r="X60" s="7">
        <f t="shared" si="18"/>
        <v>-194.98999999999998</v>
      </c>
      <c r="Y60" s="2"/>
      <c r="Z60" s="6">
        <f t="shared" si="19"/>
        <v>-0.59478998261293958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7">
        <v>148.72999999999999</v>
      </c>
      <c r="E61" s="2"/>
      <c r="F61" s="6">
        <f t="shared" si="12"/>
        <v>6.1307688502695835E-2</v>
      </c>
      <c r="G61" s="2"/>
      <c r="H61" s="7">
        <v>150</v>
      </c>
      <c r="I61" s="2"/>
      <c r="J61" s="6">
        <f t="shared" si="13"/>
        <v>7.9870503290664724E-2</v>
      </c>
      <c r="K61" s="2"/>
      <c r="L61" s="7">
        <f t="shared" si="14"/>
        <v>-1.2700000000000102</v>
      </c>
      <c r="M61" s="2"/>
      <c r="N61" s="6">
        <f t="shared" si="15"/>
        <v>-8.4666666666667351E-3</v>
      </c>
      <c r="O61" s="11"/>
      <c r="P61" s="7">
        <v>148.72999999999999</v>
      </c>
      <c r="Q61" s="2"/>
      <c r="R61" s="6">
        <f t="shared" si="16"/>
        <v>6.1307688502695835E-2</v>
      </c>
      <c r="S61" s="2"/>
      <c r="T61" s="7">
        <v>150</v>
      </c>
      <c r="U61" s="2"/>
      <c r="V61" s="6">
        <f t="shared" si="17"/>
        <v>7.9870503290664724E-2</v>
      </c>
      <c r="W61" s="2"/>
      <c r="X61" s="7">
        <f t="shared" si="18"/>
        <v>-1.2700000000000102</v>
      </c>
      <c r="Y61" s="2"/>
      <c r="Z61" s="6">
        <f t="shared" si="19"/>
        <v>-8.4666666666667351E-3</v>
      </c>
    </row>
    <row r="62" spans="1:26" s="28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7818.1900000000005</v>
      </c>
      <c r="E62" s="1"/>
      <c r="F62" s="5">
        <f t="shared" ref="F62:F65" si="20">IF(D$12=0,0,D62/D$12)</f>
        <v>3.222720077824861</v>
      </c>
      <c r="G62" s="1"/>
      <c r="H62" s="1">
        <f>SUM(OSRRefH22_1x_0)</f>
        <v>6152.03</v>
      </c>
      <c r="I62" s="1"/>
      <c r="J62" s="5">
        <f t="shared" ref="J62:J65" si="21">IF(H$12=0,0,H62/H$12)</f>
        <v>3.2757715490617869</v>
      </c>
      <c r="K62" s="1"/>
      <c r="L62" s="1">
        <f t="shared" ref="L62:L65" si="22">+D62-H62</f>
        <v>1666.1600000000008</v>
      </c>
      <c r="M62" s="1"/>
      <c r="N62" s="5">
        <f t="shared" ref="N62:N65" si="23">IF(H62=0,0,L62/H62)</f>
        <v>0.27083092897791472</v>
      </c>
      <c r="O62" s="14"/>
      <c r="P62" s="1">
        <f>SUM(OSRRefP22_1x_0)</f>
        <v>7818.1900000000005</v>
      </c>
      <c r="Q62" s="1"/>
      <c r="R62" s="5">
        <f t="shared" ref="R62:R65" si="24">IF(P$12=0,0,P62/P$12)</f>
        <v>3.222720077824861</v>
      </c>
      <c r="S62" s="1"/>
      <c r="T62" s="1">
        <f>SUM(OSRRefT22_1x_0)</f>
        <v>6152.03</v>
      </c>
      <c r="U62" s="1"/>
      <c r="V62" s="5">
        <f t="shared" ref="V62:V65" si="25">IF(T$12=0,0,T62/T$12)</f>
        <v>3.2757715490617869</v>
      </c>
      <c r="W62" s="1"/>
      <c r="X62" s="1">
        <f t="shared" ref="X62:X65" si="26">+P62-T62</f>
        <v>1666.1600000000008</v>
      </c>
      <c r="Y62" s="1"/>
      <c r="Z62" s="5">
        <f t="shared" ref="Z62:Z65" si="27">IF(T62=0,0,X62/T62)</f>
        <v>0.27083092897791472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7">
        <v>5629</v>
      </c>
      <c r="E63" s="2"/>
      <c r="F63" s="6">
        <f t="shared" si="20"/>
        <v>2.3203185543042752</v>
      </c>
      <c r="G63" s="2"/>
      <c r="H63" s="7">
        <v>4721.78</v>
      </c>
      <c r="I63" s="2"/>
      <c r="J63" s="6">
        <f t="shared" si="21"/>
        <v>2.514206300185299</v>
      </c>
      <c r="K63" s="2"/>
      <c r="L63" s="7">
        <f t="shared" si="22"/>
        <v>907.22000000000025</v>
      </c>
      <c r="M63" s="2"/>
      <c r="N63" s="6">
        <f t="shared" si="23"/>
        <v>0.1921351693640958</v>
      </c>
      <c r="O63" s="11"/>
      <c r="P63" s="7">
        <v>5629</v>
      </c>
      <c r="Q63" s="2"/>
      <c r="R63" s="6">
        <f t="shared" si="24"/>
        <v>2.3203185543042752</v>
      </c>
      <c r="S63" s="2"/>
      <c r="T63" s="7">
        <v>4721.78</v>
      </c>
      <c r="U63" s="2"/>
      <c r="V63" s="6">
        <f t="shared" si="25"/>
        <v>2.514206300185299</v>
      </c>
      <c r="W63" s="2"/>
      <c r="X63" s="7">
        <f t="shared" si="26"/>
        <v>907.22000000000025</v>
      </c>
      <c r="Y63" s="2"/>
      <c r="Z63" s="6">
        <f t="shared" si="27"/>
        <v>0.1921351693640958</v>
      </c>
    </row>
    <row r="64" spans="1:26" s="24" customFormat="1" hidden="1" outlineLevel="2" x14ac:dyDescent="0.25">
      <c r="A64" s="29"/>
      <c r="B64" s="11" t="str">
        <f>CONCATENATE("          ", "6006", " - ", "TEMPORARY PART TIME")</f>
        <v xml:space="preserve">          6006 - TEMPORARY PART TIME</v>
      </c>
      <c r="C64" s="11"/>
      <c r="D64" s="7">
        <v>25.5</v>
      </c>
      <c r="E64" s="2"/>
      <c r="F64" s="6">
        <f t="shared" si="20"/>
        <v>1.0511302742007287E-2</v>
      </c>
      <c r="G64" s="2"/>
      <c r="H64" s="7">
        <v>363</v>
      </c>
      <c r="I64" s="2"/>
      <c r="J64" s="6">
        <f t="shared" si="21"/>
        <v>0.19328661796340862</v>
      </c>
      <c r="K64" s="2"/>
      <c r="L64" s="7">
        <f t="shared" si="22"/>
        <v>-337.5</v>
      </c>
      <c r="M64" s="2"/>
      <c r="N64" s="6">
        <f t="shared" si="23"/>
        <v>-0.92975206611570249</v>
      </c>
      <c r="O64" s="11"/>
      <c r="P64" s="7">
        <v>25.5</v>
      </c>
      <c r="Q64" s="2"/>
      <c r="R64" s="6">
        <f t="shared" si="24"/>
        <v>1.0511302742007287E-2</v>
      </c>
      <c r="S64" s="2"/>
      <c r="T64" s="7">
        <v>363</v>
      </c>
      <c r="U64" s="2"/>
      <c r="V64" s="6">
        <f t="shared" si="25"/>
        <v>0.19328661796340862</v>
      </c>
      <c r="W64" s="2"/>
      <c r="X64" s="7">
        <f t="shared" si="26"/>
        <v>-337.5</v>
      </c>
      <c r="Y64" s="2"/>
      <c r="Z64" s="6">
        <f t="shared" si="27"/>
        <v>-0.92975206611570249</v>
      </c>
    </row>
    <row r="65" spans="1:26" s="24" customFormat="1" hidden="1" outlineLevel="2" x14ac:dyDescent="0.25">
      <c r="A65" s="29"/>
      <c r="B65" s="11" t="str">
        <f>CONCATENATE("          ", "6007", " - ", "STUDENT HOURLY")</f>
        <v xml:space="preserve">          6007 - STUDENT HOURLY</v>
      </c>
      <c r="C65" s="11"/>
      <c r="D65" s="7">
        <v>2163.69</v>
      </c>
      <c r="E65" s="2"/>
      <c r="F65" s="6">
        <f t="shared" si="20"/>
        <v>0.89189022077857838</v>
      </c>
      <c r="G65" s="2"/>
      <c r="H65" s="7">
        <v>1067.25</v>
      </c>
      <c r="I65" s="2"/>
      <c r="J65" s="6">
        <f t="shared" si="21"/>
        <v>0.56827863091307951</v>
      </c>
      <c r="K65" s="2"/>
      <c r="L65" s="7">
        <f t="shared" si="22"/>
        <v>1096.44</v>
      </c>
      <c r="M65" s="2"/>
      <c r="N65" s="6">
        <f t="shared" si="23"/>
        <v>1.0273506676036543</v>
      </c>
      <c r="O65" s="11"/>
      <c r="P65" s="7">
        <v>2163.69</v>
      </c>
      <c r="Q65" s="2"/>
      <c r="R65" s="6">
        <f t="shared" si="24"/>
        <v>0.89189022077857838</v>
      </c>
      <c r="S65" s="2"/>
      <c r="T65" s="7">
        <v>1067.25</v>
      </c>
      <c r="U65" s="2"/>
      <c r="V65" s="6">
        <f t="shared" si="25"/>
        <v>0.56827863091307951</v>
      </c>
      <c r="W65" s="2"/>
      <c r="X65" s="7">
        <f t="shared" si="26"/>
        <v>1096.44</v>
      </c>
      <c r="Y65" s="2"/>
      <c r="Z65" s="6">
        <f t="shared" si="27"/>
        <v>1.0273506676036543</v>
      </c>
    </row>
    <row r="66" spans="1:26" s="28" customFormat="1" outlineLevel="1" collapsed="1" x14ac:dyDescent="0.25">
      <c r="A66" s="27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SUM(OSRRefD22_2x_0)</f>
        <v>0.38</v>
      </c>
      <c r="E66" s="1"/>
      <c r="F66" s="5">
        <f t="shared" ref="F66:F78" si="28">IF(D$12=0,0,D66/D$12)</f>
        <v>1.5663902125344193E-4</v>
      </c>
      <c r="G66" s="1"/>
      <c r="H66" s="1">
        <f>SUM(OSRRefH22_2x_0)</f>
        <v>-3.32</v>
      </c>
      <c r="I66" s="1"/>
      <c r="J66" s="5">
        <f t="shared" ref="J66:J78" si="29">IF(H$12=0,0,H66/H$12)</f>
        <v>-1.7678004728333789E-3</v>
      </c>
      <c r="K66" s="1"/>
      <c r="L66" s="1">
        <f t="shared" ref="L66:L78" si="30">+D66-H66</f>
        <v>3.6999999999999997</v>
      </c>
      <c r="M66" s="1"/>
      <c r="N66" s="5">
        <f t="shared" ref="N66:N78" si="31">IF(H66=0,0,L66/H66)</f>
        <v>-1.1144578313253011</v>
      </c>
      <c r="O66" s="14"/>
      <c r="P66" s="1">
        <f>SUM(OSRRefP22_2x_0)</f>
        <v>0.38</v>
      </c>
      <c r="Q66" s="1"/>
      <c r="R66" s="5">
        <f t="shared" ref="R66:R78" si="32">IF(P$12=0,0,P66/P$12)</f>
        <v>1.5663902125344193E-4</v>
      </c>
      <c r="S66" s="1"/>
      <c r="T66" s="1">
        <f>SUM(OSRRefT22_2x_0)</f>
        <v>-3.32</v>
      </c>
      <c r="U66" s="1"/>
      <c r="V66" s="5">
        <f t="shared" ref="V66:V78" si="33">IF(T$12=0,0,T66/T$12)</f>
        <v>-1.7678004728333789E-3</v>
      </c>
      <c r="W66" s="1"/>
      <c r="X66" s="1">
        <f t="shared" ref="X66:X78" si="34">+P66-T66</f>
        <v>3.6999999999999997</v>
      </c>
      <c r="Y66" s="1"/>
      <c r="Z66" s="5">
        <f t="shared" ref="Z66:Z78" si="35">IF(T66=0,0,X66/T66)</f>
        <v>-1.1144578313253011</v>
      </c>
    </row>
    <row r="67" spans="1:26" s="24" customFormat="1" hidden="1" outlineLevel="2" x14ac:dyDescent="0.25">
      <c r="A67" s="29"/>
      <c r="B67" s="11" t="str">
        <f>CONCATENATE("          ", "6272", " - ", "CASH (OVER/SHORT)")</f>
        <v xml:space="preserve">          6272 - CASH (OVER/SHORT)</v>
      </c>
      <c r="C67" s="11"/>
      <c r="D67" s="7">
        <v>0.38</v>
      </c>
      <c r="E67" s="2"/>
      <c r="F67" s="6">
        <f t="shared" si="28"/>
        <v>1.5663902125344193E-4</v>
      </c>
      <c r="G67" s="2"/>
      <c r="H67" s="7">
        <v>-3.32</v>
      </c>
      <c r="I67" s="2"/>
      <c r="J67" s="6">
        <f t="shared" si="29"/>
        <v>-1.7678004728333789E-3</v>
      </c>
      <c r="K67" s="2"/>
      <c r="L67" s="7">
        <f t="shared" si="30"/>
        <v>3.6999999999999997</v>
      </c>
      <c r="M67" s="2"/>
      <c r="N67" s="6">
        <f t="shared" si="31"/>
        <v>-1.1144578313253011</v>
      </c>
      <c r="O67" s="11"/>
      <c r="P67" s="7">
        <v>0.38</v>
      </c>
      <c r="Q67" s="2"/>
      <c r="R67" s="6">
        <f t="shared" si="32"/>
        <v>1.5663902125344193E-4</v>
      </c>
      <c r="S67" s="2"/>
      <c r="T67" s="7">
        <v>-3.32</v>
      </c>
      <c r="U67" s="2"/>
      <c r="V67" s="6">
        <f t="shared" si="33"/>
        <v>-1.7678004728333789E-3</v>
      </c>
      <c r="W67" s="2"/>
      <c r="X67" s="7">
        <f t="shared" si="34"/>
        <v>3.6999999999999997</v>
      </c>
      <c r="Y67" s="2"/>
      <c r="Z67" s="6">
        <f t="shared" si="35"/>
        <v>-1.1144578313253011</v>
      </c>
    </row>
    <row r="68" spans="1:26" s="28" customFormat="1" outlineLevel="1" collapsed="1" x14ac:dyDescent="0.25">
      <c r="A68" s="27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SUM(OSRRefD22_3x_0)</f>
        <v>130.49</v>
      </c>
      <c r="E68" s="1"/>
      <c r="F68" s="5">
        <f t="shared" si="28"/>
        <v>5.3789015482530629E-2</v>
      </c>
      <c r="G68" s="1"/>
      <c r="H68" s="1">
        <f>SUM(OSRRefH22_3x_0)</f>
        <v>33.71</v>
      </c>
      <c r="I68" s="1"/>
      <c r="J68" s="5">
        <f t="shared" si="29"/>
        <v>1.7949564439522052E-2</v>
      </c>
      <c r="K68" s="1"/>
      <c r="L68" s="1">
        <f t="shared" si="30"/>
        <v>96.78</v>
      </c>
      <c r="M68" s="1"/>
      <c r="N68" s="5">
        <f t="shared" si="31"/>
        <v>2.8709581726490656</v>
      </c>
      <c r="O68" s="14"/>
      <c r="P68" s="1">
        <f>SUM(OSRRefP22_3x_0)</f>
        <v>130.49</v>
      </c>
      <c r="Q68" s="1"/>
      <c r="R68" s="5">
        <f t="shared" si="32"/>
        <v>5.3789015482530629E-2</v>
      </c>
      <c r="S68" s="1"/>
      <c r="T68" s="1">
        <f>SUM(OSRRefT22_3x_0)</f>
        <v>33.71</v>
      </c>
      <c r="U68" s="1"/>
      <c r="V68" s="5">
        <f t="shared" si="33"/>
        <v>1.7949564439522052E-2</v>
      </c>
      <c r="W68" s="1"/>
      <c r="X68" s="1">
        <f t="shared" si="34"/>
        <v>96.78</v>
      </c>
      <c r="Y68" s="1"/>
      <c r="Z68" s="5">
        <f t="shared" si="35"/>
        <v>2.8709581726490656</v>
      </c>
    </row>
    <row r="69" spans="1:26" s="24" customFormat="1" hidden="1" outlineLevel="2" x14ac:dyDescent="0.25">
      <c r="A69" s="29"/>
      <c r="B69" s="11" t="str">
        <f>CONCATENATE("          ", "6382", " - ", "DISCOUNTS/MARK DOWNS")</f>
        <v xml:space="preserve">          6382 - DISCOUNTS/MARK DOWNS</v>
      </c>
      <c r="C69" s="11"/>
      <c r="D69" s="7">
        <v>130.49</v>
      </c>
      <c r="E69" s="2"/>
      <c r="F69" s="6">
        <f t="shared" si="28"/>
        <v>5.3789015482530629E-2</v>
      </c>
      <c r="G69" s="2"/>
      <c r="H69" s="7">
        <v>33.71</v>
      </c>
      <c r="I69" s="2"/>
      <c r="J69" s="6">
        <f t="shared" si="29"/>
        <v>1.7949564439522052E-2</v>
      </c>
      <c r="K69" s="2"/>
      <c r="L69" s="7">
        <f t="shared" si="30"/>
        <v>96.78</v>
      </c>
      <c r="M69" s="2"/>
      <c r="N69" s="6">
        <f t="shared" si="31"/>
        <v>2.8709581726490656</v>
      </c>
      <c r="O69" s="11"/>
      <c r="P69" s="7">
        <v>130.49</v>
      </c>
      <c r="Q69" s="2"/>
      <c r="R69" s="6">
        <f t="shared" si="32"/>
        <v>5.3789015482530629E-2</v>
      </c>
      <c r="S69" s="2"/>
      <c r="T69" s="7">
        <v>33.71</v>
      </c>
      <c r="U69" s="2"/>
      <c r="V69" s="6">
        <f t="shared" si="33"/>
        <v>1.7949564439522052E-2</v>
      </c>
      <c r="W69" s="2"/>
      <c r="X69" s="7">
        <f t="shared" si="34"/>
        <v>96.78</v>
      </c>
      <c r="Y69" s="2"/>
      <c r="Z69" s="6">
        <f t="shared" si="35"/>
        <v>2.8709581726490656</v>
      </c>
    </row>
    <row r="70" spans="1:26" s="28" customFormat="1" outlineLevel="1" collapsed="1" x14ac:dyDescent="0.25">
      <c r="A70" s="27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SUM(OSRRefD22_4x_0)</f>
        <v>694.55</v>
      </c>
      <c r="E70" s="1"/>
      <c r="F70" s="5">
        <f t="shared" si="28"/>
        <v>0.28629903213573182</v>
      </c>
      <c r="G70" s="1"/>
      <c r="H70" s="1">
        <f>SUM(OSRRefH22_4x_0)</f>
        <v>669.2</v>
      </c>
      <c r="I70" s="1"/>
      <c r="J70" s="5">
        <f t="shared" si="29"/>
        <v>0.35632893868075222</v>
      </c>
      <c r="K70" s="1"/>
      <c r="L70" s="1">
        <f t="shared" si="30"/>
        <v>25.349999999999909</v>
      </c>
      <c r="M70" s="1"/>
      <c r="N70" s="5">
        <f t="shared" si="31"/>
        <v>3.7881052002390773E-2</v>
      </c>
      <c r="O70" s="14"/>
      <c r="P70" s="1">
        <f>SUM(OSRRefP22_4x_0)</f>
        <v>694.55</v>
      </c>
      <c r="Q70" s="1"/>
      <c r="R70" s="5">
        <f t="shared" si="32"/>
        <v>0.28629903213573182</v>
      </c>
      <c r="S70" s="1"/>
      <c r="T70" s="1">
        <f>SUM(OSRRefT22_4x_0)</f>
        <v>669.2</v>
      </c>
      <c r="U70" s="1"/>
      <c r="V70" s="5">
        <f t="shared" si="33"/>
        <v>0.35632893868075222</v>
      </c>
      <c r="W70" s="1"/>
      <c r="X70" s="1">
        <f t="shared" si="34"/>
        <v>25.349999999999909</v>
      </c>
      <c r="Y70" s="1"/>
      <c r="Z70" s="5">
        <f t="shared" si="35"/>
        <v>3.7881052002390773E-2</v>
      </c>
    </row>
    <row r="71" spans="1:26" s="24" customFormat="1" hidden="1" outlineLevel="2" x14ac:dyDescent="0.25">
      <c r="A71" s="29"/>
      <c r="B71" s="11" t="str">
        <f>CONCATENATE("          ", "6279", " - ", "GENERAL EXPENSE")</f>
        <v xml:space="preserve">          6279 - GENERAL EXPENSE</v>
      </c>
      <c r="C71" s="11"/>
      <c r="D71" s="7">
        <v>694.55</v>
      </c>
      <c r="E71" s="2"/>
      <c r="F71" s="6">
        <f t="shared" si="28"/>
        <v>0.28629903213573182</v>
      </c>
      <c r="G71" s="2"/>
      <c r="H71" s="7">
        <v>669.2</v>
      </c>
      <c r="I71" s="2"/>
      <c r="J71" s="6">
        <f t="shared" si="29"/>
        <v>0.35632893868075222</v>
      </c>
      <c r="K71" s="2"/>
      <c r="L71" s="7">
        <f t="shared" si="30"/>
        <v>25.349999999999909</v>
      </c>
      <c r="M71" s="2"/>
      <c r="N71" s="6">
        <f t="shared" si="31"/>
        <v>3.7881052002390773E-2</v>
      </c>
      <c r="O71" s="11"/>
      <c r="P71" s="7">
        <v>694.55</v>
      </c>
      <c r="Q71" s="2"/>
      <c r="R71" s="6">
        <f t="shared" si="32"/>
        <v>0.28629903213573182</v>
      </c>
      <c r="S71" s="2"/>
      <c r="T71" s="7">
        <v>669.2</v>
      </c>
      <c r="U71" s="2"/>
      <c r="V71" s="6">
        <f t="shared" si="33"/>
        <v>0.35632893868075222</v>
      </c>
      <c r="W71" s="2"/>
      <c r="X71" s="7">
        <f t="shared" si="34"/>
        <v>25.349999999999909</v>
      </c>
      <c r="Y71" s="2"/>
      <c r="Z71" s="6">
        <f t="shared" si="35"/>
        <v>3.7881052002390773E-2</v>
      </c>
    </row>
    <row r="72" spans="1:26" s="28" customFormat="1" outlineLevel="1" collapsed="1" x14ac:dyDescent="0.25">
      <c r="A72" s="27"/>
      <c r="B72" s="14" t="str">
        <f>CONCATENATE("     ","Inventory Adjustment                              ")</f>
        <v xml:space="preserve">     Inventory Adjustment                              </v>
      </c>
      <c r="C72" s="14"/>
      <c r="D72" s="1">
        <f>SUM(OSRRefD22_5x_0)</f>
        <v>0</v>
      </c>
      <c r="E72" s="1"/>
      <c r="F72" s="5">
        <f t="shared" si="28"/>
        <v>0</v>
      </c>
      <c r="G72" s="1"/>
      <c r="H72" s="1">
        <f>SUM(OSRRefH22_5x_0)</f>
        <v>400</v>
      </c>
      <c r="I72" s="1"/>
      <c r="J72" s="5">
        <f t="shared" si="29"/>
        <v>0.2129880087751059</v>
      </c>
      <c r="K72" s="1"/>
      <c r="L72" s="1">
        <f t="shared" si="30"/>
        <v>-400</v>
      </c>
      <c r="M72" s="1"/>
      <c r="N72" s="5">
        <f t="shared" si="31"/>
        <v>-1</v>
      </c>
      <c r="O72" s="14"/>
      <c r="P72" s="1">
        <f>SUM(OSRRefP22_5x_0)</f>
        <v>0</v>
      </c>
      <c r="Q72" s="1"/>
      <c r="R72" s="5">
        <f t="shared" si="32"/>
        <v>0</v>
      </c>
      <c r="S72" s="1"/>
      <c r="T72" s="1">
        <f>SUM(OSRRefT22_5x_0)</f>
        <v>400</v>
      </c>
      <c r="U72" s="1"/>
      <c r="V72" s="5">
        <f t="shared" si="33"/>
        <v>0.2129880087751059</v>
      </c>
      <c r="W72" s="1"/>
      <c r="X72" s="1">
        <f t="shared" si="34"/>
        <v>-400</v>
      </c>
      <c r="Y72" s="1"/>
      <c r="Z72" s="5">
        <f t="shared" si="35"/>
        <v>-1</v>
      </c>
    </row>
    <row r="73" spans="1:26" s="24" customFormat="1" hidden="1" outlineLevel="2" x14ac:dyDescent="0.25">
      <c r="A73" s="29"/>
      <c r="B73" s="11" t="str">
        <f>CONCATENATE("          ", "6408", " - ", "INVENTORY ADJUSTMENT")</f>
        <v xml:space="preserve">          6408 - INVENTORY ADJUSTMENT</v>
      </c>
      <c r="C73" s="11"/>
      <c r="D73" s="7"/>
      <c r="E73" s="2"/>
      <c r="F73" s="6">
        <f t="shared" si="28"/>
        <v>0</v>
      </c>
      <c r="G73" s="2"/>
      <c r="H73" s="7">
        <v>400</v>
      </c>
      <c r="I73" s="2"/>
      <c r="J73" s="6">
        <f t="shared" si="29"/>
        <v>0.2129880087751059</v>
      </c>
      <c r="K73" s="2"/>
      <c r="L73" s="7">
        <f t="shared" si="30"/>
        <v>-400</v>
      </c>
      <c r="M73" s="2"/>
      <c r="N73" s="6">
        <f t="shared" si="31"/>
        <v>-1</v>
      </c>
      <c r="O73" s="11"/>
      <c r="P73" s="7"/>
      <c r="Q73" s="2"/>
      <c r="R73" s="6">
        <f t="shared" si="32"/>
        <v>0</v>
      </c>
      <c r="S73" s="2"/>
      <c r="T73" s="7">
        <v>400</v>
      </c>
      <c r="U73" s="2"/>
      <c r="V73" s="6">
        <f t="shared" si="33"/>
        <v>0.2129880087751059</v>
      </c>
      <c r="W73" s="2"/>
      <c r="X73" s="7">
        <f t="shared" si="34"/>
        <v>-400</v>
      </c>
      <c r="Y73" s="2"/>
      <c r="Z73" s="6">
        <f t="shared" si="35"/>
        <v>-1</v>
      </c>
    </row>
    <row r="74" spans="1:26" s="28" customFormat="1" outlineLevel="1" collapsed="1" x14ac:dyDescent="0.25">
      <c r="A74" s="27"/>
      <c r="B74" s="14" t="str">
        <f>CONCATENATE("     ","Professional Services                             ")</f>
        <v xml:space="preserve">     Professional Services                             </v>
      </c>
      <c r="C74" s="14"/>
      <c r="D74" s="1">
        <f>SUM(OSRRefD22_6x_0)</f>
        <v>750</v>
      </c>
      <c r="E74" s="1"/>
      <c r="F74" s="5">
        <f t="shared" si="28"/>
        <v>0.30915596300021436</v>
      </c>
      <c r="G74" s="1"/>
      <c r="H74" s="1">
        <f>SUM(OSRRefH22_6x_0)</f>
        <v>750</v>
      </c>
      <c r="I74" s="1"/>
      <c r="J74" s="5">
        <f t="shared" si="29"/>
        <v>0.39935251645332359</v>
      </c>
      <c r="K74" s="1"/>
      <c r="L74" s="1">
        <f t="shared" si="30"/>
        <v>0</v>
      </c>
      <c r="M74" s="1"/>
      <c r="N74" s="5">
        <f t="shared" si="31"/>
        <v>0</v>
      </c>
      <c r="O74" s="14"/>
      <c r="P74" s="1">
        <f>SUM(OSRRefP22_6x_0)</f>
        <v>750</v>
      </c>
      <c r="Q74" s="1"/>
      <c r="R74" s="5">
        <f t="shared" si="32"/>
        <v>0.30915596300021436</v>
      </c>
      <c r="S74" s="1"/>
      <c r="T74" s="1">
        <f>SUM(OSRRefT22_6x_0)</f>
        <v>750</v>
      </c>
      <c r="U74" s="1"/>
      <c r="V74" s="5">
        <f t="shared" si="33"/>
        <v>0.39935251645332359</v>
      </c>
      <c r="W74" s="1"/>
      <c r="X74" s="1">
        <f t="shared" si="34"/>
        <v>0</v>
      </c>
      <c r="Y74" s="1"/>
      <c r="Z74" s="5">
        <f t="shared" si="35"/>
        <v>0</v>
      </c>
    </row>
    <row r="75" spans="1:26" s="24" customFormat="1" hidden="1" outlineLevel="2" x14ac:dyDescent="0.25">
      <c r="A75" s="29"/>
      <c r="B75" s="11" t="str">
        <f>CONCATENATE("          ", "6336", " - ", "PROFESSIONAL SERVICES")</f>
        <v xml:space="preserve">          6336 - PROFESSIONAL SERVICES</v>
      </c>
      <c r="C75" s="11"/>
      <c r="D75" s="7">
        <v>750</v>
      </c>
      <c r="E75" s="2"/>
      <c r="F75" s="6">
        <f t="shared" si="28"/>
        <v>0.30915596300021436</v>
      </c>
      <c r="G75" s="2"/>
      <c r="H75" s="7">
        <v>750</v>
      </c>
      <c r="I75" s="2"/>
      <c r="J75" s="6">
        <f t="shared" si="29"/>
        <v>0.39935251645332359</v>
      </c>
      <c r="K75" s="2"/>
      <c r="L75" s="7">
        <f t="shared" si="30"/>
        <v>0</v>
      </c>
      <c r="M75" s="2"/>
      <c r="N75" s="6">
        <f t="shared" si="31"/>
        <v>0</v>
      </c>
      <c r="O75" s="11"/>
      <c r="P75" s="7">
        <v>750</v>
      </c>
      <c r="Q75" s="2"/>
      <c r="R75" s="6">
        <f t="shared" si="32"/>
        <v>0.30915596300021436</v>
      </c>
      <c r="S75" s="2"/>
      <c r="T75" s="7">
        <v>750</v>
      </c>
      <c r="U75" s="2"/>
      <c r="V75" s="6">
        <f t="shared" si="33"/>
        <v>0.39935251645332359</v>
      </c>
      <c r="W75" s="2"/>
      <c r="X75" s="7">
        <f t="shared" si="34"/>
        <v>0</v>
      </c>
      <c r="Y75" s="2"/>
      <c r="Z75" s="6">
        <f t="shared" si="35"/>
        <v>0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SUM(OSRRefD22_7x_0)</f>
        <v>207.67</v>
      </c>
      <c r="E76" s="1"/>
      <c r="F76" s="5">
        <f t="shared" si="28"/>
        <v>8.560322511500601E-2</v>
      </c>
      <c r="G76" s="1"/>
      <c r="H76" s="1">
        <f>SUM(OSRRefH22_7x_0)</f>
        <v>234.6</v>
      </c>
      <c r="I76" s="1"/>
      <c r="J76" s="5">
        <f t="shared" si="29"/>
        <v>0.12491746714659961</v>
      </c>
      <c r="K76" s="1"/>
      <c r="L76" s="1">
        <f t="shared" si="30"/>
        <v>-26.930000000000007</v>
      </c>
      <c r="M76" s="1"/>
      <c r="N76" s="5">
        <f t="shared" si="31"/>
        <v>-0.11479113384484231</v>
      </c>
      <c r="O76" s="14"/>
      <c r="P76" s="1">
        <f>SUM(OSRRefP22_7x_0)</f>
        <v>207.67</v>
      </c>
      <c r="Q76" s="1"/>
      <c r="R76" s="5">
        <f t="shared" si="32"/>
        <v>8.560322511500601E-2</v>
      </c>
      <c r="S76" s="1"/>
      <c r="T76" s="1">
        <f>SUM(OSRRefT22_7x_0)</f>
        <v>234.6</v>
      </c>
      <c r="U76" s="1"/>
      <c r="V76" s="5">
        <f t="shared" si="33"/>
        <v>0.12491746714659961</v>
      </c>
      <c r="W76" s="1"/>
      <c r="X76" s="1">
        <f t="shared" si="34"/>
        <v>-26.930000000000007</v>
      </c>
      <c r="Y76" s="1"/>
      <c r="Z76" s="5">
        <f t="shared" si="35"/>
        <v>-0.11479113384484231</v>
      </c>
    </row>
    <row r="77" spans="1:26" s="24" customFormat="1" hidden="1" outlineLevel="2" x14ac:dyDescent="0.2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>
        <v>44</v>
      </c>
      <c r="E77" s="2"/>
      <c r="F77" s="6">
        <f t="shared" si="28"/>
        <v>1.813714982934591E-2</v>
      </c>
      <c r="G77" s="2"/>
      <c r="H77" s="7">
        <v>41.5</v>
      </c>
      <c r="I77" s="2"/>
      <c r="J77" s="6">
        <f t="shared" si="29"/>
        <v>2.2097505910417238E-2</v>
      </c>
      <c r="K77" s="2"/>
      <c r="L77" s="7">
        <f t="shared" si="30"/>
        <v>2.5</v>
      </c>
      <c r="M77" s="2"/>
      <c r="N77" s="6">
        <f t="shared" si="31"/>
        <v>6.0240963855421686E-2</v>
      </c>
      <c r="O77" s="11"/>
      <c r="P77" s="7">
        <v>44</v>
      </c>
      <c r="Q77" s="2"/>
      <c r="R77" s="6">
        <f t="shared" si="32"/>
        <v>1.813714982934591E-2</v>
      </c>
      <c r="S77" s="2"/>
      <c r="T77" s="7">
        <v>41.5</v>
      </c>
      <c r="U77" s="2"/>
      <c r="V77" s="6">
        <f t="shared" si="33"/>
        <v>2.2097505910417238E-2</v>
      </c>
      <c r="W77" s="2"/>
      <c r="X77" s="7">
        <f t="shared" si="34"/>
        <v>2.5</v>
      </c>
      <c r="Y77" s="2"/>
      <c r="Z77" s="6">
        <f t="shared" si="35"/>
        <v>6.0240963855421686E-2</v>
      </c>
    </row>
    <row r="78" spans="1:26" s="24" customFormat="1" hidden="1" outlineLevel="2" x14ac:dyDescent="0.25">
      <c r="A78" s="29"/>
      <c r="B78" s="11" t="str">
        <f>CONCATENATE("          ", "6285", " - ", "JANITORIAL SERVICES")</f>
        <v xml:space="preserve">          6285 - JANITORIAL SERVICES</v>
      </c>
      <c r="C78" s="11"/>
      <c r="D78" s="7">
        <v>163.66999999999999</v>
      </c>
      <c r="E78" s="2"/>
      <c r="F78" s="6">
        <f t="shared" si="28"/>
        <v>6.7466075285660107E-2</v>
      </c>
      <c r="G78" s="2"/>
      <c r="H78" s="7">
        <v>193.1</v>
      </c>
      <c r="I78" s="2"/>
      <c r="J78" s="6">
        <f t="shared" si="29"/>
        <v>0.10281996123618238</v>
      </c>
      <c r="K78" s="2"/>
      <c r="L78" s="7">
        <f t="shared" si="30"/>
        <v>-29.430000000000007</v>
      </c>
      <c r="M78" s="2"/>
      <c r="N78" s="6">
        <f t="shared" si="31"/>
        <v>-0.1524080787156914</v>
      </c>
      <c r="O78" s="11"/>
      <c r="P78" s="7">
        <v>163.66999999999999</v>
      </c>
      <c r="Q78" s="2"/>
      <c r="R78" s="6">
        <f t="shared" si="32"/>
        <v>6.7466075285660107E-2</v>
      </c>
      <c r="S78" s="2"/>
      <c r="T78" s="7">
        <v>193.1</v>
      </c>
      <c r="U78" s="2"/>
      <c r="V78" s="6">
        <f t="shared" si="33"/>
        <v>0.10281996123618238</v>
      </c>
      <c r="W78" s="2"/>
      <c r="X78" s="7">
        <f t="shared" si="34"/>
        <v>-29.430000000000007</v>
      </c>
      <c r="Y78" s="2"/>
      <c r="Z78" s="6">
        <f t="shared" si="35"/>
        <v>-0.1524080787156914</v>
      </c>
    </row>
    <row r="79" spans="1:26" s="28" customFormat="1" outlineLevel="1" collapsed="1" x14ac:dyDescent="0.2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SUM(OSRRefD22_8x_0)</f>
        <v>4.67</v>
      </c>
      <c r="E79" s="1"/>
      <c r="F79" s="5">
        <f t="shared" ref="F79:F82" si="36">IF(D$12=0,0,D79/D$12)</f>
        <v>1.9250111296146679E-3</v>
      </c>
      <c r="G79" s="1"/>
      <c r="H79" s="1">
        <f>SUM(OSRRefH22_8x_0)</f>
        <v>33.61</v>
      </c>
      <c r="I79" s="1"/>
      <c r="J79" s="5">
        <f t="shared" ref="J79:J82" si="37">IF(H$12=0,0,H79/H$12)</f>
        <v>1.7896317437328273E-2</v>
      </c>
      <c r="K79" s="1"/>
      <c r="L79" s="1">
        <f t="shared" ref="L79:L82" si="38">+D79-H79</f>
        <v>-28.939999999999998</v>
      </c>
      <c r="M79" s="1"/>
      <c r="N79" s="5">
        <f t="shared" ref="N79:N82" si="39">IF(H79=0,0,L79/H79)</f>
        <v>-0.86105325795894072</v>
      </c>
      <c r="O79" s="14"/>
      <c r="P79" s="1">
        <f>SUM(OSRRefP22_8x_0)</f>
        <v>4.67</v>
      </c>
      <c r="Q79" s="1"/>
      <c r="R79" s="5">
        <f t="shared" ref="R79:R82" si="40">IF(P$12=0,0,P79/P$12)</f>
        <v>1.9250111296146679E-3</v>
      </c>
      <c r="S79" s="1"/>
      <c r="T79" s="1">
        <f>SUM(OSRRefT22_8x_0)</f>
        <v>33.61</v>
      </c>
      <c r="U79" s="1"/>
      <c r="V79" s="5">
        <f t="shared" ref="V79:V82" si="41">IF(T$12=0,0,T79/T$12)</f>
        <v>1.7896317437328273E-2</v>
      </c>
      <c r="W79" s="1"/>
      <c r="X79" s="1">
        <f t="shared" ref="X79:X82" si="42">+P79-T79</f>
        <v>-28.939999999999998</v>
      </c>
      <c r="Y79" s="1"/>
      <c r="Z79" s="5">
        <f t="shared" ref="Z79:Z82" si="43">IF(T79=0,0,X79/T79)</f>
        <v>-0.86105325795894072</v>
      </c>
    </row>
    <row r="80" spans="1:26" s="24" customFormat="1" hidden="1" outlineLevel="2" x14ac:dyDescent="0.25">
      <c r="A80" s="29"/>
      <c r="B80" s="11" t="str">
        <f>CONCATENATE("          ", "6241", " - ", "OFFICE EXPENSE")</f>
        <v xml:space="preserve">          6241 - OFFICE EXPENSE</v>
      </c>
      <c r="C80" s="11"/>
      <c r="D80" s="7">
        <v>4.67</v>
      </c>
      <c r="E80" s="2"/>
      <c r="F80" s="6">
        <f t="shared" si="36"/>
        <v>1.9250111296146679E-3</v>
      </c>
      <c r="G80" s="2"/>
      <c r="H80" s="7">
        <v>33.61</v>
      </c>
      <c r="I80" s="2"/>
      <c r="J80" s="6">
        <f t="shared" si="37"/>
        <v>1.7896317437328273E-2</v>
      </c>
      <c r="K80" s="2"/>
      <c r="L80" s="7">
        <f t="shared" si="38"/>
        <v>-28.939999999999998</v>
      </c>
      <c r="M80" s="2"/>
      <c r="N80" s="6">
        <f t="shared" si="39"/>
        <v>-0.86105325795894072</v>
      </c>
      <c r="O80" s="11"/>
      <c r="P80" s="7">
        <v>4.67</v>
      </c>
      <c r="Q80" s="2"/>
      <c r="R80" s="6">
        <f t="shared" si="40"/>
        <v>1.9250111296146679E-3</v>
      </c>
      <c r="S80" s="2"/>
      <c r="T80" s="7">
        <v>33.61</v>
      </c>
      <c r="U80" s="2"/>
      <c r="V80" s="6">
        <f t="shared" si="41"/>
        <v>1.7896317437328273E-2</v>
      </c>
      <c r="W80" s="2"/>
      <c r="X80" s="7">
        <f t="shared" si="42"/>
        <v>-28.939999999999998</v>
      </c>
      <c r="Y80" s="2"/>
      <c r="Z80" s="6">
        <f t="shared" si="43"/>
        <v>-0.86105325795894072</v>
      </c>
    </row>
    <row r="81" spans="1:26" s="28" customFormat="1" outlineLevel="1" collapsed="1" x14ac:dyDescent="0.25">
      <c r="A81" s="27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SUM(OSRRefD22_9x_0)</f>
        <v>74</v>
      </c>
      <c r="E81" s="1"/>
      <c r="F81" s="5">
        <f t="shared" si="36"/>
        <v>3.0503388349354482E-2</v>
      </c>
      <c r="G81" s="1"/>
      <c r="H81" s="1">
        <f>SUM(OSRRefH22_9x_0)</f>
        <v>5</v>
      </c>
      <c r="I81" s="1"/>
      <c r="J81" s="5">
        <f t="shared" si="37"/>
        <v>2.662350109688824E-3</v>
      </c>
      <c r="K81" s="1"/>
      <c r="L81" s="1">
        <f t="shared" si="38"/>
        <v>69</v>
      </c>
      <c r="M81" s="1"/>
      <c r="N81" s="5">
        <f t="shared" si="39"/>
        <v>13.8</v>
      </c>
      <c r="O81" s="14"/>
      <c r="P81" s="1">
        <f>SUM(OSRRefP22_9x_0)</f>
        <v>74</v>
      </c>
      <c r="Q81" s="1"/>
      <c r="R81" s="5">
        <f t="shared" si="40"/>
        <v>3.0503388349354482E-2</v>
      </c>
      <c r="S81" s="1"/>
      <c r="T81" s="1">
        <f>SUM(OSRRefT22_9x_0)</f>
        <v>5</v>
      </c>
      <c r="U81" s="1"/>
      <c r="V81" s="5">
        <f t="shared" si="41"/>
        <v>2.662350109688824E-3</v>
      </c>
      <c r="W81" s="1"/>
      <c r="X81" s="1">
        <f t="shared" si="42"/>
        <v>69</v>
      </c>
      <c r="Y81" s="1"/>
      <c r="Z81" s="5">
        <f t="shared" si="43"/>
        <v>13.8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7">
        <v>74</v>
      </c>
      <c r="E82" s="2"/>
      <c r="F82" s="6">
        <f t="shared" si="36"/>
        <v>3.0503388349354482E-2</v>
      </c>
      <c r="G82" s="2"/>
      <c r="H82" s="7">
        <v>5</v>
      </c>
      <c r="I82" s="2"/>
      <c r="J82" s="6">
        <f t="shared" si="37"/>
        <v>2.662350109688824E-3</v>
      </c>
      <c r="K82" s="2"/>
      <c r="L82" s="7">
        <f t="shared" si="38"/>
        <v>69</v>
      </c>
      <c r="M82" s="2"/>
      <c r="N82" s="6">
        <f t="shared" si="39"/>
        <v>13.8</v>
      </c>
      <c r="O82" s="11"/>
      <c r="P82" s="7">
        <v>74</v>
      </c>
      <c r="Q82" s="2"/>
      <c r="R82" s="6">
        <f t="shared" si="40"/>
        <v>3.0503388349354482E-2</v>
      </c>
      <c r="S82" s="2"/>
      <c r="T82" s="7">
        <v>5</v>
      </c>
      <c r="U82" s="2"/>
      <c r="V82" s="6">
        <f t="shared" si="41"/>
        <v>2.662350109688824E-3</v>
      </c>
      <c r="W82" s="2"/>
      <c r="X82" s="7">
        <f t="shared" si="42"/>
        <v>69</v>
      </c>
      <c r="Y82" s="2"/>
      <c r="Z82" s="6">
        <f t="shared" si="43"/>
        <v>13.8</v>
      </c>
    </row>
    <row r="83" spans="1:26" s="54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21">
        <f>+D50-D52+D84</f>
        <v>-10222.619999999997</v>
      </c>
      <c r="E86" s="13"/>
      <c r="F86" s="20">
        <f>IF(D$12=0,0,D86/D$12)</f>
        <v>-4.2138452406470002</v>
      </c>
      <c r="G86" s="13"/>
      <c r="H86" s="21">
        <f>+H50-H52+H84</f>
        <v>-9064.0600000000049</v>
      </c>
      <c r="I86" s="13"/>
      <c r="J86" s="20">
        <f>IF(H$12=0,0,H86/H$12)</f>
        <v>-4.8263402270452191</v>
      </c>
      <c r="K86" s="16"/>
      <c r="L86" s="21">
        <f>+D86-H86</f>
        <v>-1158.5599999999922</v>
      </c>
      <c r="M86" s="16"/>
      <c r="N86" s="20">
        <f>IF(H86=0,0,L86/H86)</f>
        <v>0.12781910093269369</v>
      </c>
      <c r="O86" s="26"/>
      <c r="P86" s="21">
        <f>+P50-P52+P84</f>
        <v>-10222.619999999997</v>
      </c>
      <c r="Q86" s="13"/>
      <c r="R86" s="20">
        <f>IF(P$12=0,0,P86/P$12)</f>
        <v>-4.2138452406470002</v>
      </c>
      <c r="S86" s="13"/>
      <c r="T86" s="21">
        <f>+T50-T52+T84</f>
        <v>-9064.0600000000049</v>
      </c>
      <c r="U86" s="13"/>
      <c r="V86" s="20">
        <f>IF(T$12=0,0,T86/T$12)</f>
        <v>-4.8263402270452191</v>
      </c>
      <c r="W86" s="16"/>
      <c r="X86" s="21">
        <f>+P86-T86</f>
        <v>-1158.5599999999922</v>
      </c>
      <c r="Y86" s="16"/>
      <c r="Z86" s="20">
        <f>IF(T86=0,0,X86/T86)</f>
        <v>0.12781910093269369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504.43</v>
      </c>
      <c r="E88" s="4"/>
      <c r="F88" s="12">
        <f>IF(D$12=0,0,D88/D$12)</f>
        <v>0.20793005655493083</v>
      </c>
      <c r="G88" s="4"/>
      <c r="H88" s="4">
        <v>385.56</v>
      </c>
      <c r="I88" s="4"/>
      <c r="J88" s="12">
        <f>IF(H$12=0,0,H88/H$12)</f>
        <v>0.20529914165832458</v>
      </c>
      <c r="K88" s="4"/>
      <c r="L88" s="4">
        <f>+D88-H88</f>
        <v>118.87</v>
      </c>
      <c r="M88" s="4"/>
      <c r="N88" s="12">
        <f>IF(H88=0,0,L88/H88)</f>
        <v>0.30830480340284261</v>
      </c>
      <c r="O88" s="10"/>
      <c r="P88" s="4">
        <v>504.43</v>
      </c>
      <c r="Q88" s="4"/>
      <c r="R88" s="12">
        <f>IF(P$12=0,0,P88/P$12)</f>
        <v>0.20793005655493083</v>
      </c>
      <c r="S88" s="4"/>
      <c r="T88" s="4">
        <v>385.56</v>
      </c>
      <c r="U88" s="4"/>
      <c r="V88" s="12">
        <f>IF(T$12=0,0,T88/T$12)</f>
        <v>0.20529914165832458</v>
      </c>
      <c r="W88" s="4"/>
      <c r="X88" s="4">
        <f>+P88-T88</f>
        <v>118.87</v>
      </c>
      <c r="Y88" s="4"/>
      <c r="Z88" s="12">
        <f>IF(T88=0,0,X88/T88)</f>
        <v>0.30830480340284261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3">
        <f>+D86-D88</f>
        <v>-10727.049999999997</v>
      </c>
      <c r="E90" s="13"/>
      <c r="F90" s="34">
        <f>IF(D$12=0,0,D90/D$12)</f>
        <v>-4.4217752972019317</v>
      </c>
      <c r="G90" s="13"/>
      <c r="H90" s="33">
        <f>+H86-H88</f>
        <v>-9449.6200000000044</v>
      </c>
      <c r="I90" s="13"/>
      <c r="J90" s="34">
        <f>IF(H$12=0,0,H90/H$12)</f>
        <v>-5.0316393687035434</v>
      </c>
      <c r="K90" s="16"/>
      <c r="L90" s="33">
        <f>D90-H90</f>
        <v>-1277.429999999993</v>
      </c>
      <c r="M90" s="16"/>
      <c r="N90" s="34">
        <f>IF(H90=0,0,L90/H90)</f>
        <v>0.13518321371652961</v>
      </c>
      <c r="O90" s="26"/>
      <c r="P90" s="33">
        <f>+P86-P88</f>
        <v>-10727.049999999997</v>
      </c>
      <c r="Q90" s="13"/>
      <c r="R90" s="34">
        <f>IF(P$12=0,0,P90/P$12)</f>
        <v>-4.4217752972019317</v>
      </c>
      <c r="S90" s="13"/>
      <c r="T90" s="33">
        <f>+T86-T88</f>
        <v>-9449.6200000000044</v>
      </c>
      <c r="U90" s="13"/>
      <c r="V90" s="34">
        <f>IF(T$12=0,0,T90/T$12)</f>
        <v>-5.0316393687035434</v>
      </c>
      <c r="W90" s="16"/>
      <c r="X90" s="33">
        <f>P90-T90</f>
        <v>-1277.429999999993</v>
      </c>
      <c r="Y90" s="16"/>
      <c r="Z90" s="34">
        <f>IF(T90=0,0,X90/T90)</f>
        <v>0.13518321371652961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1">
        <f>SUM(D90:D92)</f>
        <v>-10727.049999999997</v>
      </c>
      <c r="E93" s="13"/>
      <c r="F93" s="30">
        <f>IF(D$12=0,0,D93/D$12)</f>
        <v>-4.4217752972019317</v>
      </c>
      <c r="G93" s="13"/>
      <c r="H93" s="31">
        <f>SUM(H90:H92)</f>
        <v>-9449.6200000000044</v>
      </c>
      <c r="I93" s="13"/>
      <c r="J93" s="30">
        <f>IF(H$12=0,0,H93/H$12)</f>
        <v>-5.0316393687035434</v>
      </c>
      <c r="K93" s="16"/>
      <c r="L93" s="31">
        <f>+D93-H93</f>
        <v>-1277.429999999993</v>
      </c>
      <c r="M93" s="16"/>
      <c r="N93" s="30">
        <f>IF(H93=0,0,L93/H93)</f>
        <v>0.13518321371652961</v>
      </c>
      <c r="O93" s="26"/>
      <c r="P93" s="31">
        <f>SUM(P90:P92)</f>
        <v>-10727.049999999997</v>
      </c>
      <c r="Q93" s="13"/>
      <c r="R93" s="30">
        <f>IF(P$12=0,0,P93/P$12)</f>
        <v>-4.4217752972019317</v>
      </c>
      <c r="S93" s="13"/>
      <c r="T93" s="31">
        <f>SUM(T90:T92)</f>
        <v>-9449.6200000000044</v>
      </c>
      <c r="U93" s="13"/>
      <c r="V93" s="30">
        <f>IF(T$12=0,0,T93/T$12)</f>
        <v>-5.0316393687035434</v>
      </c>
      <c r="W93" s="16"/>
      <c r="X93" s="31">
        <f>+P93-T93</f>
        <v>-1277.429999999993</v>
      </c>
      <c r="Y93" s="16"/>
      <c r="Z93" s="30">
        <f>IF(T93=0,0,X93/T93)</f>
        <v>0.13518321371652961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6">
        <v>43726.68182114583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3" t="s">
        <v>313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","314", " - ", "Supplies")</f>
        <v>Department 314 - Supplies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16342.819999999998</v>
      </c>
      <c r="E12" s="4"/>
      <c r="F12" s="12"/>
      <c r="G12" s="4"/>
      <c r="H12" s="4">
        <f>SUM(OSRRefH13x_0)</f>
        <v>16130.87</v>
      </c>
      <c r="I12" s="4"/>
      <c r="J12" s="12"/>
      <c r="K12" s="4"/>
      <c r="L12" s="4">
        <f t="shared" ref="L12:L29" si="0">+D12-H12</f>
        <v>211.94999999999709</v>
      </c>
      <c r="M12" s="4"/>
      <c r="N12" s="12">
        <f t="shared" ref="N12:N29" si="1">IF(H12=0,0,L12/H12)</f>
        <v>1.3139402896433798E-2</v>
      </c>
      <c r="O12" s="10"/>
      <c r="P12" s="4">
        <f>SUM(OSRRefP13x_0)</f>
        <v>16342.819999999998</v>
      </c>
      <c r="Q12" s="4"/>
      <c r="R12" s="12"/>
      <c r="S12" s="4"/>
      <c r="T12" s="4">
        <f>SUM(OSRRefT13x_0)</f>
        <v>16130.87</v>
      </c>
      <c r="U12" s="4"/>
      <c r="V12" s="12"/>
      <c r="W12" s="4"/>
      <c r="X12" s="4">
        <f t="shared" ref="X12:X29" si="2">+P12-T12</f>
        <v>211.94999999999709</v>
      </c>
      <c r="Y12" s="4"/>
      <c r="Z12" s="12">
        <f t="shared" ref="Z12:Z29" si="3">IF(T12=0,0,X12/T12)</f>
        <v>1.3139402896433798E-2</v>
      </c>
    </row>
    <row r="13" spans="1:26" s="24" customFormat="1" hidden="1" outlineLevel="1" x14ac:dyDescent="0.25">
      <c r="A13" s="50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--4.47</f>
        <v>4.47</v>
      </c>
      <c r="E13" s="2"/>
      <c r="F13" s="22"/>
      <c r="G13" s="2"/>
      <c r="H13" s="2">
        <f>--264.61</f>
        <v>264.61</v>
      </c>
      <c r="I13" s="2"/>
      <c r="J13" s="22"/>
      <c r="K13" s="2"/>
      <c r="L13" s="2">
        <f t="shared" si="0"/>
        <v>-260.14</v>
      </c>
      <c r="M13" s="2"/>
      <c r="N13" s="22">
        <f t="shared" si="1"/>
        <v>-0.98310721439099036</v>
      </c>
      <c r="O13" s="11"/>
      <c r="P13" s="2">
        <f>--4.47</f>
        <v>4.47</v>
      </c>
      <c r="Q13" s="2"/>
      <c r="R13" s="22"/>
      <c r="S13" s="2"/>
      <c r="T13" s="2">
        <f>--264.61</f>
        <v>264.61</v>
      </c>
      <c r="U13" s="2"/>
      <c r="V13" s="22"/>
      <c r="W13" s="2"/>
      <c r="X13" s="2">
        <f t="shared" si="2"/>
        <v>-260.14</v>
      </c>
      <c r="Y13" s="2"/>
      <c r="Z13" s="22">
        <f t="shared" si="3"/>
        <v>-0.98310721439099036</v>
      </c>
    </row>
    <row r="14" spans="1:26" s="24" customFormat="1" hidden="1" outlineLevel="1" x14ac:dyDescent="0.25">
      <c r="A14" s="50"/>
      <c r="B14" s="11" t="str">
        <f>CONCATENATE("          ", "4025", " - ", "TAXABLE SALES-TEST FORMS")</f>
        <v xml:space="preserve">          4025 - TAXABLE SALES-TEST FORMS</v>
      </c>
      <c r="C14" s="11"/>
      <c r="D14" s="2">
        <f>--390.82</f>
        <v>390.82</v>
      </c>
      <c r="E14" s="2"/>
      <c r="F14" s="22"/>
      <c r="G14" s="2"/>
      <c r="H14" s="2">
        <f>--618.08</f>
        <v>618.08000000000004</v>
      </c>
      <c r="I14" s="2"/>
      <c r="J14" s="22"/>
      <c r="K14" s="2"/>
      <c r="L14" s="2">
        <f t="shared" si="0"/>
        <v>-227.26000000000005</v>
      </c>
      <c r="M14" s="2"/>
      <c r="N14" s="22">
        <f t="shared" si="1"/>
        <v>-0.36768703080507381</v>
      </c>
      <c r="O14" s="11"/>
      <c r="P14" s="2">
        <f>--390.82</f>
        <v>390.82</v>
      </c>
      <c r="Q14" s="2"/>
      <c r="R14" s="22"/>
      <c r="S14" s="2"/>
      <c r="T14" s="2">
        <f>--618.08</f>
        <v>618.08000000000004</v>
      </c>
      <c r="U14" s="2"/>
      <c r="V14" s="22"/>
      <c r="W14" s="2"/>
      <c r="X14" s="2">
        <f t="shared" si="2"/>
        <v>-227.26000000000005</v>
      </c>
      <c r="Y14" s="2"/>
      <c r="Z14" s="22">
        <f t="shared" si="3"/>
        <v>-0.36768703080507381</v>
      </c>
    </row>
    <row r="15" spans="1:26" s="24" customFormat="1" hidden="1" outlineLevel="1" x14ac:dyDescent="0.25">
      <c r="A15" s="50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--1874.15</f>
        <v>1874.15</v>
      </c>
      <c r="E15" s="2"/>
      <c r="F15" s="22"/>
      <c r="G15" s="2"/>
      <c r="H15" s="2">
        <f>--1991.71</f>
        <v>1991.71</v>
      </c>
      <c r="I15" s="2"/>
      <c r="J15" s="22"/>
      <c r="K15" s="2"/>
      <c r="L15" s="2">
        <f t="shared" si="0"/>
        <v>-117.55999999999995</v>
      </c>
      <c r="M15" s="2"/>
      <c r="N15" s="22">
        <f t="shared" si="1"/>
        <v>-5.9024657204111014E-2</v>
      </c>
      <c r="O15" s="11"/>
      <c r="P15" s="2">
        <f>--1874.15</f>
        <v>1874.15</v>
      </c>
      <c r="Q15" s="2"/>
      <c r="R15" s="22"/>
      <c r="S15" s="2"/>
      <c r="T15" s="2">
        <f>--1991.71</f>
        <v>1991.71</v>
      </c>
      <c r="U15" s="2"/>
      <c r="V15" s="22"/>
      <c r="W15" s="2"/>
      <c r="X15" s="2">
        <f t="shared" si="2"/>
        <v>-117.55999999999995</v>
      </c>
      <c r="Y15" s="2"/>
      <c r="Z15" s="22">
        <f t="shared" si="3"/>
        <v>-5.9024657204111014E-2</v>
      </c>
    </row>
    <row r="16" spans="1:26" s="24" customFormat="1" hidden="1" outlineLevel="1" x14ac:dyDescent="0.25">
      <c r="A16" s="50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--13077.89</f>
        <v>13077.89</v>
      </c>
      <c r="E16" s="2"/>
      <c r="F16" s="22"/>
      <c r="G16" s="2"/>
      <c r="H16" s="2">
        <f>--11862.19</f>
        <v>11862.19</v>
      </c>
      <c r="I16" s="2"/>
      <c r="J16" s="22"/>
      <c r="K16" s="2"/>
      <c r="L16" s="2">
        <f t="shared" si="0"/>
        <v>1215.6999999999989</v>
      </c>
      <c r="M16" s="2"/>
      <c r="N16" s="22">
        <f t="shared" si="1"/>
        <v>0.10248529150182208</v>
      </c>
      <c r="O16" s="11"/>
      <c r="P16" s="2">
        <f>--13077.89</f>
        <v>13077.89</v>
      </c>
      <c r="Q16" s="2"/>
      <c r="R16" s="22"/>
      <c r="S16" s="2"/>
      <c r="T16" s="2">
        <f>--11862.19</f>
        <v>11862.19</v>
      </c>
      <c r="U16" s="2"/>
      <c r="V16" s="22"/>
      <c r="W16" s="2"/>
      <c r="X16" s="2">
        <f t="shared" si="2"/>
        <v>1215.6999999999989</v>
      </c>
      <c r="Y16" s="2"/>
      <c r="Z16" s="22">
        <f t="shared" si="3"/>
        <v>0.10248529150182208</v>
      </c>
    </row>
    <row r="17" spans="1:26" s="24" customFormat="1" hidden="1" outlineLevel="1" x14ac:dyDescent="0.25">
      <c r="A17" s="50"/>
      <c r="B17" s="11" t="str">
        <f>CONCATENATE("          ", "4028", " - ", "TAXABLE SALES-ART/TECH")</f>
        <v xml:space="preserve">          4028 - TAXABLE SALES-ART/TECH</v>
      </c>
      <c r="C17" s="11"/>
      <c r="D17" s="2">
        <f>--427.79</f>
        <v>427.79</v>
      </c>
      <c r="E17" s="2"/>
      <c r="F17" s="22"/>
      <c r="G17" s="2"/>
      <c r="H17" s="2">
        <f>--628.83</f>
        <v>628.83000000000004</v>
      </c>
      <c r="I17" s="2"/>
      <c r="J17" s="22"/>
      <c r="K17" s="2"/>
      <c r="L17" s="2">
        <f t="shared" si="0"/>
        <v>-201.04000000000002</v>
      </c>
      <c r="M17" s="2"/>
      <c r="N17" s="22">
        <f t="shared" si="1"/>
        <v>-0.31970484868724458</v>
      </c>
      <c r="O17" s="11"/>
      <c r="P17" s="2">
        <f>--427.79</f>
        <v>427.79</v>
      </c>
      <c r="Q17" s="2"/>
      <c r="R17" s="22"/>
      <c r="S17" s="2"/>
      <c r="T17" s="2">
        <f>--628.83</f>
        <v>628.83000000000004</v>
      </c>
      <c r="U17" s="2"/>
      <c r="V17" s="22"/>
      <c r="W17" s="2"/>
      <c r="X17" s="2">
        <f t="shared" si="2"/>
        <v>-201.04000000000002</v>
      </c>
      <c r="Y17" s="2"/>
      <c r="Z17" s="22">
        <f t="shared" si="3"/>
        <v>-0.31970484868724458</v>
      </c>
    </row>
    <row r="18" spans="1:26" s="24" customFormat="1" hidden="1" outlineLevel="1" x14ac:dyDescent="0.25">
      <c r="A18" s="50"/>
      <c r="B18" s="11" t="str">
        <f>CONCATENATE("          ", "4035", " - ", "TAXABLE SALES-HEALTH &amp; BEAUTY")</f>
        <v xml:space="preserve">          4035 - TAXABLE SALES-HEALTH &amp; BEAUTY</v>
      </c>
      <c r="C18" s="11"/>
      <c r="D18" s="2">
        <f>--2.98</f>
        <v>2.98</v>
      </c>
      <c r="E18" s="2"/>
      <c r="F18" s="22"/>
      <c r="G18" s="2"/>
      <c r="H18" s="2">
        <f>--44.5</f>
        <v>44.5</v>
      </c>
      <c r="I18" s="2"/>
      <c r="J18" s="22"/>
      <c r="K18" s="2"/>
      <c r="L18" s="2">
        <f t="shared" si="0"/>
        <v>-41.52</v>
      </c>
      <c r="M18" s="2"/>
      <c r="N18" s="22">
        <f t="shared" si="1"/>
        <v>-0.93303370786516859</v>
      </c>
      <c r="O18" s="11"/>
      <c r="P18" s="2">
        <f>--2.98</f>
        <v>2.98</v>
      </c>
      <c r="Q18" s="2"/>
      <c r="R18" s="22"/>
      <c r="S18" s="2"/>
      <c r="T18" s="2">
        <f>--44.5</f>
        <v>44.5</v>
      </c>
      <c r="U18" s="2"/>
      <c r="V18" s="22"/>
      <c r="W18" s="2"/>
      <c r="X18" s="2">
        <f t="shared" si="2"/>
        <v>-41.52</v>
      </c>
      <c r="Y18" s="2"/>
      <c r="Z18" s="22">
        <f t="shared" si="3"/>
        <v>-0.93303370786516859</v>
      </c>
    </row>
    <row r="19" spans="1:26" s="24" customFormat="1" hidden="1" outlineLevel="1" x14ac:dyDescent="0.25">
      <c r="A19" s="50"/>
      <c r="B19" s="11" t="str">
        <f>CONCATENATE("          ", "4125", " - ", "NON-TAXABLE SALES-TEST FORMS")</f>
        <v xml:space="preserve">          4125 - NON-TAXABLE SALES-TEST FORMS</v>
      </c>
      <c r="C19" s="11"/>
      <c r="D19" s="2">
        <f>--4.98</f>
        <v>4.9800000000000004</v>
      </c>
      <c r="E19" s="2"/>
      <c r="F19" s="22"/>
      <c r="G19" s="2"/>
      <c r="H19" s="2">
        <f>--6.12</f>
        <v>6.12</v>
      </c>
      <c r="I19" s="2"/>
      <c r="J19" s="22"/>
      <c r="K19" s="2"/>
      <c r="L19" s="2">
        <f t="shared" si="0"/>
        <v>-1.1399999999999997</v>
      </c>
      <c r="M19" s="2"/>
      <c r="N19" s="22">
        <f t="shared" si="1"/>
        <v>-0.18627450980392152</v>
      </c>
      <c r="O19" s="11"/>
      <c r="P19" s="2">
        <f>--4.98</f>
        <v>4.9800000000000004</v>
      </c>
      <c r="Q19" s="2"/>
      <c r="R19" s="22"/>
      <c r="S19" s="2"/>
      <c r="T19" s="2">
        <f>--6.12</f>
        <v>6.12</v>
      </c>
      <c r="U19" s="2"/>
      <c r="V19" s="22"/>
      <c r="W19" s="2"/>
      <c r="X19" s="2">
        <f t="shared" si="2"/>
        <v>-1.1399999999999997</v>
      </c>
      <c r="Y19" s="2"/>
      <c r="Z19" s="22">
        <f t="shared" si="3"/>
        <v>-0.18627450980392152</v>
      </c>
    </row>
    <row r="20" spans="1:26" s="24" customFormat="1" hidden="1" outlineLevel="1" x14ac:dyDescent="0.25">
      <c r="A20" s="50"/>
      <c r="B20" s="11" t="str">
        <f>CONCATENATE("          ", "4126", " - ", "NON-TAXABLE SALES-WRITING INST")</f>
        <v xml:space="preserve">          4126 - NON-TAXABLE SALES-WRITING INST</v>
      </c>
      <c r="C20" s="11"/>
      <c r="D20" s="2">
        <f>--167.03</f>
        <v>167.03</v>
      </c>
      <c r="E20" s="2"/>
      <c r="F20" s="22"/>
      <c r="G20" s="2"/>
      <c r="H20" s="2">
        <f>--264.9</f>
        <v>264.89999999999998</v>
      </c>
      <c r="I20" s="2"/>
      <c r="J20" s="22"/>
      <c r="K20" s="2"/>
      <c r="L20" s="2">
        <f t="shared" si="0"/>
        <v>-97.869999999999976</v>
      </c>
      <c r="M20" s="2"/>
      <c r="N20" s="22">
        <f t="shared" si="1"/>
        <v>-0.36946017365043404</v>
      </c>
      <c r="O20" s="11"/>
      <c r="P20" s="2">
        <f>--167.03</f>
        <v>167.03</v>
      </c>
      <c r="Q20" s="2"/>
      <c r="R20" s="22"/>
      <c r="S20" s="2"/>
      <c r="T20" s="2">
        <f>--264.9</f>
        <v>264.89999999999998</v>
      </c>
      <c r="U20" s="2"/>
      <c r="V20" s="22"/>
      <c r="W20" s="2"/>
      <c r="X20" s="2">
        <f t="shared" si="2"/>
        <v>-97.869999999999976</v>
      </c>
      <c r="Y20" s="2"/>
      <c r="Z20" s="22">
        <f t="shared" si="3"/>
        <v>-0.36946017365043404</v>
      </c>
    </row>
    <row r="21" spans="1:26" s="24" customFormat="1" hidden="1" outlineLevel="1" x14ac:dyDescent="0.25">
      <c r="A21" s="50"/>
      <c r="B21" s="11" t="str">
        <f>CONCATENATE("          ", "4127", " - ", "NON-TAXABLE SALES-SCHOOL SUPPL")</f>
        <v xml:space="preserve">          4127 - NON-TAXABLE SALES-SCHOOL SUPPL</v>
      </c>
      <c r="C21" s="11"/>
      <c r="D21" s="2">
        <f>--177.89</f>
        <v>177.89</v>
      </c>
      <c r="E21" s="2"/>
      <c r="F21" s="22"/>
      <c r="G21" s="2"/>
      <c r="H21" s="2">
        <f>--135.16</f>
        <v>135.16</v>
      </c>
      <c r="I21" s="2"/>
      <c r="J21" s="22"/>
      <c r="K21" s="2"/>
      <c r="L21" s="2">
        <f t="shared" si="0"/>
        <v>42.72999999999999</v>
      </c>
      <c r="M21" s="2"/>
      <c r="N21" s="22">
        <f t="shared" si="1"/>
        <v>0.31614382953536541</v>
      </c>
      <c r="O21" s="11"/>
      <c r="P21" s="2">
        <f>--177.89</f>
        <v>177.89</v>
      </c>
      <c r="Q21" s="2"/>
      <c r="R21" s="22"/>
      <c r="S21" s="2"/>
      <c r="T21" s="2">
        <f>--135.16</f>
        <v>135.16</v>
      </c>
      <c r="U21" s="2"/>
      <c r="V21" s="22"/>
      <c r="W21" s="2"/>
      <c r="X21" s="2">
        <f t="shared" si="2"/>
        <v>42.72999999999999</v>
      </c>
      <c r="Y21" s="2"/>
      <c r="Z21" s="22">
        <f t="shared" si="3"/>
        <v>0.31614382953536541</v>
      </c>
    </row>
    <row r="22" spans="1:26" s="24" customFormat="1" hidden="1" outlineLevel="1" x14ac:dyDescent="0.25">
      <c r="A22" s="50"/>
      <c r="B22" s="11" t="str">
        <f>CONCATENATE("          ", "4128", " - ", "NON-TAXABLE SALES-ART/TECH")</f>
        <v xml:space="preserve">          4128 - NON-TAXABLE SALES-ART/TECH</v>
      </c>
      <c r="C22" s="11"/>
      <c r="D22" s="2">
        <f>--1.49</f>
        <v>1.49</v>
      </c>
      <c r="E22" s="2"/>
      <c r="F22" s="22"/>
      <c r="G22" s="2"/>
      <c r="H22" s="2">
        <f>--30.69</f>
        <v>30.69</v>
      </c>
      <c r="I22" s="2"/>
      <c r="J22" s="22"/>
      <c r="K22" s="2"/>
      <c r="L22" s="2">
        <f t="shared" si="0"/>
        <v>-29.200000000000003</v>
      </c>
      <c r="M22" s="2"/>
      <c r="N22" s="22">
        <f t="shared" si="1"/>
        <v>-0.95144998370804823</v>
      </c>
      <c r="O22" s="11"/>
      <c r="P22" s="2">
        <f>--1.49</f>
        <v>1.49</v>
      </c>
      <c r="Q22" s="2"/>
      <c r="R22" s="22"/>
      <c r="S22" s="2"/>
      <c r="T22" s="2">
        <f>--30.69</f>
        <v>30.69</v>
      </c>
      <c r="U22" s="2"/>
      <c r="V22" s="22"/>
      <c r="W22" s="2"/>
      <c r="X22" s="2">
        <f t="shared" si="2"/>
        <v>-29.200000000000003</v>
      </c>
      <c r="Y22" s="2"/>
      <c r="Z22" s="22">
        <f t="shared" si="3"/>
        <v>-0.95144998370804823</v>
      </c>
    </row>
    <row r="23" spans="1:26" s="24" customFormat="1" hidden="1" outlineLevel="1" x14ac:dyDescent="0.25">
      <c r="A23" s="50"/>
      <c r="B23" s="11" t="str">
        <f>CONCATENATE("          ", "4131", " - ", "NON-TAXABLE SALES-FOOD")</f>
        <v xml:space="preserve">          4131 - NON-TAXABLE SALES-FOOD</v>
      </c>
      <c r="C23" s="11"/>
      <c r="D23" s="2">
        <f>--127.42</f>
        <v>127.42</v>
      </c>
      <c r="E23" s="2"/>
      <c r="F23" s="22"/>
      <c r="G23" s="2"/>
      <c r="H23" s="2">
        <f>--124.74</f>
        <v>124.74</v>
      </c>
      <c r="I23" s="2"/>
      <c r="J23" s="22"/>
      <c r="K23" s="2"/>
      <c r="L23" s="2">
        <f t="shared" si="0"/>
        <v>2.6800000000000068</v>
      </c>
      <c r="M23" s="2"/>
      <c r="N23" s="22">
        <f t="shared" si="1"/>
        <v>2.1484688151354875E-2</v>
      </c>
      <c r="O23" s="11"/>
      <c r="P23" s="2">
        <f>--127.42</f>
        <v>127.42</v>
      </c>
      <c r="Q23" s="2"/>
      <c r="R23" s="22"/>
      <c r="S23" s="2"/>
      <c r="T23" s="2">
        <f>--124.74</f>
        <v>124.74</v>
      </c>
      <c r="U23" s="2"/>
      <c r="V23" s="22"/>
      <c r="W23" s="2"/>
      <c r="X23" s="2">
        <f t="shared" si="2"/>
        <v>2.6800000000000068</v>
      </c>
      <c r="Y23" s="2"/>
      <c r="Z23" s="22">
        <f t="shared" si="3"/>
        <v>2.1484688151354875E-2</v>
      </c>
    </row>
    <row r="24" spans="1:26" s="24" customFormat="1" hidden="1" outlineLevel="1" x14ac:dyDescent="0.25">
      <c r="A24" s="50"/>
      <c r="B24" s="11" t="str">
        <f>CONCATENATE("          ", "4133", " - ", "NON-TAXABLE SALES-CANDY")</f>
        <v xml:space="preserve">          4133 - NON-TAXABLE SALES-CANDY</v>
      </c>
      <c r="C24" s="11"/>
      <c r="D24" s="2">
        <f>--288.85</f>
        <v>288.85000000000002</v>
      </c>
      <c r="E24" s="2"/>
      <c r="F24" s="22"/>
      <c r="G24" s="2"/>
      <c r="H24" s="2">
        <f>--294.37</f>
        <v>294.37</v>
      </c>
      <c r="I24" s="2"/>
      <c r="J24" s="22"/>
      <c r="K24" s="2"/>
      <c r="L24" s="2">
        <f t="shared" si="0"/>
        <v>-5.5199999999999818</v>
      </c>
      <c r="M24" s="2"/>
      <c r="N24" s="22">
        <f t="shared" si="1"/>
        <v>-1.8751910860481644E-2</v>
      </c>
      <c r="O24" s="11"/>
      <c r="P24" s="2">
        <f>--288.85</f>
        <v>288.85000000000002</v>
      </c>
      <c r="Q24" s="2"/>
      <c r="R24" s="22"/>
      <c r="S24" s="2"/>
      <c r="T24" s="2">
        <f>--294.37</f>
        <v>294.37</v>
      </c>
      <c r="U24" s="2"/>
      <c r="V24" s="22"/>
      <c r="W24" s="2"/>
      <c r="X24" s="2">
        <f t="shared" si="2"/>
        <v>-5.5199999999999818</v>
      </c>
      <c r="Y24" s="2"/>
      <c r="Z24" s="22">
        <f t="shared" si="3"/>
        <v>-1.8751910860481644E-2</v>
      </c>
    </row>
    <row r="25" spans="1:26" s="24" customFormat="1" hidden="1" outlineLevel="1" x14ac:dyDescent="0.25">
      <c r="A25" s="50"/>
      <c r="B25" s="11" t="str">
        <f>CONCATENATE("          ", "4135", " - ", "NON-TAXABLE SALES")</f>
        <v xml:space="preserve">          4135 - NON-TAXABLE SALES</v>
      </c>
      <c r="C25" s="11"/>
      <c r="D25" s="2">
        <f>--21.54</f>
        <v>21.54</v>
      </c>
      <c r="E25" s="2"/>
      <c r="F25" s="22"/>
      <c r="G25" s="2"/>
      <c r="H25" s="2">
        <f>--7.18</f>
        <v>7.18</v>
      </c>
      <c r="I25" s="2"/>
      <c r="J25" s="22"/>
      <c r="K25" s="2"/>
      <c r="L25" s="2">
        <f t="shared" si="0"/>
        <v>14.36</v>
      </c>
      <c r="M25" s="2"/>
      <c r="N25" s="22">
        <f t="shared" si="1"/>
        <v>2</v>
      </c>
      <c r="O25" s="11"/>
      <c r="P25" s="2">
        <f>--21.54</f>
        <v>21.54</v>
      </c>
      <c r="Q25" s="2"/>
      <c r="R25" s="22"/>
      <c r="S25" s="2"/>
      <c r="T25" s="2">
        <f>--7.18</f>
        <v>7.18</v>
      </c>
      <c r="U25" s="2"/>
      <c r="V25" s="22"/>
      <c r="W25" s="2"/>
      <c r="X25" s="2">
        <f t="shared" si="2"/>
        <v>14.36</v>
      </c>
      <c r="Y25" s="2"/>
      <c r="Z25" s="22">
        <f t="shared" si="3"/>
        <v>2</v>
      </c>
    </row>
    <row r="26" spans="1:26" s="24" customFormat="1" hidden="1" outlineLevel="1" x14ac:dyDescent="0.25">
      <c r="A26" s="50"/>
      <c r="B26" s="11" t="str">
        <f>CONCATENATE("          ", "4225", " - ", "SALES RETURN TAXABLE-TEST FORM")</f>
        <v xml:space="preserve">          4225 - SALES RETURN TAXABLE-TEST FORM</v>
      </c>
      <c r="C26" s="11"/>
      <c r="D26" s="2">
        <f>-4.08</f>
        <v>-4.08</v>
      </c>
      <c r="E26" s="2"/>
      <c r="F26" s="22"/>
      <c r="G26" s="2"/>
      <c r="H26" s="2">
        <f>-6.78</f>
        <v>-6.78</v>
      </c>
      <c r="I26" s="2"/>
      <c r="J26" s="22"/>
      <c r="K26" s="2"/>
      <c r="L26" s="2">
        <f t="shared" si="0"/>
        <v>2.7</v>
      </c>
      <c r="M26" s="2"/>
      <c r="N26" s="22">
        <f t="shared" si="1"/>
        <v>-0.39823008849557523</v>
      </c>
      <c r="O26" s="11"/>
      <c r="P26" s="2">
        <f>-4.08</f>
        <v>-4.08</v>
      </c>
      <c r="Q26" s="2"/>
      <c r="R26" s="22"/>
      <c r="S26" s="2"/>
      <c r="T26" s="2">
        <f>-6.78</f>
        <v>-6.78</v>
      </c>
      <c r="U26" s="2"/>
      <c r="V26" s="22"/>
      <c r="W26" s="2"/>
      <c r="X26" s="2">
        <f t="shared" si="2"/>
        <v>2.7</v>
      </c>
      <c r="Y26" s="2"/>
      <c r="Z26" s="22">
        <f t="shared" si="3"/>
        <v>-0.39823008849557523</v>
      </c>
    </row>
    <row r="27" spans="1:26" s="24" customFormat="1" hidden="1" outlineLevel="1" x14ac:dyDescent="0.25">
      <c r="A27" s="50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>-63.93</f>
        <v>-63.93</v>
      </c>
      <c r="E27" s="2"/>
      <c r="F27" s="22"/>
      <c r="G27" s="2"/>
      <c r="H27" s="2">
        <f>-11.17</f>
        <v>-11.17</v>
      </c>
      <c r="I27" s="2"/>
      <c r="J27" s="22"/>
      <c r="K27" s="2"/>
      <c r="L27" s="2">
        <f t="shared" si="0"/>
        <v>-52.76</v>
      </c>
      <c r="M27" s="2"/>
      <c r="N27" s="22">
        <f t="shared" si="1"/>
        <v>4.7233661593554164</v>
      </c>
      <c r="O27" s="11"/>
      <c r="P27" s="2">
        <f>-63.93</f>
        <v>-63.93</v>
      </c>
      <c r="Q27" s="2"/>
      <c r="R27" s="22"/>
      <c r="S27" s="2"/>
      <c r="T27" s="2">
        <f>-11.17</f>
        <v>-11.17</v>
      </c>
      <c r="U27" s="2"/>
      <c r="V27" s="22"/>
      <c r="W27" s="2"/>
      <c r="X27" s="2">
        <f t="shared" si="2"/>
        <v>-52.76</v>
      </c>
      <c r="Y27" s="2"/>
      <c r="Z27" s="22">
        <f t="shared" si="3"/>
        <v>4.7233661593554164</v>
      </c>
    </row>
    <row r="28" spans="1:26" s="24" customFormat="1" hidden="1" outlineLevel="1" x14ac:dyDescent="0.25">
      <c r="A28" s="50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>-156.47</f>
        <v>-156.47</v>
      </c>
      <c r="E28" s="2"/>
      <c r="F28" s="22"/>
      <c r="G28" s="2"/>
      <c r="H28" s="2">
        <f>-121.97</f>
        <v>-121.97</v>
      </c>
      <c r="I28" s="2"/>
      <c r="J28" s="22"/>
      <c r="K28" s="2"/>
      <c r="L28" s="2">
        <f t="shared" si="0"/>
        <v>-34.5</v>
      </c>
      <c r="M28" s="2"/>
      <c r="N28" s="22">
        <f t="shared" si="1"/>
        <v>0.28285644010822336</v>
      </c>
      <c r="O28" s="11"/>
      <c r="P28" s="2">
        <f>-156.47</f>
        <v>-156.47</v>
      </c>
      <c r="Q28" s="2"/>
      <c r="R28" s="22"/>
      <c r="S28" s="2"/>
      <c r="T28" s="2">
        <f>-121.97</f>
        <v>-121.97</v>
      </c>
      <c r="U28" s="2"/>
      <c r="V28" s="22"/>
      <c r="W28" s="2"/>
      <c r="X28" s="2">
        <f t="shared" si="2"/>
        <v>-34.5</v>
      </c>
      <c r="Y28" s="2"/>
      <c r="Z28" s="22">
        <f t="shared" si="3"/>
        <v>0.28285644010822336</v>
      </c>
    </row>
    <row r="29" spans="1:26" s="24" customFormat="1" hidden="1" outlineLevel="1" x14ac:dyDescent="0.25">
      <c r="A29" s="50"/>
      <c r="B29" s="11" t="str">
        <f>CONCATENATE("          ", "4326", " - ", "SALES RETURN NON TAXABLE-WRITI")</f>
        <v xml:space="preserve">          4326 - SALES RETURN NON TAXABLE-WRITI</v>
      </c>
      <c r="C29" s="11"/>
      <c r="D29" s="2">
        <f>0</f>
        <v>0</v>
      </c>
      <c r="E29" s="2"/>
      <c r="F29" s="22"/>
      <c r="G29" s="2"/>
      <c r="H29" s="2">
        <f>-2.29</f>
        <v>-2.29</v>
      </c>
      <c r="I29" s="2"/>
      <c r="J29" s="22"/>
      <c r="K29" s="2"/>
      <c r="L29" s="2">
        <f t="shared" si="0"/>
        <v>2.29</v>
      </c>
      <c r="M29" s="2"/>
      <c r="N29" s="22">
        <f t="shared" si="1"/>
        <v>-1</v>
      </c>
      <c r="O29" s="11"/>
      <c r="P29" s="2">
        <f>0</f>
        <v>0</v>
      </c>
      <c r="Q29" s="2"/>
      <c r="R29" s="22"/>
      <c r="S29" s="2"/>
      <c r="T29" s="2">
        <f>-2.29</f>
        <v>-2.29</v>
      </c>
      <c r="U29" s="2"/>
      <c r="V29" s="22"/>
      <c r="W29" s="2"/>
      <c r="X29" s="2">
        <f t="shared" si="2"/>
        <v>2.29</v>
      </c>
      <c r="Y29" s="2"/>
      <c r="Z29" s="22">
        <f t="shared" si="3"/>
        <v>-1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6" t="s">
        <v>8</v>
      </c>
      <c r="C31" s="10"/>
      <c r="D31" s="4">
        <f>SUM(OSRRefD16x_0)</f>
        <v>8148.6999999999925</v>
      </c>
      <c r="E31" s="4"/>
      <c r="F31" s="12">
        <f t="shared" ref="F31:F43" si="4">IF(D$12=0,0,D31/D$12)</f>
        <v>0.49861039893971748</v>
      </c>
      <c r="G31" s="4"/>
      <c r="H31" s="4">
        <f>SUM(OSRRefH16x_0)</f>
        <v>8124.780000000007</v>
      </c>
      <c r="I31" s="4"/>
      <c r="J31" s="12">
        <f t="shared" ref="J31:J43" si="5">IF(H$12=0,0,H31/H$12)</f>
        <v>0.50367897081806545</v>
      </c>
      <c r="K31" s="4"/>
      <c r="L31" s="4">
        <f t="shared" ref="L31:L43" si="6">+D31-H31</f>
        <v>23.919999999985521</v>
      </c>
      <c r="M31" s="4"/>
      <c r="N31" s="12">
        <f t="shared" ref="N31:N43" si="7">IF(H31=0,0,L31/H31)</f>
        <v>2.9440797166182344E-3</v>
      </c>
      <c r="O31" s="10"/>
      <c r="P31" s="4">
        <f>SUM(OSRRefP16x_0)</f>
        <v>8148.6999999999925</v>
      </c>
      <c r="Q31" s="4"/>
      <c r="R31" s="12">
        <f t="shared" ref="R31:R43" si="8">IF(P$12=0,0,P31/P$12)</f>
        <v>0.49861039893971748</v>
      </c>
      <c r="S31" s="4"/>
      <c r="T31" s="4">
        <f>SUM(OSRRefT16x_0)</f>
        <v>8124.780000000007</v>
      </c>
      <c r="U31" s="4"/>
      <c r="V31" s="12">
        <f t="shared" ref="V31:V43" si="9">IF(T$12=0,0,T31/T$12)</f>
        <v>0.50367897081806545</v>
      </c>
      <c r="W31" s="4"/>
      <c r="X31" s="4">
        <f t="shared" ref="X31:X43" si="10">+P31-T31</f>
        <v>23.919999999985521</v>
      </c>
      <c r="Y31" s="4"/>
      <c r="Z31" s="12">
        <f t="shared" ref="Z31:Z43" si="11">IF(T31=0,0,X31/T31)</f>
        <v>2.9440797166182344E-3</v>
      </c>
    </row>
    <row r="32" spans="1:26" s="24" customFormat="1" hidden="1" outlineLevel="1" x14ac:dyDescent="0.25">
      <c r="A32" s="50"/>
      <c r="B32" s="11" t="str">
        <f>CONCATENATE("          ", "5025", " - ", "PURCHASES @ COST-TEST FORMS")</f>
        <v xml:space="preserve">          5025 - PURCHASES @ COST-TEST FORMS</v>
      </c>
      <c r="C32" s="11"/>
      <c r="D32" s="2">
        <v>879.12</v>
      </c>
      <c r="E32" s="2"/>
      <c r="F32" s="22">
        <f t="shared" si="4"/>
        <v>5.379242994783031E-2</v>
      </c>
      <c r="G32" s="2"/>
      <c r="H32" s="2">
        <v>1035</v>
      </c>
      <c r="I32" s="2"/>
      <c r="J32" s="22">
        <f t="shared" si="5"/>
        <v>6.4162689303180795E-2</v>
      </c>
      <c r="K32" s="2"/>
      <c r="L32" s="2">
        <f t="shared" si="6"/>
        <v>-155.88</v>
      </c>
      <c r="M32" s="2"/>
      <c r="N32" s="22">
        <f t="shared" si="7"/>
        <v>-0.15060869565217391</v>
      </c>
      <c r="O32" s="11"/>
      <c r="P32" s="2">
        <v>879.12</v>
      </c>
      <c r="Q32" s="2"/>
      <c r="R32" s="22">
        <f t="shared" si="8"/>
        <v>5.379242994783031E-2</v>
      </c>
      <c r="S32" s="2"/>
      <c r="T32" s="2">
        <v>1035</v>
      </c>
      <c r="U32" s="2"/>
      <c r="V32" s="22">
        <f t="shared" si="9"/>
        <v>6.4162689303180795E-2</v>
      </c>
      <c r="W32" s="2"/>
      <c r="X32" s="2">
        <f t="shared" si="10"/>
        <v>-155.88</v>
      </c>
      <c r="Y32" s="2"/>
      <c r="Z32" s="22">
        <f t="shared" si="11"/>
        <v>-0.15060869565217391</v>
      </c>
    </row>
    <row r="33" spans="1:26" s="24" customFormat="1" hidden="1" outlineLevel="1" x14ac:dyDescent="0.25">
      <c r="A33" s="50"/>
      <c r="B33" s="11" t="str">
        <f>CONCATENATE("          ", "5026", " - ", "PURCHASES @ COST-WRITING INSTR")</f>
        <v xml:space="preserve">          5026 - PURCHASES @ COST-WRITING INSTR</v>
      </c>
      <c r="C33" s="11"/>
      <c r="D33" s="2">
        <v>9530.23</v>
      </c>
      <c r="E33" s="2"/>
      <c r="F33" s="22">
        <f t="shared" si="4"/>
        <v>0.5831447693849654</v>
      </c>
      <c r="G33" s="2"/>
      <c r="H33" s="2">
        <v>20645.990000000002</v>
      </c>
      <c r="I33" s="2"/>
      <c r="J33" s="22">
        <f t="shared" si="5"/>
        <v>1.2799055475619108</v>
      </c>
      <c r="K33" s="2"/>
      <c r="L33" s="2">
        <f t="shared" si="6"/>
        <v>-11115.760000000002</v>
      </c>
      <c r="M33" s="2"/>
      <c r="N33" s="22">
        <f t="shared" si="7"/>
        <v>-0.53839801336724469</v>
      </c>
      <c r="O33" s="11"/>
      <c r="P33" s="2">
        <v>9530.23</v>
      </c>
      <c r="Q33" s="2"/>
      <c r="R33" s="22">
        <f t="shared" si="8"/>
        <v>0.5831447693849654</v>
      </c>
      <c r="S33" s="2"/>
      <c r="T33" s="2">
        <v>20645.990000000002</v>
      </c>
      <c r="U33" s="2"/>
      <c r="V33" s="22">
        <f t="shared" si="9"/>
        <v>1.2799055475619108</v>
      </c>
      <c r="W33" s="2"/>
      <c r="X33" s="2">
        <f t="shared" si="10"/>
        <v>-11115.760000000002</v>
      </c>
      <c r="Y33" s="2"/>
      <c r="Z33" s="22">
        <f t="shared" si="11"/>
        <v>-0.53839801336724469</v>
      </c>
    </row>
    <row r="34" spans="1:26" s="24" customFormat="1" hidden="1" outlineLevel="1" x14ac:dyDescent="0.25">
      <c r="A34" s="50"/>
      <c r="B34" s="11" t="str">
        <f>CONCATENATE("          ", "5027", " - ", "PURCHASES @ COST-SCHOOL SUPPLI")</f>
        <v xml:space="preserve">          5027 - PURCHASES @ COST-SCHOOL SUPPLI</v>
      </c>
      <c r="C34" s="11"/>
      <c r="D34" s="2">
        <v>49256.659999999996</v>
      </c>
      <c r="E34" s="2"/>
      <c r="F34" s="22">
        <f t="shared" si="4"/>
        <v>3.0139633184481016</v>
      </c>
      <c r="G34" s="2"/>
      <c r="H34" s="2">
        <v>54125.75</v>
      </c>
      <c r="I34" s="2"/>
      <c r="J34" s="22">
        <f t="shared" si="5"/>
        <v>3.3554141841078624</v>
      </c>
      <c r="K34" s="2"/>
      <c r="L34" s="2">
        <f t="shared" si="6"/>
        <v>-4869.0900000000038</v>
      </c>
      <c r="M34" s="2"/>
      <c r="N34" s="22">
        <f t="shared" si="7"/>
        <v>-8.9958845835854534E-2</v>
      </c>
      <c r="O34" s="11"/>
      <c r="P34" s="2">
        <v>49256.659999999996</v>
      </c>
      <c r="Q34" s="2"/>
      <c r="R34" s="22">
        <f t="shared" si="8"/>
        <v>3.0139633184481016</v>
      </c>
      <c r="S34" s="2"/>
      <c r="T34" s="2">
        <v>54125.75</v>
      </c>
      <c r="U34" s="2"/>
      <c r="V34" s="22">
        <f t="shared" si="9"/>
        <v>3.3554141841078624</v>
      </c>
      <c r="W34" s="2"/>
      <c r="X34" s="2">
        <f t="shared" si="10"/>
        <v>-4869.0900000000038</v>
      </c>
      <c r="Y34" s="2"/>
      <c r="Z34" s="22">
        <f t="shared" si="11"/>
        <v>-8.9958845835854534E-2</v>
      </c>
    </row>
    <row r="35" spans="1:26" s="24" customFormat="1" hidden="1" outlineLevel="1" x14ac:dyDescent="0.25">
      <c r="A35" s="50"/>
      <c r="B35" s="11" t="str">
        <f>CONCATENATE("          ", "5028", " - ", "PURCHASES @ COST-ART/TECH")</f>
        <v xml:space="preserve">          5028 - PURCHASES @ COST-ART/TECH</v>
      </c>
      <c r="C35" s="11"/>
      <c r="D35" s="2">
        <v>2144.56</v>
      </c>
      <c r="E35" s="2"/>
      <c r="F35" s="22">
        <f t="shared" si="4"/>
        <v>0.13122337515802049</v>
      </c>
      <c r="G35" s="2"/>
      <c r="H35" s="2">
        <v>1869.54</v>
      </c>
      <c r="I35" s="2"/>
      <c r="J35" s="22">
        <f t="shared" si="5"/>
        <v>0.1158982745505977</v>
      </c>
      <c r="K35" s="2"/>
      <c r="L35" s="2">
        <f t="shared" si="6"/>
        <v>275.02</v>
      </c>
      <c r="M35" s="2"/>
      <c r="N35" s="22">
        <f t="shared" si="7"/>
        <v>0.14710570514672058</v>
      </c>
      <c r="O35" s="11"/>
      <c r="P35" s="2">
        <v>2144.56</v>
      </c>
      <c r="Q35" s="2"/>
      <c r="R35" s="22">
        <f t="shared" si="8"/>
        <v>0.13122337515802049</v>
      </c>
      <c r="S35" s="2"/>
      <c r="T35" s="2">
        <v>1869.54</v>
      </c>
      <c r="U35" s="2"/>
      <c r="V35" s="22">
        <f t="shared" si="9"/>
        <v>0.1158982745505977</v>
      </c>
      <c r="W35" s="2"/>
      <c r="X35" s="2">
        <f t="shared" si="10"/>
        <v>275.02</v>
      </c>
      <c r="Y35" s="2"/>
      <c r="Z35" s="22">
        <f t="shared" si="11"/>
        <v>0.14710570514672058</v>
      </c>
    </row>
    <row r="36" spans="1:26" s="24" customFormat="1" hidden="1" outlineLevel="1" x14ac:dyDescent="0.25">
      <c r="A36" s="50"/>
      <c r="B36" s="11" t="str">
        <f>CONCATENATE("          ", "5031", " - ", "PURCHASES @ COST-FOOD")</f>
        <v xml:space="preserve">          5031 - PURCHASES @ COST-FOOD</v>
      </c>
      <c r="C36" s="11"/>
      <c r="D36" s="2"/>
      <c r="E36" s="2"/>
      <c r="F36" s="22">
        <f t="shared" si="4"/>
        <v>0</v>
      </c>
      <c r="G36" s="2"/>
      <c r="H36" s="2">
        <v>89.16</v>
      </c>
      <c r="I36" s="2"/>
      <c r="J36" s="22">
        <f t="shared" si="5"/>
        <v>5.5272902205522698E-3</v>
      </c>
      <c r="K36" s="2"/>
      <c r="L36" s="2">
        <f t="shared" si="6"/>
        <v>-89.16</v>
      </c>
      <c r="M36" s="2"/>
      <c r="N36" s="22">
        <f t="shared" si="7"/>
        <v>-1</v>
      </c>
      <c r="O36" s="11"/>
      <c r="P36" s="2"/>
      <c r="Q36" s="2"/>
      <c r="R36" s="22">
        <f t="shared" si="8"/>
        <v>0</v>
      </c>
      <c r="S36" s="2"/>
      <c r="T36" s="2">
        <v>89.16</v>
      </c>
      <c r="U36" s="2"/>
      <c r="V36" s="22">
        <f t="shared" si="9"/>
        <v>5.5272902205522698E-3</v>
      </c>
      <c r="W36" s="2"/>
      <c r="X36" s="2">
        <f t="shared" si="10"/>
        <v>-89.16</v>
      </c>
      <c r="Y36" s="2"/>
      <c r="Z36" s="22">
        <f t="shared" si="11"/>
        <v>-1</v>
      </c>
    </row>
    <row r="37" spans="1:26" s="24" customFormat="1" hidden="1" outlineLevel="1" x14ac:dyDescent="0.25">
      <c r="A37" s="50"/>
      <c r="B37" s="11" t="str">
        <f>CONCATENATE("          ", "5033", " - ", "PURCHASES @ COST-CANDY")</f>
        <v xml:space="preserve">          5033 - PURCHASES @ COST-CANDY</v>
      </c>
      <c r="C37" s="11"/>
      <c r="D37" s="2"/>
      <c r="E37" s="2"/>
      <c r="F37" s="22">
        <f t="shared" si="4"/>
        <v>0</v>
      </c>
      <c r="G37" s="2"/>
      <c r="H37" s="2">
        <v>162.99</v>
      </c>
      <c r="I37" s="2"/>
      <c r="J37" s="22">
        <f t="shared" si="5"/>
        <v>1.0104228724179168E-2</v>
      </c>
      <c r="K37" s="2"/>
      <c r="L37" s="2">
        <f t="shared" si="6"/>
        <v>-162.99</v>
      </c>
      <c r="M37" s="2"/>
      <c r="N37" s="22">
        <f t="shared" si="7"/>
        <v>-1</v>
      </c>
      <c r="O37" s="11"/>
      <c r="P37" s="2"/>
      <c r="Q37" s="2"/>
      <c r="R37" s="22">
        <f t="shared" si="8"/>
        <v>0</v>
      </c>
      <c r="S37" s="2"/>
      <c r="T37" s="2">
        <v>162.99</v>
      </c>
      <c r="U37" s="2"/>
      <c r="V37" s="22">
        <f t="shared" si="9"/>
        <v>1.0104228724179168E-2</v>
      </c>
      <c r="W37" s="2"/>
      <c r="X37" s="2">
        <f t="shared" si="10"/>
        <v>-162.99</v>
      </c>
      <c r="Y37" s="2"/>
      <c r="Z37" s="22">
        <f t="shared" si="11"/>
        <v>-1</v>
      </c>
    </row>
    <row r="38" spans="1:26" s="24" customFormat="1" hidden="1" outlineLevel="1" x14ac:dyDescent="0.25">
      <c r="A38" s="50"/>
      <c r="B38" s="11" t="str">
        <f>CONCATENATE("          ", "5200", " - ", "PURCHASES OFFSET")</f>
        <v xml:space="preserve">          5200 - PURCHASES OFFSET</v>
      </c>
      <c r="C38" s="11"/>
      <c r="D38" s="2">
        <v>-62144</v>
      </c>
      <c r="E38" s="2"/>
      <c r="F38" s="22">
        <f t="shared" si="4"/>
        <v>-3.8025261246223119</v>
      </c>
      <c r="G38" s="2"/>
      <c r="H38" s="2">
        <v>-78155</v>
      </c>
      <c r="I38" s="2"/>
      <c r="J38" s="22">
        <f t="shared" si="5"/>
        <v>-4.8450579540967098</v>
      </c>
      <c r="K38" s="2"/>
      <c r="L38" s="2">
        <f t="shared" si="6"/>
        <v>16011</v>
      </c>
      <c r="M38" s="2"/>
      <c r="N38" s="22">
        <f t="shared" si="7"/>
        <v>-0.20486213294095068</v>
      </c>
      <c r="O38" s="11"/>
      <c r="P38" s="2">
        <v>-62144</v>
      </c>
      <c r="Q38" s="2"/>
      <c r="R38" s="22">
        <f t="shared" si="8"/>
        <v>-3.8025261246223119</v>
      </c>
      <c r="S38" s="2"/>
      <c r="T38" s="2">
        <v>-78155</v>
      </c>
      <c r="U38" s="2"/>
      <c r="V38" s="22">
        <f t="shared" si="9"/>
        <v>-4.8450579540967098</v>
      </c>
      <c r="W38" s="2"/>
      <c r="X38" s="2">
        <f t="shared" si="10"/>
        <v>16011</v>
      </c>
      <c r="Y38" s="2"/>
      <c r="Z38" s="22">
        <f t="shared" si="11"/>
        <v>-0.20486213294095068</v>
      </c>
    </row>
    <row r="39" spans="1:26" s="24" customFormat="1" hidden="1" outlineLevel="1" x14ac:dyDescent="0.25">
      <c r="A39" s="50"/>
      <c r="B39" s="11" t="str">
        <f>CONCATENATE("          ", "5300", " - ", "COG$ OFFSET")</f>
        <v xml:space="preserve">          5300 - COG$ OFFSET</v>
      </c>
      <c r="C39" s="11"/>
      <c r="D39" s="2">
        <v>8100</v>
      </c>
      <c r="E39" s="2"/>
      <c r="F39" s="22">
        <f t="shared" si="4"/>
        <v>0.49563049706231854</v>
      </c>
      <c r="G39" s="2"/>
      <c r="H39" s="2">
        <v>8125</v>
      </c>
      <c r="I39" s="2"/>
      <c r="J39" s="22">
        <f t="shared" si="5"/>
        <v>0.50369260926410042</v>
      </c>
      <c r="K39" s="2"/>
      <c r="L39" s="2">
        <f t="shared" si="6"/>
        <v>-25</v>
      </c>
      <c r="M39" s="2"/>
      <c r="N39" s="22">
        <f t="shared" si="7"/>
        <v>-3.0769230769230769E-3</v>
      </c>
      <c r="O39" s="11"/>
      <c r="P39" s="2">
        <v>8100</v>
      </c>
      <c r="Q39" s="2"/>
      <c r="R39" s="22">
        <f t="shared" si="8"/>
        <v>0.49563049706231854</v>
      </c>
      <c r="S39" s="2"/>
      <c r="T39" s="2">
        <v>8125</v>
      </c>
      <c r="U39" s="2"/>
      <c r="V39" s="22">
        <f t="shared" si="9"/>
        <v>0.50369260926410042</v>
      </c>
      <c r="W39" s="2"/>
      <c r="X39" s="2">
        <f t="shared" si="10"/>
        <v>-25</v>
      </c>
      <c r="Y39" s="2"/>
      <c r="Z39" s="22">
        <f t="shared" si="11"/>
        <v>-3.0769230769230769E-3</v>
      </c>
    </row>
    <row r="40" spans="1:26" s="24" customFormat="1" hidden="1" outlineLevel="1" x14ac:dyDescent="0.25">
      <c r="A40" s="50"/>
      <c r="B40" s="11" t="str">
        <f>CONCATENATE("          ", "5500", " - ", "FREIGHT-IN")</f>
        <v xml:space="preserve">          5500 - FREIGHT-IN</v>
      </c>
      <c r="C40" s="11"/>
      <c r="D40" s="2">
        <v>49</v>
      </c>
      <c r="E40" s="2"/>
      <c r="F40" s="22">
        <f t="shared" si="4"/>
        <v>2.9982585624757541E-3</v>
      </c>
      <c r="G40" s="2"/>
      <c r="H40" s="2"/>
      <c r="I40" s="2"/>
      <c r="J40" s="22">
        <f t="shared" si="5"/>
        <v>0</v>
      </c>
      <c r="K40" s="2"/>
      <c r="L40" s="2">
        <f t="shared" si="6"/>
        <v>49</v>
      </c>
      <c r="M40" s="2"/>
      <c r="N40" s="22">
        <f t="shared" si="7"/>
        <v>0</v>
      </c>
      <c r="O40" s="11"/>
      <c r="P40" s="2">
        <v>49</v>
      </c>
      <c r="Q40" s="2"/>
      <c r="R40" s="22">
        <f t="shared" si="8"/>
        <v>2.9982585624757541E-3</v>
      </c>
      <c r="S40" s="2"/>
      <c r="T40" s="2"/>
      <c r="U40" s="2"/>
      <c r="V40" s="22">
        <f t="shared" si="9"/>
        <v>0</v>
      </c>
      <c r="W40" s="2"/>
      <c r="X40" s="2">
        <f t="shared" si="10"/>
        <v>49</v>
      </c>
      <c r="Y40" s="2"/>
      <c r="Z40" s="22">
        <f t="shared" si="11"/>
        <v>0</v>
      </c>
    </row>
    <row r="41" spans="1:26" s="24" customFormat="1" hidden="1" outlineLevel="1" x14ac:dyDescent="0.25">
      <c r="A41" s="50"/>
      <c r="B41" s="11" t="str">
        <f>CONCATENATE("          ", "5526", " - ", "FREIGHT-IN-WRITING INSTRUMENTS")</f>
        <v xml:space="preserve">          5526 - FREIGHT-IN-WRITING INSTRUMENTS</v>
      </c>
      <c r="C41" s="11"/>
      <c r="D41" s="2">
        <v>39.11</v>
      </c>
      <c r="E41" s="2"/>
      <c r="F41" s="22">
        <f t="shared" si="4"/>
        <v>2.3930998444576888E-3</v>
      </c>
      <c r="G41" s="2"/>
      <c r="H41" s="2">
        <v>34.159999999999997</v>
      </c>
      <c r="I41" s="2"/>
      <c r="J41" s="22">
        <f t="shared" si="5"/>
        <v>2.1176787116875899E-3</v>
      </c>
      <c r="K41" s="2"/>
      <c r="L41" s="2">
        <f t="shared" si="6"/>
        <v>4.9500000000000028</v>
      </c>
      <c r="M41" s="2"/>
      <c r="N41" s="22">
        <f t="shared" si="7"/>
        <v>0.14490632318501181</v>
      </c>
      <c r="O41" s="11"/>
      <c r="P41" s="2">
        <v>39.11</v>
      </c>
      <c r="Q41" s="2"/>
      <c r="R41" s="22">
        <f t="shared" si="8"/>
        <v>2.3930998444576888E-3</v>
      </c>
      <c r="S41" s="2"/>
      <c r="T41" s="2">
        <v>34.159999999999997</v>
      </c>
      <c r="U41" s="2"/>
      <c r="V41" s="22">
        <f t="shared" si="9"/>
        <v>2.1176787116875899E-3</v>
      </c>
      <c r="W41" s="2"/>
      <c r="X41" s="2">
        <f t="shared" si="10"/>
        <v>4.9500000000000028</v>
      </c>
      <c r="Y41" s="2"/>
      <c r="Z41" s="22">
        <f t="shared" si="11"/>
        <v>0.14490632318501181</v>
      </c>
    </row>
    <row r="42" spans="1:26" s="24" customFormat="1" hidden="1" outlineLevel="1" x14ac:dyDescent="0.25">
      <c r="A42" s="50"/>
      <c r="B42" s="11" t="str">
        <f>CONCATENATE("          ", "5527", " - ", "FREIGHT-IN-SCHOOL SUPPLIES")</f>
        <v xml:space="preserve">          5527 - FREIGHT-IN-SCHOOL SUPPLIES</v>
      </c>
      <c r="C42" s="11"/>
      <c r="D42" s="2">
        <v>250.02</v>
      </c>
      <c r="E42" s="2"/>
      <c r="F42" s="22">
        <f t="shared" si="4"/>
        <v>1.52984613426569E-2</v>
      </c>
      <c r="G42" s="2"/>
      <c r="H42" s="2">
        <v>192.19</v>
      </c>
      <c r="I42" s="2"/>
      <c r="J42" s="22">
        <f t="shared" si="5"/>
        <v>1.1914422470703687E-2</v>
      </c>
      <c r="K42" s="2"/>
      <c r="L42" s="2">
        <f t="shared" si="6"/>
        <v>57.830000000000013</v>
      </c>
      <c r="M42" s="2"/>
      <c r="N42" s="22">
        <f t="shared" si="7"/>
        <v>0.30090015089234617</v>
      </c>
      <c r="O42" s="11"/>
      <c r="P42" s="2">
        <v>250.02</v>
      </c>
      <c r="Q42" s="2"/>
      <c r="R42" s="22">
        <f t="shared" si="8"/>
        <v>1.52984613426569E-2</v>
      </c>
      <c r="S42" s="2"/>
      <c r="T42" s="2">
        <v>192.19</v>
      </c>
      <c r="U42" s="2"/>
      <c r="V42" s="22">
        <f t="shared" si="9"/>
        <v>1.1914422470703687E-2</v>
      </c>
      <c r="W42" s="2"/>
      <c r="X42" s="2">
        <f t="shared" si="10"/>
        <v>57.830000000000013</v>
      </c>
      <c r="Y42" s="2"/>
      <c r="Z42" s="22">
        <f t="shared" si="11"/>
        <v>0.30090015089234617</v>
      </c>
    </row>
    <row r="43" spans="1:26" s="24" customFormat="1" hidden="1" outlineLevel="1" x14ac:dyDescent="0.25">
      <c r="A43" s="50"/>
      <c r="B43" s="11" t="str">
        <f>CONCATENATE("          ", "5528", " - ", "FREIGHT-IN-ART/TECH")</f>
        <v xml:space="preserve">          5528 - FREIGHT-IN-ART/TECH</v>
      </c>
      <c r="C43" s="11"/>
      <c r="D43" s="2">
        <v>44</v>
      </c>
      <c r="E43" s="2"/>
      <c r="F43" s="22">
        <f t="shared" si="4"/>
        <v>2.6923138112027183E-3</v>
      </c>
      <c r="G43" s="2"/>
      <c r="H43" s="2"/>
      <c r="I43" s="2"/>
      <c r="J43" s="22">
        <f t="shared" si="5"/>
        <v>0</v>
      </c>
      <c r="K43" s="2"/>
      <c r="L43" s="2">
        <f t="shared" si="6"/>
        <v>44</v>
      </c>
      <c r="M43" s="2"/>
      <c r="N43" s="22">
        <f t="shared" si="7"/>
        <v>0</v>
      </c>
      <c r="O43" s="11"/>
      <c r="P43" s="2">
        <v>44</v>
      </c>
      <c r="Q43" s="2"/>
      <c r="R43" s="22">
        <f t="shared" si="8"/>
        <v>2.6923138112027183E-3</v>
      </c>
      <c r="S43" s="2"/>
      <c r="T43" s="2"/>
      <c r="U43" s="2"/>
      <c r="V43" s="22">
        <f t="shared" si="9"/>
        <v>0</v>
      </c>
      <c r="W43" s="2"/>
      <c r="X43" s="2">
        <f t="shared" si="10"/>
        <v>44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5" t="s">
        <v>6</v>
      </c>
      <c r="C45" s="25"/>
      <c r="D45" s="21">
        <f>D12-D31</f>
        <v>8194.1200000000063</v>
      </c>
      <c r="E45" s="13"/>
      <c r="F45" s="20">
        <f>IF(D$12=0,0,D45/D$12)</f>
        <v>0.50138960106028263</v>
      </c>
      <c r="G45" s="13"/>
      <c r="H45" s="21">
        <f>H12-H31</f>
        <v>8006.0899999999938</v>
      </c>
      <c r="I45" s="13"/>
      <c r="J45" s="20">
        <f>IF(H$12=0,0,H45/H$12)</f>
        <v>0.4963210291819346</v>
      </c>
      <c r="K45" s="16"/>
      <c r="L45" s="21">
        <f>+D45-H45</f>
        <v>188.03000000001248</v>
      </c>
      <c r="M45" s="16"/>
      <c r="N45" s="20">
        <f>IF(H45=0,0,L45/H45)</f>
        <v>2.3485871380413238E-2</v>
      </c>
      <c r="O45" s="26"/>
      <c r="P45" s="21">
        <f>P12-P31</f>
        <v>8194.1200000000063</v>
      </c>
      <c r="Q45" s="13"/>
      <c r="R45" s="20">
        <f>IF(P$12=0,0,P45/P$12)</f>
        <v>0.50138960106028263</v>
      </c>
      <c r="S45" s="13"/>
      <c r="T45" s="21">
        <f>T12-T31</f>
        <v>8006.0899999999938</v>
      </c>
      <c r="U45" s="13"/>
      <c r="V45" s="20">
        <f>IF(T$12=0,0,T45/T$12)</f>
        <v>0.4963210291819346</v>
      </c>
      <c r="W45" s="16"/>
      <c r="X45" s="21">
        <f>+P45-T45</f>
        <v>188.03000000001248</v>
      </c>
      <c r="Y45" s="16"/>
      <c r="Z45" s="20">
        <f>IF(T45=0,0,X45/T45)</f>
        <v>2.3485871380413238E-2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9</v>
      </c>
      <c r="C47" s="10"/>
      <c r="D47" s="19">
        <f>SUM(OSRRefD22x_0)</f>
        <v>12175.64</v>
      </c>
      <c r="E47" s="19"/>
      <c r="F47" s="35">
        <f t="shared" ref="F47:F55" si="12">IF(D$12=0,0,D47/D$12)</f>
        <v>0.74501463027800596</v>
      </c>
      <c r="G47" s="19"/>
      <c r="H47" s="19">
        <f>SUM(OSRRefH22x_0)</f>
        <v>9309.1200000000008</v>
      </c>
      <c r="I47" s="19"/>
      <c r="J47" s="35">
        <f t="shared" ref="J47:J55" si="13">IF(H$12=0,0,H47/H$12)</f>
        <v>0.57709968526186128</v>
      </c>
      <c r="K47" s="4"/>
      <c r="L47" s="19">
        <f t="shared" ref="L47:L55" si="14">+D47-H47</f>
        <v>2866.5199999999986</v>
      </c>
      <c r="M47" s="4"/>
      <c r="N47" s="35">
        <f t="shared" ref="N47:N55" si="15">IF(H47=0,0,L47/H47)</f>
        <v>0.30792599085627842</v>
      </c>
      <c r="O47" s="10"/>
      <c r="P47" s="19">
        <f>SUM(OSRRefP22x_0)</f>
        <v>12175.64</v>
      </c>
      <c r="Q47" s="19"/>
      <c r="R47" s="35">
        <f t="shared" ref="R47:R55" si="16">IF(P$12=0,0,P47/P$12)</f>
        <v>0.74501463027800596</v>
      </c>
      <c r="S47" s="19"/>
      <c r="T47" s="19">
        <f>SUM(OSRRefT22x_0)</f>
        <v>9309.1200000000008</v>
      </c>
      <c r="U47" s="19"/>
      <c r="V47" s="35">
        <f t="shared" ref="V47:V55" si="17">IF(T$12=0,0,T47/T$12)</f>
        <v>0.57709968526186128</v>
      </c>
      <c r="W47" s="4"/>
      <c r="X47" s="19">
        <f t="shared" ref="X47:X55" si="18">+P47-T47</f>
        <v>2866.5199999999986</v>
      </c>
      <c r="Y47" s="4"/>
      <c r="Z47" s="35">
        <f t="shared" ref="Z47:Z55" si="19">IF(T47=0,0,X47/T47)</f>
        <v>0.30792599085627842</v>
      </c>
    </row>
    <row r="48" spans="1:26" s="28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2358.2800000000002</v>
      </c>
      <c r="E48" s="1"/>
      <c r="F48" s="5">
        <f t="shared" si="12"/>
        <v>0.14430067760643514</v>
      </c>
      <c r="G48" s="1"/>
      <c r="H48" s="1">
        <f>SUM(OSRRefH22_0x_0)</f>
        <v>1659.19</v>
      </c>
      <c r="I48" s="1"/>
      <c r="J48" s="5">
        <f t="shared" si="13"/>
        <v>0.10285806035260342</v>
      </c>
      <c r="K48" s="1"/>
      <c r="L48" s="1">
        <f t="shared" si="14"/>
        <v>699.09000000000015</v>
      </c>
      <c r="M48" s="1"/>
      <c r="N48" s="5">
        <f t="shared" si="15"/>
        <v>0.42134414985625523</v>
      </c>
      <c r="O48" s="14"/>
      <c r="P48" s="1">
        <f>SUM(OSRRefP22_0x_0)</f>
        <v>2358.2800000000002</v>
      </c>
      <c r="Q48" s="1"/>
      <c r="R48" s="5">
        <f t="shared" si="16"/>
        <v>0.14430067760643514</v>
      </c>
      <c r="S48" s="1"/>
      <c r="T48" s="1">
        <f>SUM(OSRRefT22_0x_0)</f>
        <v>1659.19</v>
      </c>
      <c r="U48" s="1"/>
      <c r="V48" s="5">
        <f t="shared" si="17"/>
        <v>0.10285806035260342</v>
      </c>
      <c r="W48" s="1"/>
      <c r="X48" s="1">
        <f t="shared" si="18"/>
        <v>699.09000000000015</v>
      </c>
      <c r="Y48" s="1"/>
      <c r="Z48" s="5">
        <f t="shared" si="19"/>
        <v>0.42134414985625523</v>
      </c>
    </row>
    <row r="49" spans="1:26" s="24" customFormat="1" hidden="1" outlineLevel="2" x14ac:dyDescent="0.25">
      <c r="A49" s="29"/>
      <c r="B49" s="11" t="str">
        <f>CONCATENATE("          ", "6111", " - ", "F.I.C.A.")</f>
        <v xml:space="preserve">          6111 - F.I.C.A.</v>
      </c>
      <c r="C49" s="11"/>
      <c r="D49" s="7">
        <v>474.69</v>
      </c>
      <c r="E49" s="2"/>
      <c r="F49" s="6">
        <f t="shared" si="12"/>
        <v>2.9045782796359505E-2</v>
      </c>
      <c r="G49" s="2"/>
      <c r="H49" s="7">
        <v>377.72</v>
      </c>
      <c r="I49" s="2"/>
      <c r="J49" s="6">
        <f t="shared" si="13"/>
        <v>2.3415971984152125E-2</v>
      </c>
      <c r="K49" s="2"/>
      <c r="L49" s="7">
        <f t="shared" si="14"/>
        <v>96.96999999999997</v>
      </c>
      <c r="M49" s="2"/>
      <c r="N49" s="6">
        <f t="shared" si="15"/>
        <v>0.25672455787355702</v>
      </c>
      <c r="O49" s="11"/>
      <c r="P49" s="7">
        <v>474.69</v>
      </c>
      <c r="Q49" s="2"/>
      <c r="R49" s="6">
        <f t="shared" si="16"/>
        <v>2.9045782796359505E-2</v>
      </c>
      <c r="S49" s="2"/>
      <c r="T49" s="7">
        <v>377.72</v>
      </c>
      <c r="U49" s="2"/>
      <c r="V49" s="6">
        <f t="shared" si="17"/>
        <v>2.3415971984152125E-2</v>
      </c>
      <c r="W49" s="2"/>
      <c r="X49" s="7">
        <f t="shared" si="18"/>
        <v>96.96999999999997</v>
      </c>
      <c r="Y49" s="2"/>
      <c r="Z49" s="6">
        <f t="shared" si="19"/>
        <v>0.25672455787355702</v>
      </c>
    </row>
    <row r="50" spans="1:26" s="24" customFormat="1" hidden="1" outlineLevel="2" x14ac:dyDescent="0.25">
      <c r="A50" s="29"/>
      <c r="B50" s="11" t="str">
        <f>CONCATENATE("          ", "6112", " - ", "COMPENSATION INSURANCE")</f>
        <v xml:space="preserve">          6112 - COMPENSATION INSURANCE</v>
      </c>
      <c r="C50" s="11"/>
      <c r="D50" s="7">
        <v>117.87</v>
      </c>
      <c r="E50" s="2"/>
      <c r="F50" s="6">
        <f t="shared" si="12"/>
        <v>7.2123415665105543E-3</v>
      </c>
      <c r="G50" s="2"/>
      <c r="H50" s="7">
        <v>70.66</v>
      </c>
      <c r="I50" s="2"/>
      <c r="J50" s="6">
        <f t="shared" si="13"/>
        <v>4.3804208948432415E-3</v>
      </c>
      <c r="K50" s="2"/>
      <c r="L50" s="7">
        <f t="shared" si="14"/>
        <v>47.210000000000008</v>
      </c>
      <c r="M50" s="2"/>
      <c r="N50" s="6">
        <f t="shared" si="15"/>
        <v>0.66812906878007372</v>
      </c>
      <c r="O50" s="11"/>
      <c r="P50" s="7">
        <v>117.87</v>
      </c>
      <c r="Q50" s="2"/>
      <c r="R50" s="6">
        <f t="shared" si="16"/>
        <v>7.2123415665105543E-3</v>
      </c>
      <c r="S50" s="2"/>
      <c r="T50" s="7">
        <v>70.66</v>
      </c>
      <c r="U50" s="2"/>
      <c r="V50" s="6">
        <f t="shared" si="17"/>
        <v>4.3804208948432415E-3</v>
      </c>
      <c r="W50" s="2"/>
      <c r="X50" s="7">
        <f t="shared" si="18"/>
        <v>47.210000000000008</v>
      </c>
      <c r="Y50" s="2"/>
      <c r="Z50" s="6">
        <f t="shared" si="19"/>
        <v>0.66812906878007372</v>
      </c>
    </row>
    <row r="51" spans="1:26" s="24" customFormat="1" hidden="1" outlineLevel="2" x14ac:dyDescent="0.25">
      <c r="A51" s="29"/>
      <c r="B51" s="11" t="str">
        <f>CONCATENATE("          ", "6113", " - ", "GROUP INSURANCE")</f>
        <v xml:space="preserve">          6113 - GROUP INSURANCE</v>
      </c>
      <c r="C51" s="11"/>
      <c r="D51" s="7">
        <v>924.25</v>
      </c>
      <c r="E51" s="2"/>
      <c r="F51" s="6">
        <f t="shared" si="12"/>
        <v>5.6553887272820735E-2</v>
      </c>
      <c r="G51" s="2"/>
      <c r="H51" s="7">
        <v>353.8</v>
      </c>
      <c r="I51" s="2"/>
      <c r="J51" s="6">
        <f t="shared" si="13"/>
        <v>2.1933100942478613E-2</v>
      </c>
      <c r="K51" s="2"/>
      <c r="L51" s="7">
        <f t="shared" si="14"/>
        <v>570.45000000000005</v>
      </c>
      <c r="M51" s="2"/>
      <c r="N51" s="6">
        <f t="shared" si="15"/>
        <v>1.612351611079706</v>
      </c>
      <c r="O51" s="11"/>
      <c r="P51" s="7">
        <v>924.25</v>
      </c>
      <c r="Q51" s="2"/>
      <c r="R51" s="6">
        <f t="shared" si="16"/>
        <v>5.6553887272820735E-2</v>
      </c>
      <c r="S51" s="2"/>
      <c r="T51" s="7">
        <v>353.8</v>
      </c>
      <c r="U51" s="2"/>
      <c r="V51" s="6">
        <f t="shared" si="17"/>
        <v>2.1933100942478613E-2</v>
      </c>
      <c r="W51" s="2"/>
      <c r="X51" s="7">
        <f t="shared" si="18"/>
        <v>570.45000000000005</v>
      </c>
      <c r="Y51" s="2"/>
      <c r="Z51" s="6">
        <f t="shared" si="19"/>
        <v>1.612351611079706</v>
      </c>
    </row>
    <row r="52" spans="1:26" s="24" customFormat="1" hidden="1" outlineLevel="2" x14ac:dyDescent="0.25">
      <c r="A52" s="29"/>
      <c r="B52" s="11" t="str">
        <f>CONCATENATE("          ", "6114", " - ", "STATE UNEMPLOYMENT INSURANCE")</f>
        <v xml:space="preserve">          6114 - STATE UNEMPLOYMENT INSURANCE</v>
      </c>
      <c r="C52" s="11"/>
      <c r="D52" s="7">
        <v>16.13</v>
      </c>
      <c r="E52" s="2"/>
      <c r="F52" s="6">
        <f t="shared" si="12"/>
        <v>9.8697776760681448E-4</v>
      </c>
      <c r="G52" s="2"/>
      <c r="H52" s="7">
        <v>15.44</v>
      </c>
      <c r="I52" s="2"/>
      <c r="J52" s="6">
        <f t="shared" si="13"/>
        <v>9.5717093994310276E-4</v>
      </c>
      <c r="K52" s="2"/>
      <c r="L52" s="7">
        <f t="shared" si="14"/>
        <v>0.6899999999999995</v>
      </c>
      <c r="M52" s="2"/>
      <c r="N52" s="6">
        <f t="shared" si="15"/>
        <v>4.4689119170984427E-2</v>
      </c>
      <c r="O52" s="11"/>
      <c r="P52" s="7">
        <v>16.13</v>
      </c>
      <c r="Q52" s="2"/>
      <c r="R52" s="6">
        <f t="shared" si="16"/>
        <v>9.8697776760681448E-4</v>
      </c>
      <c r="S52" s="2"/>
      <c r="T52" s="7">
        <v>15.44</v>
      </c>
      <c r="U52" s="2"/>
      <c r="V52" s="6">
        <f t="shared" si="17"/>
        <v>9.5717093994310276E-4</v>
      </c>
      <c r="W52" s="2"/>
      <c r="X52" s="7">
        <f t="shared" si="18"/>
        <v>0.6899999999999995</v>
      </c>
      <c r="Y52" s="2"/>
      <c r="Z52" s="6">
        <f t="shared" si="19"/>
        <v>4.4689119170984427E-2</v>
      </c>
    </row>
    <row r="53" spans="1:26" s="24" customFormat="1" hidden="1" outlineLevel="2" x14ac:dyDescent="0.25">
      <c r="A53" s="29"/>
      <c r="B53" s="11" t="str">
        <f>CONCATENATE("          ", "6115", " - ", "P.E.R.S.")</f>
        <v xml:space="preserve">          6115 - P.E.R.S.</v>
      </c>
      <c r="C53" s="11"/>
      <c r="D53" s="7">
        <v>183.4</v>
      </c>
      <c r="E53" s="2"/>
      <c r="F53" s="6">
        <f t="shared" si="12"/>
        <v>1.1222053476694966E-2</v>
      </c>
      <c r="G53" s="2"/>
      <c r="H53" s="7">
        <v>259.08</v>
      </c>
      <c r="I53" s="2"/>
      <c r="J53" s="6">
        <f t="shared" si="13"/>
        <v>1.6061129994848385E-2</v>
      </c>
      <c r="K53" s="2"/>
      <c r="L53" s="7">
        <f t="shared" si="14"/>
        <v>-75.679999999999978</v>
      </c>
      <c r="M53" s="2"/>
      <c r="N53" s="6">
        <f t="shared" si="15"/>
        <v>-0.29211054500540368</v>
      </c>
      <c r="O53" s="11"/>
      <c r="P53" s="7">
        <v>183.4</v>
      </c>
      <c r="Q53" s="2"/>
      <c r="R53" s="6">
        <f t="shared" si="16"/>
        <v>1.1222053476694966E-2</v>
      </c>
      <c r="S53" s="2"/>
      <c r="T53" s="7">
        <v>259.08</v>
      </c>
      <c r="U53" s="2"/>
      <c r="V53" s="6">
        <f t="shared" si="17"/>
        <v>1.6061129994848385E-2</v>
      </c>
      <c r="W53" s="2"/>
      <c r="X53" s="7">
        <f t="shared" si="18"/>
        <v>-75.679999999999978</v>
      </c>
      <c r="Y53" s="2"/>
      <c r="Z53" s="6">
        <f t="shared" si="19"/>
        <v>-0.29211054500540368</v>
      </c>
    </row>
    <row r="54" spans="1:26" s="24" customFormat="1" hidden="1" outlineLevel="2" x14ac:dyDescent="0.25">
      <c r="A54" s="29"/>
      <c r="B54" s="11" t="str">
        <f>CONCATENATE("          ", "6118", " - ", "VACATION")</f>
        <v xml:space="preserve">          6118 - VACATION</v>
      </c>
      <c r="C54" s="11"/>
      <c r="D54" s="7">
        <v>313.32</v>
      </c>
      <c r="E54" s="2"/>
      <c r="F54" s="6">
        <f t="shared" si="12"/>
        <v>1.9171721893773537E-2</v>
      </c>
      <c r="G54" s="2"/>
      <c r="H54" s="7">
        <v>296.83</v>
      </c>
      <c r="I54" s="2"/>
      <c r="J54" s="6">
        <f t="shared" si="13"/>
        <v>1.8401363348660053E-2</v>
      </c>
      <c r="K54" s="2"/>
      <c r="L54" s="7">
        <f t="shared" si="14"/>
        <v>16.490000000000009</v>
      </c>
      <c r="M54" s="2"/>
      <c r="N54" s="6">
        <f t="shared" si="15"/>
        <v>5.5553683926826837E-2</v>
      </c>
      <c r="O54" s="11"/>
      <c r="P54" s="7">
        <v>313.32</v>
      </c>
      <c r="Q54" s="2"/>
      <c r="R54" s="6">
        <f t="shared" si="16"/>
        <v>1.9171721893773537E-2</v>
      </c>
      <c r="S54" s="2"/>
      <c r="T54" s="7">
        <v>296.83</v>
      </c>
      <c r="U54" s="2"/>
      <c r="V54" s="6">
        <f t="shared" si="17"/>
        <v>1.8401363348660053E-2</v>
      </c>
      <c r="W54" s="2"/>
      <c r="X54" s="7">
        <f t="shared" si="18"/>
        <v>16.490000000000009</v>
      </c>
      <c r="Y54" s="2"/>
      <c r="Z54" s="6">
        <f t="shared" si="19"/>
        <v>5.5553683926826837E-2</v>
      </c>
    </row>
    <row r="55" spans="1:26" s="24" customFormat="1" hidden="1" outlineLevel="2" x14ac:dyDescent="0.25">
      <c r="A55" s="29"/>
      <c r="B55" s="11" t="str">
        <f>CONCATENATE("          ", "6119", " - ", "SICK LEAVE")</f>
        <v xml:space="preserve">          6119 - SICK LEAVE</v>
      </c>
      <c r="C55" s="11"/>
      <c r="D55" s="7">
        <v>328.62</v>
      </c>
      <c r="E55" s="2"/>
      <c r="F55" s="6">
        <f t="shared" si="12"/>
        <v>2.010791283266903E-2</v>
      </c>
      <c r="G55" s="2"/>
      <c r="H55" s="7">
        <v>285.66000000000003</v>
      </c>
      <c r="I55" s="2"/>
      <c r="J55" s="6">
        <f t="shared" si="13"/>
        <v>1.7708902247677901E-2</v>
      </c>
      <c r="K55" s="2"/>
      <c r="L55" s="7">
        <f t="shared" si="14"/>
        <v>42.95999999999998</v>
      </c>
      <c r="M55" s="2"/>
      <c r="N55" s="6">
        <f t="shared" si="15"/>
        <v>0.15038857382902743</v>
      </c>
      <c r="O55" s="11"/>
      <c r="P55" s="7">
        <v>328.62</v>
      </c>
      <c r="Q55" s="2"/>
      <c r="R55" s="6">
        <f t="shared" si="16"/>
        <v>2.010791283266903E-2</v>
      </c>
      <c r="S55" s="2"/>
      <c r="T55" s="7">
        <v>285.66000000000003</v>
      </c>
      <c r="U55" s="2"/>
      <c r="V55" s="6">
        <f t="shared" si="17"/>
        <v>1.7708902247677901E-2</v>
      </c>
      <c r="W55" s="2"/>
      <c r="X55" s="7">
        <f t="shared" si="18"/>
        <v>42.95999999999998</v>
      </c>
      <c r="Y55" s="2"/>
      <c r="Z55" s="6">
        <f t="shared" si="19"/>
        <v>0.15038857382902743</v>
      </c>
    </row>
    <row r="56" spans="1:26" s="28" customFormat="1" outlineLevel="1" collapsed="1" x14ac:dyDescent="0.25">
      <c r="A56" s="27"/>
      <c r="B56" s="14" t="str">
        <f>CONCATENATE("     ","*Payroll                                          ")</f>
        <v xml:space="preserve">     *Payroll                                          </v>
      </c>
      <c r="C56" s="14"/>
      <c r="D56" s="1">
        <f>SUM(OSRRefD22_1x_0)</f>
        <v>7505.79</v>
      </c>
      <c r="E56" s="1"/>
      <c r="F56" s="5">
        <f t="shared" ref="F56:F59" si="20">IF(D$12=0,0,D56/D$12)</f>
        <v>0.4592714109315284</v>
      </c>
      <c r="G56" s="1"/>
      <c r="H56" s="1">
        <f>SUM(OSRRefH22_1x_0)</f>
        <v>5745.53</v>
      </c>
      <c r="I56" s="1"/>
      <c r="J56" s="5">
        <f t="shared" ref="J56:J59" si="21">IF(H$12=0,0,H56/H$12)</f>
        <v>0.35618227659140517</v>
      </c>
      <c r="K56" s="1"/>
      <c r="L56" s="1">
        <f t="shared" ref="L56:L59" si="22">+D56-H56</f>
        <v>1760.2600000000002</v>
      </c>
      <c r="M56" s="1"/>
      <c r="N56" s="5">
        <f t="shared" ref="N56:N59" si="23">IF(H56=0,0,L56/H56)</f>
        <v>0.30637034355403248</v>
      </c>
      <c r="O56" s="14"/>
      <c r="P56" s="1">
        <f>SUM(OSRRefP22_1x_0)</f>
        <v>7505.79</v>
      </c>
      <c r="Q56" s="1"/>
      <c r="R56" s="5">
        <f t="shared" ref="R56:R59" si="24">IF(P$12=0,0,P56/P$12)</f>
        <v>0.4592714109315284</v>
      </c>
      <c r="S56" s="1"/>
      <c r="T56" s="1">
        <f>SUM(OSRRefT22_1x_0)</f>
        <v>5745.53</v>
      </c>
      <c r="U56" s="1"/>
      <c r="V56" s="5">
        <f t="shared" ref="V56:V59" si="25">IF(T$12=0,0,T56/T$12)</f>
        <v>0.35618227659140517</v>
      </c>
      <c r="W56" s="1"/>
      <c r="X56" s="1">
        <f t="shared" ref="X56:X59" si="26">+P56-T56</f>
        <v>1760.2600000000002</v>
      </c>
      <c r="Y56" s="1"/>
      <c r="Z56" s="5">
        <f t="shared" ref="Z56:Z59" si="27">IF(T56=0,0,X56/T56)</f>
        <v>0.30637034355403248</v>
      </c>
    </row>
    <row r="57" spans="1:26" s="24" customFormat="1" hidden="1" outlineLevel="2" x14ac:dyDescent="0.25">
      <c r="A57" s="29"/>
      <c r="B57" s="11" t="str">
        <f>CONCATENATE("          ", "6002", " - ", "STAFF SALARIES")</f>
        <v xml:space="preserve">          6002 - STAFF SALARIES</v>
      </c>
      <c r="C57" s="11"/>
      <c r="D57" s="7">
        <v>3150.41</v>
      </c>
      <c r="E57" s="2"/>
      <c r="F57" s="6">
        <f t="shared" si="20"/>
        <v>0.19277028077161715</v>
      </c>
      <c r="G57" s="2"/>
      <c r="H57" s="7">
        <v>2549.91</v>
      </c>
      <c r="I57" s="2"/>
      <c r="J57" s="6">
        <f t="shared" si="21"/>
        <v>0.15807640877398427</v>
      </c>
      <c r="K57" s="2"/>
      <c r="L57" s="7">
        <f t="shared" si="22"/>
        <v>600.5</v>
      </c>
      <c r="M57" s="2"/>
      <c r="N57" s="6">
        <f t="shared" si="23"/>
        <v>0.23549850779047105</v>
      </c>
      <c r="O57" s="11"/>
      <c r="P57" s="7">
        <v>3150.41</v>
      </c>
      <c r="Q57" s="2"/>
      <c r="R57" s="6">
        <f t="shared" si="24"/>
        <v>0.19277028077161715</v>
      </c>
      <c r="S57" s="2"/>
      <c r="T57" s="7">
        <v>2549.91</v>
      </c>
      <c r="U57" s="2"/>
      <c r="V57" s="6">
        <f t="shared" si="25"/>
        <v>0.15807640877398427</v>
      </c>
      <c r="W57" s="2"/>
      <c r="X57" s="7">
        <f t="shared" si="26"/>
        <v>600.5</v>
      </c>
      <c r="Y57" s="2"/>
      <c r="Z57" s="6">
        <f t="shared" si="27"/>
        <v>0.23549850779047105</v>
      </c>
    </row>
    <row r="58" spans="1:26" s="24" customFormat="1" hidden="1" outlineLevel="2" x14ac:dyDescent="0.25">
      <c r="A58" s="29"/>
      <c r="B58" s="11" t="str">
        <f>CONCATENATE("          ", "6006", " - ", "TEMPORARY PART TIME")</f>
        <v xml:space="preserve">          6006 - TEMPORARY PART TIME</v>
      </c>
      <c r="C58" s="11"/>
      <c r="D58" s="7"/>
      <c r="E58" s="2"/>
      <c r="F58" s="6">
        <f t="shared" si="20"/>
        <v>0</v>
      </c>
      <c r="G58" s="2"/>
      <c r="H58" s="7">
        <v>58.75</v>
      </c>
      <c r="I58" s="2"/>
      <c r="J58" s="6">
        <f t="shared" si="21"/>
        <v>3.6420850208327259E-3</v>
      </c>
      <c r="K58" s="2"/>
      <c r="L58" s="7">
        <f t="shared" si="22"/>
        <v>-58.75</v>
      </c>
      <c r="M58" s="2"/>
      <c r="N58" s="6">
        <f t="shared" si="23"/>
        <v>-1</v>
      </c>
      <c r="O58" s="11"/>
      <c r="P58" s="7"/>
      <c r="Q58" s="2"/>
      <c r="R58" s="6">
        <f t="shared" si="24"/>
        <v>0</v>
      </c>
      <c r="S58" s="2"/>
      <c r="T58" s="7">
        <v>58.75</v>
      </c>
      <c r="U58" s="2"/>
      <c r="V58" s="6">
        <f t="shared" si="25"/>
        <v>3.6420850208327259E-3</v>
      </c>
      <c r="W58" s="2"/>
      <c r="X58" s="7">
        <f t="shared" si="26"/>
        <v>-58.75</v>
      </c>
      <c r="Y58" s="2"/>
      <c r="Z58" s="6">
        <f t="shared" si="27"/>
        <v>-1</v>
      </c>
    </row>
    <row r="59" spans="1:26" s="24" customFormat="1" hidden="1" outlineLevel="2" x14ac:dyDescent="0.25">
      <c r="A59" s="29"/>
      <c r="B59" s="11" t="str">
        <f>CONCATENATE("          ", "6007", " - ", "STUDENT HOURLY")</f>
        <v xml:space="preserve">          6007 - STUDENT HOURLY</v>
      </c>
      <c r="C59" s="11"/>
      <c r="D59" s="7">
        <v>4355.38</v>
      </c>
      <c r="E59" s="2"/>
      <c r="F59" s="6">
        <f t="shared" si="20"/>
        <v>0.26650113015991123</v>
      </c>
      <c r="G59" s="2"/>
      <c r="H59" s="7">
        <v>3136.87</v>
      </c>
      <c r="I59" s="2"/>
      <c r="J59" s="6">
        <f t="shared" si="21"/>
        <v>0.19446378279658813</v>
      </c>
      <c r="K59" s="2"/>
      <c r="L59" s="7">
        <f t="shared" si="22"/>
        <v>1218.5100000000002</v>
      </c>
      <c r="M59" s="2"/>
      <c r="N59" s="6">
        <f t="shared" si="23"/>
        <v>0.38844772017966961</v>
      </c>
      <c r="O59" s="11"/>
      <c r="P59" s="7">
        <v>4355.38</v>
      </c>
      <c r="Q59" s="2"/>
      <c r="R59" s="6">
        <f t="shared" si="24"/>
        <v>0.26650113015991123</v>
      </c>
      <c r="S59" s="2"/>
      <c r="T59" s="7">
        <v>3136.87</v>
      </c>
      <c r="U59" s="2"/>
      <c r="V59" s="6">
        <f t="shared" si="25"/>
        <v>0.19446378279658813</v>
      </c>
      <c r="W59" s="2"/>
      <c r="X59" s="7">
        <f t="shared" si="26"/>
        <v>1218.5100000000002</v>
      </c>
      <c r="Y59" s="2"/>
      <c r="Z59" s="6">
        <f t="shared" si="27"/>
        <v>0.38844772017966961</v>
      </c>
    </row>
    <row r="60" spans="1:26" s="28" customFormat="1" outlineLevel="1" collapsed="1" x14ac:dyDescent="0.25">
      <c r="A60" s="27"/>
      <c r="B60" s="14" t="str">
        <f>CONCATENATE("     ","Discounts and Markdowns                           ")</f>
        <v xml:space="preserve">     Discounts and Markdowns                           </v>
      </c>
      <c r="C60" s="14"/>
      <c r="D60" s="1">
        <f>SUM(OSRRefD22_2x_0)</f>
        <v>2155.11</v>
      </c>
      <c r="E60" s="1"/>
      <c r="F60" s="5">
        <f t="shared" ref="F60:F65" si="28">IF(D$12=0,0,D60/D$12)</f>
        <v>0.1318689185832066</v>
      </c>
      <c r="G60" s="1"/>
      <c r="H60" s="1">
        <f>SUM(OSRRefH22_2x_0)</f>
        <v>1824.4</v>
      </c>
      <c r="I60" s="1"/>
      <c r="J60" s="5">
        <f t="shared" ref="J60:J65" si="29">IF(H$12=0,0,H60/H$12)</f>
        <v>0.11309991339586767</v>
      </c>
      <c r="K60" s="1"/>
      <c r="L60" s="1">
        <f t="shared" ref="L60:L65" si="30">+D60-H60</f>
        <v>330.71000000000004</v>
      </c>
      <c r="M60" s="1"/>
      <c r="N60" s="5">
        <f t="shared" ref="N60:N65" si="31">IF(H60=0,0,L60/H60)</f>
        <v>0.18127055470291603</v>
      </c>
      <c r="O60" s="14"/>
      <c r="P60" s="1">
        <f>SUM(OSRRefP22_2x_0)</f>
        <v>2155.11</v>
      </c>
      <c r="Q60" s="1"/>
      <c r="R60" s="5">
        <f t="shared" ref="R60:R65" si="32">IF(P$12=0,0,P60/P$12)</f>
        <v>0.1318689185832066</v>
      </c>
      <c r="S60" s="1"/>
      <c r="T60" s="1">
        <f>SUM(OSRRefT22_2x_0)</f>
        <v>1824.4</v>
      </c>
      <c r="U60" s="1"/>
      <c r="V60" s="5">
        <f t="shared" ref="V60:V65" si="33">IF(T$12=0,0,T60/T$12)</f>
        <v>0.11309991339586767</v>
      </c>
      <c r="W60" s="1"/>
      <c r="X60" s="1">
        <f t="shared" ref="X60:X65" si="34">+P60-T60</f>
        <v>330.71000000000004</v>
      </c>
      <c r="Y60" s="1"/>
      <c r="Z60" s="5">
        <f t="shared" ref="Z60:Z65" si="35">IF(T60=0,0,X60/T60)</f>
        <v>0.18127055470291603</v>
      </c>
    </row>
    <row r="61" spans="1:26" s="24" customFormat="1" hidden="1" outlineLevel="2" x14ac:dyDescent="0.25">
      <c r="A61" s="29"/>
      <c r="B61" s="11" t="str">
        <f>CONCATENATE("          ", "6382", " - ", "DISCOUNTS/MARK DOWNS")</f>
        <v xml:space="preserve">          6382 - DISCOUNTS/MARK DOWNS</v>
      </c>
      <c r="C61" s="11"/>
      <c r="D61" s="7">
        <v>2155.11</v>
      </c>
      <c r="E61" s="2"/>
      <c r="F61" s="6">
        <f t="shared" si="28"/>
        <v>0.1318689185832066</v>
      </c>
      <c r="G61" s="2"/>
      <c r="H61" s="7">
        <v>1824.4</v>
      </c>
      <c r="I61" s="2"/>
      <c r="J61" s="6">
        <f t="shared" si="29"/>
        <v>0.11309991339586767</v>
      </c>
      <c r="K61" s="2"/>
      <c r="L61" s="7">
        <f t="shared" si="30"/>
        <v>330.71000000000004</v>
      </c>
      <c r="M61" s="2"/>
      <c r="N61" s="6">
        <f t="shared" si="31"/>
        <v>0.18127055470291603</v>
      </c>
      <c r="O61" s="11"/>
      <c r="P61" s="7">
        <v>2155.11</v>
      </c>
      <c r="Q61" s="2"/>
      <c r="R61" s="6">
        <f t="shared" si="32"/>
        <v>0.1318689185832066</v>
      </c>
      <c r="S61" s="2"/>
      <c r="T61" s="7">
        <v>1824.4</v>
      </c>
      <c r="U61" s="2"/>
      <c r="V61" s="6">
        <f t="shared" si="33"/>
        <v>0.11309991339586767</v>
      </c>
      <c r="W61" s="2"/>
      <c r="X61" s="7">
        <f t="shared" si="34"/>
        <v>330.71000000000004</v>
      </c>
      <c r="Y61" s="2"/>
      <c r="Z61" s="6">
        <f t="shared" si="35"/>
        <v>0.18127055470291603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SUM(OSRRefD22_3x_0)</f>
        <v>156.46</v>
      </c>
      <c r="E62" s="1"/>
      <c r="F62" s="5">
        <f t="shared" si="28"/>
        <v>9.573623156835848E-3</v>
      </c>
      <c r="G62" s="1"/>
      <c r="H62" s="1">
        <f>SUM(OSRRefH22_3x_0)</f>
        <v>0</v>
      </c>
      <c r="I62" s="1"/>
      <c r="J62" s="5">
        <f t="shared" si="29"/>
        <v>0</v>
      </c>
      <c r="K62" s="1"/>
      <c r="L62" s="1">
        <f t="shared" si="30"/>
        <v>156.46</v>
      </c>
      <c r="M62" s="1"/>
      <c r="N62" s="5">
        <f t="shared" si="31"/>
        <v>0</v>
      </c>
      <c r="O62" s="14"/>
      <c r="P62" s="1">
        <f>SUM(OSRRefP22_3x_0)</f>
        <v>156.46</v>
      </c>
      <c r="Q62" s="1"/>
      <c r="R62" s="5">
        <f t="shared" si="32"/>
        <v>9.573623156835848E-3</v>
      </c>
      <c r="S62" s="1"/>
      <c r="T62" s="1">
        <f>SUM(OSRRefT22_3x_0)</f>
        <v>0</v>
      </c>
      <c r="U62" s="1"/>
      <c r="V62" s="5">
        <f t="shared" si="33"/>
        <v>0</v>
      </c>
      <c r="W62" s="1"/>
      <c r="X62" s="1">
        <f t="shared" si="34"/>
        <v>156.46</v>
      </c>
      <c r="Y62" s="1"/>
      <c r="Z62" s="5">
        <f t="shared" si="35"/>
        <v>0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156.46</v>
      </c>
      <c r="E63" s="2"/>
      <c r="F63" s="6">
        <f t="shared" si="28"/>
        <v>9.573623156835848E-3</v>
      </c>
      <c r="G63" s="2"/>
      <c r="H63" s="7"/>
      <c r="I63" s="2"/>
      <c r="J63" s="6">
        <f t="shared" si="29"/>
        <v>0</v>
      </c>
      <c r="K63" s="2"/>
      <c r="L63" s="7">
        <f t="shared" si="30"/>
        <v>156.46</v>
      </c>
      <c r="M63" s="2"/>
      <c r="N63" s="6">
        <f t="shared" si="31"/>
        <v>0</v>
      </c>
      <c r="O63" s="11"/>
      <c r="P63" s="7">
        <v>156.46</v>
      </c>
      <c r="Q63" s="2"/>
      <c r="R63" s="6">
        <f t="shared" si="32"/>
        <v>9.573623156835848E-3</v>
      </c>
      <c r="S63" s="2"/>
      <c r="T63" s="7"/>
      <c r="U63" s="2"/>
      <c r="V63" s="6">
        <f t="shared" si="33"/>
        <v>0</v>
      </c>
      <c r="W63" s="2"/>
      <c r="X63" s="7">
        <f t="shared" si="34"/>
        <v>156.46</v>
      </c>
      <c r="Y63" s="2"/>
      <c r="Z63" s="6">
        <f t="shared" si="35"/>
        <v>0</v>
      </c>
    </row>
    <row r="64" spans="1:26" s="28" customFormat="1" outlineLevel="1" collapsed="1" x14ac:dyDescent="0.25">
      <c r="A64" s="27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SUM(OSRRefD22_4x_0)</f>
        <v>0</v>
      </c>
      <c r="E64" s="1"/>
      <c r="F64" s="5">
        <f t="shared" si="28"/>
        <v>0</v>
      </c>
      <c r="G64" s="1"/>
      <c r="H64" s="1">
        <f>SUM(OSRRefH22_4x_0)</f>
        <v>80</v>
      </c>
      <c r="I64" s="1"/>
      <c r="J64" s="5">
        <f t="shared" si="29"/>
        <v>4.9594349219849888E-3</v>
      </c>
      <c r="K64" s="1"/>
      <c r="L64" s="1">
        <f t="shared" si="30"/>
        <v>-80</v>
      </c>
      <c r="M64" s="1"/>
      <c r="N64" s="5">
        <f t="shared" si="31"/>
        <v>-1</v>
      </c>
      <c r="O64" s="14"/>
      <c r="P64" s="1">
        <f>SUM(OSRRefP22_4x_0)</f>
        <v>0</v>
      </c>
      <c r="Q64" s="1"/>
      <c r="R64" s="5">
        <f t="shared" si="32"/>
        <v>0</v>
      </c>
      <c r="S64" s="1"/>
      <c r="T64" s="1">
        <f>SUM(OSRRefT22_4x_0)</f>
        <v>80</v>
      </c>
      <c r="U64" s="1"/>
      <c r="V64" s="5">
        <f t="shared" si="33"/>
        <v>4.9594349219849888E-3</v>
      </c>
      <c r="W64" s="1"/>
      <c r="X64" s="1">
        <f t="shared" si="34"/>
        <v>-80</v>
      </c>
      <c r="Y64" s="1"/>
      <c r="Z64" s="5">
        <f t="shared" si="35"/>
        <v>-1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/>
      <c r="E65" s="2"/>
      <c r="F65" s="6">
        <f t="shared" si="28"/>
        <v>0</v>
      </c>
      <c r="G65" s="2"/>
      <c r="H65" s="7">
        <v>80</v>
      </c>
      <c r="I65" s="2"/>
      <c r="J65" s="6">
        <f t="shared" si="29"/>
        <v>4.9594349219849888E-3</v>
      </c>
      <c r="K65" s="2"/>
      <c r="L65" s="7">
        <f t="shared" si="30"/>
        <v>-80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80</v>
      </c>
      <c r="U65" s="2"/>
      <c r="V65" s="6">
        <f t="shared" si="33"/>
        <v>4.9594349219849888E-3</v>
      </c>
      <c r="W65" s="2"/>
      <c r="X65" s="7">
        <f t="shared" si="34"/>
        <v>-80</v>
      </c>
      <c r="Y65" s="2"/>
      <c r="Z65" s="6">
        <f t="shared" si="35"/>
        <v>-1</v>
      </c>
    </row>
    <row r="66" spans="1:26" s="54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1">
        <f>+D45-D47+D67</f>
        <v>-3981.5199999999932</v>
      </c>
      <c r="E69" s="13"/>
      <c r="F69" s="20">
        <f>IF(D$12=0,0,D69/D$12)</f>
        <v>-0.24362502921772336</v>
      </c>
      <c r="G69" s="13"/>
      <c r="H69" s="21">
        <f>+H45-H47+H67</f>
        <v>-1303.030000000007</v>
      </c>
      <c r="I69" s="13"/>
      <c r="J69" s="20">
        <f>IF(H$12=0,0,H69/H$12)</f>
        <v>-8.0778656079926681E-2</v>
      </c>
      <c r="K69" s="16"/>
      <c r="L69" s="21">
        <f>+D69-H69</f>
        <v>-2678.4899999999861</v>
      </c>
      <c r="M69" s="16"/>
      <c r="N69" s="20">
        <f>IF(H69=0,0,L69/H69)</f>
        <v>2.055585826880403</v>
      </c>
      <c r="O69" s="26"/>
      <c r="P69" s="21">
        <f>+P45-P47+P67</f>
        <v>-3981.5199999999932</v>
      </c>
      <c r="Q69" s="13"/>
      <c r="R69" s="20">
        <f>IF(P$12=0,0,P69/P$12)</f>
        <v>-0.24362502921772336</v>
      </c>
      <c r="S69" s="13"/>
      <c r="T69" s="21">
        <f>+T45-T47+T67</f>
        <v>-1303.030000000007</v>
      </c>
      <c r="U69" s="13"/>
      <c r="V69" s="20">
        <f>IF(T$12=0,0,T69/T$12)</f>
        <v>-8.0778656079926681E-2</v>
      </c>
      <c r="W69" s="16"/>
      <c r="X69" s="21">
        <f>+P69-T69</f>
        <v>-2678.4899999999861</v>
      </c>
      <c r="Y69" s="16"/>
      <c r="Z69" s="20">
        <f>IF(T69=0,0,X69/T69)</f>
        <v>2.055585826880403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3398.15</v>
      </c>
      <c r="E71" s="4"/>
      <c r="F71" s="12">
        <f>IF(D$12=0,0,D71/D$12)</f>
        <v>0.20792923130769356</v>
      </c>
      <c r="G71" s="4"/>
      <c r="H71" s="4">
        <v>3311.68</v>
      </c>
      <c r="I71" s="4"/>
      <c r="J71" s="12">
        <f>IF(H$12=0,0,H71/H$12)</f>
        <v>0.20530076803049058</v>
      </c>
      <c r="K71" s="4"/>
      <c r="L71" s="4">
        <f>+D71-H71</f>
        <v>86.470000000000255</v>
      </c>
      <c r="M71" s="4"/>
      <c r="N71" s="12">
        <f>IF(H71=0,0,L71/H71)</f>
        <v>2.611061455213072E-2</v>
      </c>
      <c r="O71" s="10"/>
      <c r="P71" s="4">
        <v>3398.15</v>
      </c>
      <c r="Q71" s="4"/>
      <c r="R71" s="12">
        <f>IF(P$12=0,0,P71/P$12)</f>
        <v>0.20792923130769356</v>
      </c>
      <c r="S71" s="4"/>
      <c r="T71" s="4">
        <v>3311.68</v>
      </c>
      <c r="U71" s="4"/>
      <c r="V71" s="12">
        <f>IF(T$12=0,0,T71/T$12)</f>
        <v>0.20530076803049058</v>
      </c>
      <c r="W71" s="4"/>
      <c r="X71" s="4">
        <f>+P71-T71</f>
        <v>86.470000000000255</v>
      </c>
      <c r="Y71" s="4"/>
      <c r="Z71" s="12">
        <f>IF(T71=0,0,X71/T71)</f>
        <v>2.611061455213072E-2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-7379.6699999999928</v>
      </c>
      <c r="E73" s="13"/>
      <c r="F73" s="34">
        <f>IF(D$12=0,0,D73/D$12)</f>
        <v>-0.45155426052541692</v>
      </c>
      <c r="G73" s="13"/>
      <c r="H73" s="33">
        <f>+H69-H71</f>
        <v>-4614.7100000000064</v>
      </c>
      <c r="I73" s="13"/>
      <c r="J73" s="34">
        <f>IF(H$12=0,0,H73/H$12)</f>
        <v>-0.28607942411041726</v>
      </c>
      <c r="K73" s="16"/>
      <c r="L73" s="33">
        <f>D73-H73</f>
        <v>-2764.9599999999864</v>
      </c>
      <c r="M73" s="16"/>
      <c r="N73" s="34">
        <f>IF(H73=0,0,L73/H73)</f>
        <v>0.59916224421469222</v>
      </c>
      <c r="O73" s="26"/>
      <c r="P73" s="33">
        <f>+P69-P71</f>
        <v>-7379.6699999999928</v>
      </c>
      <c r="Q73" s="13"/>
      <c r="R73" s="34">
        <f>IF(P$12=0,0,P73/P$12)</f>
        <v>-0.45155426052541692</v>
      </c>
      <c r="S73" s="13"/>
      <c r="T73" s="33">
        <f>+T69-T71</f>
        <v>-4614.7100000000064</v>
      </c>
      <c r="U73" s="13"/>
      <c r="V73" s="34">
        <f>IF(T$12=0,0,T73/T$12)</f>
        <v>-0.28607942411041726</v>
      </c>
      <c r="W73" s="16"/>
      <c r="X73" s="33">
        <f>P73-T73</f>
        <v>-2764.9599999999864</v>
      </c>
      <c r="Y73" s="16"/>
      <c r="Z73" s="34">
        <f>IF(T73=0,0,X73/T73)</f>
        <v>0.59916224421469222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1">
        <f>SUM(D73:D75)</f>
        <v>-7379.6699999999928</v>
      </c>
      <c r="E76" s="13"/>
      <c r="F76" s="30">
        <f>IF(D$12=0,0,D76/D$12)</f>
        <v>-0.45155426052541692</v>
      </c>
      <c r="G76" s="13"/>
      <c r="H76" s="31">
        <f>SUM(H73:H75)</f>
        <v>-4614.7100000000064</v>
      </c>
      <c r="I76" s="13"/>
      <c r="J76" s="30">
        <f>IF(H$12=0,0,H76/H$12)</f>
        <v>-0.28607942411041726</v>
      </c>
      <c r="K76" s="16"/>
      <c r="L76" s="31">
        <f>+D76-H76</f>
        <v>-2764.9599999999864</v>
      </c>
      <c r="M76" s="16"/>
      <c r="N76" s="30">
        <f>IF(H76=0,0,L76/H76)</f>
        <v>0.59916224421469222</v>
      </c>
      <c r="O76" s="26"/>
      <c r="P76" s="31">
        <f>SUM(P73:P75)</f>
        <v>-7379.6699999999928</v>
      </c>
      <c r="Q76" s="13"/>
      <c r="R76" s="30">
        <f>IF(P$12=0,0,P76/P$12)</f>
        <v>-0.45155426052541692</v>
      </c>
      <c r="S76" s="13"/>
      <c r="T76" s="31">
        <f>SUM(T73:T75)</f>
        <v>-4614.7100000000064</v>
      </c>
      <c r="U76" s="13"/>
      <c r="V76" s="30">
        <f>IF(T$12=0,0,T76/T$12)</f>
        <v>-0.28607942411041726</v>
      </c>
      <c r="W76" s="16"/>
      <c r="X76" s="31">
        <f>+P76-T76</f>
        <v>-2764.9599999999864</v>
      </c>
      <c r="Y76" s="16"/>
      <c r="Z76" s="30">
        <f>IF(T76=0,0,X76/T76)</f>
        <v>0.59916224421469222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43726.681909143517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301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92133.200000000012</v>
      </c>
      <c r="E12" s="4"/>
      <c r="F12" s="12"/>
      <c r="G12" s="4"/>
      <c r="H12" s="4">
        <f>SUM(OSRRefH13x_0)</f>
        <v>138376.24</v>
      </c>
      <c r="I12" s="4"/>
      <c r="J12" s="12"/>
      <c r="K12" s="4"/>
      <c r="L12" s="4">
        <f t="shared" ref="L12:L34" si="0">+D12-H12</f>
        <v>-46243.039999999979</v>
      </c>
      <c r="M12" s="4"/>
      <c r="N12" s="12">
        <f t="shared" ref="N12:N34" si="1">IF(H12=0,0,L12/H12)</f>
        <v>-0.3341833829275892</v>
      </c>
      <c r="O12" s="10"/>
      <c r="P12" s="4">
        <f>SUM(OSRRefP13x_0)</f>
        <v>92133.200000000012</v>
      </c>
      <c r="Q12" s="4"/>
      <c r="R12" s="12"/>
      <c r="S12" s="4"/>
      <c r="T12" s="4">
        <f>SUM(OSRRefT13x_0)</f>
        <v>138376.24</v>
      </c>
      <c r="U12" s="4"/>
      <c r="V12" s="12"/>
      <c r="W12" s="4"/>
      <c r="X12" s="4">
        <f t="shared" ref="X12:X34" si="2">+P12-T12</f>
        <v>-46243.039999999979</v>
      </c>
      <c r="Y12" s="4"/>
      <c r="Z12" s="12">
        <f t="shared" ref="Z12:Z34" si="3">IF(T12=0,0,X12/T12)</f>
        <v>-0.3341833829275892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--36312.25</f>
        <v>36312.25</v>
      </c>
      <c r="E13" s="2"/>
      <c r="F13" s="22"/>
      <c r="G13" s="2"/>
      <c r="H13" s="2">
        <f>--73264.63</f>
        <v>73264.63</v>
      </c>
      <c r="I13" s="2"/>
      <c r="J13" s="22"/>
      <c r="K13" s="2"/>
      <c r="L13" s="2">
        <f t="shared" si="0"/>
        <v>-36952.380000000005</v>
      </c>
      <c r="M13" s="2"/>
      <c r="N13" s="22">
        <f t="shared" si="1"/>
        <v>-0.50436861552429868</v>
      </c>
      <c r="O13" s="11"/>
      <c r="P13" s="2">
        <f>--36312.25</f>
        <v>36312.25</v>
      </c>
      <c r="Q13" s="2"/>
      <c r="R13" s="22"/>
      <c r="S13" s="2"/>
      <c r="T13" s="2">
        <f>--73264.63</f>
        <v>73264.63</v>
      </c>
      <c r="U13" s="2"/>
      <c r="V13" s="22"/>
      <c r="W13" s="2"/>
      <c r="X13" s="2">
        <f t="shared" si="2"/>
        <v>-36952.380000000005</v>
      </c>
      <c r="Y13" s="2"/>
      <c r="Z13" s="22">
        <f t="shared" si="3"/>
        <v>-0.50436861552429868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--21794.81</f>
        <v>21794.81</v>
      </c>
      <c r="E14" s="2"/>
      <c r="F14" s="22"/>
      <c r="G14" s="2"/>
      <c r="H14" s="2">
        <f>--26581.58</f>
        <v>26581.58</v>
      </c>
      <c r="I14" s="2"/>
      <c r="J14" s="22"/>
      <c r="K14" s="2"/>
      <c r="L14" s="2">
        <f t="shared" si="0"/>
        <v>-4786.7700000000004</v>
      </c>
      <c r="M14" s="2"/>
      <c r="N14" s="22">
        <f t="shared" si="1"/>
        <v>-0.18007846034735331</v>
      </c>
      <c r="O14" s="11"/>
      <c r="P14" s="2">
        <f>--21794.81</f>
        <v>21794.81</v>
      </c>
      <c r="Q14" s="2"/>
      <c r="R14" s="22"/>
      <c r="S14" s="2"/>
      <c r="T14" s="2">
        <f>--26581.58</f>
        <v>26581.58</v>
      </c>
      <c r="U14" s="2"/>
      <c r="V14" s="22"/>
      <c r="W14" s="2"/>
      <c r="X14" s="2">
        <f t="shared" si="2"/>
        <v>-4786.7700000000004</v>
      </c>
      <c r="Y14" s="2"/>
      <c r="Z14" s="22">
        <f t="shared" si="3"/>
        <v>-0.18007846034735331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>
        <f>--484</f>
        <v>484</v>
      </c>
      <c r="I15" s="2"/>
      <c r="J15" s="22"/>
      <c r="K15" s="2"/>
      <c r="L15" s="2">
        <f t="shared" si="0"/>
        <v>-50.019999999999982</v>
      </c>
      <c r="M15" s="2"/>
      <c r="N15" s="22">
        <f t="shared" si="1"/>
        <v>-0.10334710743801649</v>
      </c>
      <c r="O15" s="11"/>
      <c r="P15" s="2">
        <f>--433.98</f>
        <v>433.98</v>
      </c>
      <c r="Q15" s="2"/>
      <c r="R15" s="22"/>
      <c r="S15" s="2"/>
      <c r="T15" s="2">
        <f>--484</f>
        <v>484</v>
      </c>
      <c r="U15" s="2"/>
      <c r="V15" s="22"/>
      <c r="W15" s="2"/>
      <c r="X15" s="2">
        <f t="shared" si="2"/>
        <v>-50.019999999999982</v>
      </c>
      <c r="Y15" s="2"/>
      <c r="Z15" s="22">
        <f t="shared" si="3"/>
        <v>-0.10334710743801649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>
        <f>--143</f>
        <v>143</v>
      </c>
      <c r="I16" s="2"/>
      <c r="J16" s="22"/>
      <c r="K16" s="2"/>
      <c r="L16" s="2">
        <f t="shared" si="0"/>
        <v>-9.6500000000000057</v>
      </c>
      <c r="M16" s="2"/>
      <c r="N16" s="22">
        <f t="shared" si="1"/>
        <v>-6.7482517482517518E-2</v>
      </c>
      <c r="O16" s="11"/>
      <c r="P16" s="2">
        <f>--133.35</f>
        <v>133.35</v>
      </c>
      <c r="Q16" s="2"/>
      <c r="R16" s="22"/>
      <c r="S16" s="2"/>
      <c r="T16" s="2">
        <f>--143</f>
        <v>143</v>
      </c>
      <c r="U16" s="2"/>
      <c r="V16" s="22"/>
      <c r="W16" s="2"/>
      <c r="X16" s="2">
        <f t="shared" si="2"/>
        <v>-9.6500000000000057</v>
      </c>
      <c r="Y16" s="2"/>
      <c r="Z16" s="22">
        <f t="shared" si="3"/>
        <v>-6.7482517482517518E-2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>
        <f>--53.96</f>
        <v>53.96</v>
      </c>
      <c r="I17" s="2"/>
      <c r="J17" s="22"/>
      <c r="K17" s="2"/>
      <c r="L17" s="2">
        <f t="shared" si="0"/>
        <v>-14.009999999999998</v>
      </c>
      <c r="M17" s="2"/>
      <c r="N17" s="22">
        <f t="shared" si="1"/>
        <v>-0.25963676797627866</v>
      </c>
      <c r="O17" s="11"/>
      <c r="P17" s="2">
        <f>--39.95</f>
        <v>39.950000000000003</v>
      </c>
      <c r="Q17" s="2"/>
      <c r="R17" s="22"/>
      <c r="S17" s="2"/>
      <c r="T17" s="2">
        <f>--53.96</f>
        <v>53.96</v>
      </c>
      <c r="U17" s="2"/>
      <c r="V17" s="22"/>
      <c r="W17" s="2"/>
      <c r="X17" s="2">
        <f t="shared" si="2"/>
        <v>-14.009999999999998</v>
      </c>
      <c r="Y17" s="2"/>
      <c r="Z17" s="22">
        <f t="shared" si="3"/>
        <v>-0.25963676797627866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>
        <f>--200.49</f>
        <v>200.49</v>
      </c>
      <c r="I18" s="2"/>
      <c r="J18" s="22"/>
      <c r="K18" s="2"/>
      <c r="L18" s="2">
        <f t="shared" si="0"/>
        <v>50.16</v>
      </c>
      <c r="M18" s="2"/>
      <c r="N18" s="22">
        <f t="shared" si="1"/>
        <v>0.25018704174771805</v>
      </c>
      <c r="O18" s="11"/>
      <c r="P18" s="2">
        <f>--250.65</f>
        <v>250.65</v>
      </c>
      <c r="Q18" s="2"/>
      <c r="R18" s="22"/>
      <c r="S18" s="2"/>
      <c r="T18" s="2">
        <f>--200.49</f>
        <v>200.49</v>
      </c>
      <c r="U18" s="2"/>
      <c r="V18" s="22"/>
      <c r="W18" s="2"/>
      <c r="X18" s="2">
        <f t="shared" si="2"/>
        <v>50.16</v>
      </c>
      <c r="Y18" s="2"/>
      <c r="Z18" s="22">
        <f t="shared" si="3"/>
        <v>0.25018704174771805</v>
      </c>
    </row>
    <row r="19" spans="1:26" s="24" customFormat="1" hidden="1" outlineLevel="1" x14ac:dyDescent="0.25">
      <c r="A19" s="50"/>
      <c r="B19" s="11" t="str">
        <f>CONCATENATE("          ", "4018", " - ", "TAXABLE SALES-STUDY GUIDES")</f>
        <v xml:space="preserve">          4018 - TAXABLE SALES-STUDY GUIDES</v>
      </c>
      <c r="C19" s="11"/>
      <c r="D19" s="2">
        <f>--179.29</f>
        <v>179.29</v>
      </c>
      <c r="E19" s="2"/>
      <c r="F19" s="22"/>
      <c r="G19" s="2"/>
      <c r="H19" s="2">
        <f>--479.34</f>
        <v>479.34</v>
      </c>
      <c r="I19" s="2"/>
      <c r="J19" s="22"/>
      <c r="K19" s="2"/>
      <c r="L19" s="2">
        <f t="shared" si="0"/>
        <v>-300.04999999999995</v>
      </c>
      <c r="M19" s="2"/>
      <c r="N19" s="22">
        <f t="shared" si="1"/>
        <v>-0.62596486836066256</v>
      </c>
      <c r="O19" s="11"/>
      <c r="P19" s="2">
        <f>--179.29</f>
        <v>179.29</v>
      </c>
      <c r="Q19" s="2"/>
      <c r="R19" s="22"/>
      <c r="S19" s="2"/>
      <c r="T19" s="2">
        <f>--479.34</f>
        <v>479.34</v>
      </c>
      <c r="U19" s="2"/>
      <c r="V19" s="22"/>
      <c r="W19" s="2"/>
      <c r="X19" s="2">
        <f t="shared" si="2"/>
        <v>-300.04999999999995</v>
      </c>
      <c r="Y19" s="2"/>
      <c r="Z19" s="22">
        <f t="shared" si="3"/>
        <v>-0.62596486836066256</v>
      </c>
    </row>
    <row r="20" spans="1:26" s="24" customFormat="1" hidden="1" outlineLevel="1" x14ac:dyDescent="0.25">
      <c r="A20" s="50"/>
      <c r="B20" s="11" t="str">
        <f>CONCATENATE("          ", "4100", " - ", "NON-TAXABLE SALES")</f>
        <v xml:space="preserve">          4100 - NON-TAXABLE SALES</v>
      </c>
      <c r="C20" s="11"/>
      <c r="D20" s="2">
        <f>--4262.2</f>
        <v>4262.2</v>
      </c>
      <c r="E20" s="2"/>
      <c r="F20" s="22"/>
      <c r="G20" s="2"/>
      <c r="H20" s="2">
        <f>--10860.85</f>
        <v>10860.85</v>
      </c>
      <c r="I20" s="2"/>
      <c r="J20" s="22"/>
      <c r="K20" s="2"/>
      <c r="L20" s="2">
        <f t="shared" si="0"/>
        <v>-6598.6500000000005</v>
      </c>
      <c r="M20" s="2"/>
      <c r="N20" s="22">
        <f t="shared" si="1"/>
        <v>-0.60756294396847399</v>
      </c>
      <c r="O20" s="11"/>
      <c r="P20" s="2">
        <f>--4262.2</f>
        <v>4262.2</v>
      </c>
      <c r="Q20" s="2"/>
      <c r="R20" s="22"/>
      <c r="S20" s="2"/>
      <c r="T20" s="2">
        <f>--10860.85</f>
        <v>10860.85</v>
      </c>
      <c r="U20" s="2"/>
      <c r="V20" s="22"/>
      <c r="W20" s="2"/>
      <c r="X20" s="2">
        <f t="shared" si="2"/>
        <v>-6598.6500000000005</v>
      </c>
      <c r="Y20" s="2"/>
      <c r="Z20" s="22">
        <f t="shared" si="3"/>
        <v>-0.60756294396847399</v>
      </c>
    </row>
    <row r="21" spans="1:26" s="24" customFormat="1" hidden="1" outlineLevel="1" x14ac:dyDescent="0.25">
      <c r="A21" s="50"/>
      <c r="B21" s="11" t="str">
        <f>CONCATENATE("          ", "4101", " - ", "NON-TAXABLE SALES-NEW TEXT")</f>
        <v xml:space="preserve">          4101 - NON-TAXABLE SALES-NEW TEXT</v>
      </c>
      <c r="C21" s="11"/>
      <c r="D21" s="2">
        <f>--7736.58</f>
        <v>7736.58</v>
      </c>
      <c r="E21" s="2"/>
      <c r="F21" s="22"/>
      <c r="G21" s="2"/>
      <c r="H21" s="2">
        <f>--16833.23</f>
        <v>16833.23</v>
      </c>
      <c r="I21" s="2"/>
      <c r="J21" s="22"/>
      <c r="K21" s="2"/>
      <c r="L21" s="2">
        <f t="shared" si="0"/>
        <v>-9096.65</v>
      </c>
      <c r="M21" s="2"/>
      <c r="N21" s="22">
        <f t="shared" si="1"/>
        <v>-0.5403983668018556</v>
      </c>
      <c r="O21" s="11"/>
      <c r="P21" s="2">
        <f>--7736.58</f>
        <v>7736.58</v>
      </c>
      <c r="Q21" s="2"/>
      <c r="R21" s="22"/>
      <c r="S21" s="2"/>
      <c r="T21" s="2">
        <f>--16833.23</f>
        <v>16833.23</v>
      </c>
      <c r="U21" s="2"/>
      <c r="V21" s="22"/>
      <c r="W21" s="2"/>
      <c r="X21" s="2">
        <f t="shared" si="2"/>
        <v>-9096.65</v>
      </c>
      <c r="Y21" s="2"/>
      <c r="Z21" s="22">
        <f t="shared" si="3"/>
        <v>-0.5403983668018556</v>
      </c>
    </row>
    <row r="22" spans="1:26" s="24" customFormat="1" hidden="1" outlineLevel="1" x14ac:dyDescent="0.25">
      <c r="A22" s="50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--5359.24</f>
        <v>5359.24</v>
      </c>
      <c r="E22" s="2"/>
      <c r="F22" s="22"/>
      <c r="G22" s="2"/>
      <c r="H22" s="2">
        <f>--2616.94</f>
        <v>2616.94</v>
      </c>
      <c r="I22" s="2"/>
      <c r="J22" s="22"/>
      <c r="K22" s="2"/>
      <c r="L22" s="2">
        <f t="shared" si="0"/>
        <v>2742.2999999999997</v>
      </c>
      <c r="M22" s="2"/>
      <c r="N22" s="22">
        <f t="shared" si="1"/>
        <v>1.0479032763456555</v>
      </c>
      <c r="O22" s="11"/>
      <c r="P22" s="2">
        <f>--5359.24</f>
        <v>5359.24</v>
      </c>
      <c r="Q22" s="2"/>
      <c r="R22" s="22"/>
      <c r="S22" s="2"/>
      <c r="T22" s="2">
        <f>--2616.94</f>
        <v>2616.94</v>
      </c>
      <c r="U22" s="2"/>
      <c r="V22" s="22"/>
      <c r="W22" s="2"/>
      <c r="X22" s="2">
        <f t="shared" si="2"/>
        <v>2742.2999999999997</v>
      </c>
      <c r="Y22" s="2"/>
      <c r="Z22" s="22">
        <f t="shared" si="3"/>
        <v>1.0479032763456555</v>
      </c>
    </row>
    <row r="23" spans="1:26" s="24" customFormat="1" hidden="1" outlineLevel="1" x14ac:dyDescent="0.25">
      <c r="A23" s="50"/>
      <c r="B23" s="11" t="str">
        <f>CONCATENATE("          ", "4104", " - ", "NON-TAXABLE SALES-DIGITAL TEXT")</f>
        <v xml:space="preserve">          4104 - NON-TAXABLE SALES-DIGITAL TEXT</v>
      </c>
      <c r="C23" s="11"/>
      <c r="D23" s="2">
        <f>--13424.17</f>
        <v>13424.17</v>
      </c>
      <c r="E23" s="2"/>
      <c r="F23" s="22"/>
      <c r="G23" s="2"/>
      <c r="H23" s="2">
        <f>--7347.66</f>
        <v>7347.66</v>
      </c>
      <c r="I23" s="2"/>
      <c r="J23" s="22"/>
      <c r="K23" s="2"/>
      <c r="L23" s="2">
        <f t="shared" si="0"/>
        <v>6076.51</v>
      </c>
      <c r="M23" s="2"/>
      <c r="N23" s="22">
        <f t="shared" si="1"/>
        <v>0.82699934400884101</v>
      </c>
      <c r="O23" s="11"/>
      <c r="P23" s="2">
        <f>--13424.17</f>
        <v>13424.17</v>
      </c>
      <c r="Q23" s="2"/>
      <c r="R23" s="22"/>
      <c r="S23" s="2"/>
      <c r="T23" s="2">
        <f>--7347.66</f>
        <v>7347.66</v>
      </c>
      <c r="U23" s="2"/>
      <c r="V23" s="22"/>
      <c r="W23" s="2"/>
      <c r="X23" s="2">
        <f t="shared" si="2"/>
        <v>6076.51</v>
      </c>
      <c r="Y23" s="2"/>
      <c r="Z23" s="22">
        <f t="shared" si="3"/>
        <v>0.82699934400884101</v>
      </c>
    </row>
    <row r="24" spans="1:26" s="24" customFormat="1" hidden="1" outlineLevel="1" x14ac:dyDescent="0.25">
      <c r="A24" s="50"/>
      <c r="B24" s="11" t="str">
        <f>CONCATENATE("          ", "4111", " - ", "NON-TAXABLE SALES-NO VALUE TEX")</f>
        <v xml:space="preserve">          4111 - NON-TAXABLE SALES-NO VALUE TEX</v>
      </c>
      <c r="C24" s="11"/>
      <c r="D24" s="2">
        <f>--2680.95</f>
        <v>2680.95</v>
      </c>
      <c r="E24" s="2"/>
      <c r="F24" s="22"/>
      <c r="G24" s="2"/>
      <c r="H24" s="2">
        <f>--2828.58</f>
        <v>2828.58</v>
      </c>
      <c r="I24" s="2"/>
      <c r="J24" s="22"/>
      <c r="K24" s="2"/>
      <c r="L24" s="2">
        <f t="shared" si="0"/>
        <v>-147.63000000000011</v>
      </c>
      <c r="M24" s="2"/>
      <c r="N24" s="22">
        <f t="shared" si="1"/>
        <v>-5.2192266084042212E-2</v>
      </c>
      <c r="O24" s="11"/>
      <c r="P24" s="2">
        <f>--2680.95</f>
        <v>2680.95</v>
      </c>
      <c r="Q24" s="2"/>
      <c r="R24" s="22"/>
      <c r="S24" s="2"/>
      <c r="T24" s="2">
        <f>--2828.58</f>
        <v>2828.58</v>
      </c>
      <c r="U24" s="2"/>
      <c r="V24" s="22"/>
      <c r="W24" s="2"/>
      <c r="X24" s="2">
        <f t="shared" si="2"/>
        <v>-147.63000000000011</v>
      </c>
      <c r="Y24" s="2"/>
      <c r="Z24" s="22">
        <f t="shared" si="3"/>
        <v>-5.2192266084042212E-2</v>
      </c>
    </row>
    <row r="25" spans="1:26" s="24" customFormat="1" hidden="1" outlineLevel="1" x14ac:dyDescent="0.25">
      <c r="A25" s="50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--1134</f>
        <v>1134</v>
      </c>
      <c r="E25" s="2"/>
      <c r="F25" s="22"/>
      <c r="G25" s="2"/>
      <c r="H25" s="2">
        <f>--7.06</f>
        <v>7.06</v>
      </c>
      <c r="I25" s="2"/>
      <c r="J25" s="22"/>
      <c r="K25" s="2"/>
      <c r="L25" s="2">
        <f t="shared" si="0"/>
        <v>1126.94</v>
      </c>
      <c r="M25" s="2"/>
      <c r="N25" s="22">
        <f t="shared" si="1"/>
        <v>159.62322946175638</v>
      </c>
      <c r="O25" s="11"/>
      <c r="P25" s="2">
        <f>--1134</f>
        <v>1134</v>
      </c>
      <c r="Q25" s="2"/>
      <c r="R25" s="22"/>
      <c r="S25" s="2"/>
      <c r="T25" s="2">
        <f>--7.06</f>
        <v>7.06</v>
      </c>
      <c r="U25" s="2"/>
      <c r="V25" s="22"/>
      <c r="W25" s="2"/>
      <c r="X25" s="2">
        <f t="shared" si="2"/>
        <v>1126.94</v>
      </c>
      <c r="Y25" s="2"/>
      <c r="Z25" s="22">
        <f t="shared" si="3"/>
        <v>159.62322946175638</v>
      </c>
    </row>
    <row r="26" spans="1:26" s="24" customFormat="1" hidden="1" outlineLevel="1" x14ac:dyDescent="0.25">
      <c r="A26" s="50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--6.95</f>
        <v>6.95</v>
      </c>
      <c r="E26" s="2"/>
      <c r="F26" s="22"/>
      <c r="G26" s="2"/>
      <c r="H26" s="2">
        <f>--35.93</f>
        <v>35.93</v>
      </c>
      <c r="I26" s="2"/>
      <c r="J26" s="22"/>
      <c r="K26" s="2"/>
      <c r="L26" s="2">
        <f t="shared" si="0"/>
        <v>-28.98</v>
      </c>
      <c r="M26" s="2"/>
      <c r="N26" s="22">
        <f t="shared" si="1"/>
        <v>-0.80656832730308936</v>
      </c>
      <c r="O26" s="11"/>
      <c r="P26" s="2">
        <f>--6.95</f>
        <v>6.95</v>
      </c>
      <c r="Q26" s="2"/>
      <c r="R26" s="22"/>
      <c r="S26" s="2"/>
      <c r="T26" s="2">
        <f>--35.93</f>
        <v>35.93</v>
      </c>
      <c r="U26" s="2"/>
      <c r="V26" s="22"/>
      <c r="W26" s="2"/>
      <c r="X26" s="2">
        <f t="shared" si="2"/>
        <v>-28.98</v>
      </c>
      <c r="Y26" s="2"/>
      <c r="Z26" s="22">
        <f t="shared" si="3"/>
        <v>-0.80656832730308936</v>
      </c>
    </row>
    <row r="27" spans="1:26" s="24" customFormat="1" hidden="1" outlineLevel="1" x14ac:dyDescent="0.25">
      <c r="A27" s="50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-607.15</f>
        <v>-607.15</v>
      </c>
      <c r="E27" s="2"/>
      <c r="F27" s="22"/>
      <c r="G27" s="2"/>
      <c r="H27" s="2">
        <f>-1507.5</f>
        <v>-1507.5</v>
      </c>
      <c r="I27" s="2"/>
      <c r="J27" s="22"/>
      <c r="K27" s="2"/>
      <c r="L27" s="2">
        <f t="shared" si="0"/>
        <v>900.35</v>
      </c>
      <c r="M27" s="2"/>
      <c r="N27" s="22">
        <f t="shared" si="1"/>
        <v>-0.59724709784411278</v>
      </c>
      <c r="O27" s="11"/>
      <c r="P27" s="2">
        <f>-607.15</f>
        <v>-607.15</v>
      </c>
      <c r="Q27" s="2"/>
      <c r="R27" s="22"/>
      <c r="S27" s="2"/>
      <c r="T27" s="2">
        <f>-1507.5</f>
        <v>-1507.5</v>
      </c>
      <c r="U27" s="2"/>
      <c r="V27" s="22"/>
      <c r="W27" s="2"/>
      <c r="X27" s="2">
        <f t="shared" si="2"/>
        <v>900.35</v>
      </c>
      <c r="Y27" s="2"/>
      <c r="Z27" s="22">
        <f t="shared" si="3"/>
        <v>-0.59724709784411278</v>
      </c>
    </row>
    <row r="28" spans="1:26" s="24" customFormat="1" hidden="1" outlineLevel="1" x14ac:dyDescent="0.25">
      <c r="A28" s="50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-721.45</f>
        <v>-721.45</v>
      </c>
      <c r="E28" s="2"/>
      <c r="F28" s="22"/>
      <c r="G28" s="2"/>
      <c r="H28" s="2">
        <f>-579.25</f>
        <v>-579.25</v>
      </c>
      <c r="I28" s="2"/>
      <c r="J28" s="22"/>
      <c r="K28" s="2"/>
      <c r="L28" s="2">
        <f t="shared" si="0"/>
        <v>-142.20000000000005</v>
      </c>
      <c r="M28" s="2"/>
      <c r="N28" s="22">
        <f t="shared" si="1"/>
        <v>0.2454898575744498</v>
      </c>
      <c r="O28" s="11"/>
      <c r="P28" s="2">
        <f>-721.45</f>
        <v>-721.45</v>
      </c>
      <c r="Q28" s="2"/>
      <c r="R28" s="22"/>
      <c r="S28" s="2"/>
      <c r="T28" s="2">
        <f>-579.25</f>
        <v>-579.25</v>
      </c>
      <c r="U28" s="2"/>
      <c r="V28" s="22"/>
      <c r="W28" s="2"/>
      <c r="X28" s="2">
        <f t="shared" si="2"/>
        <v>-142.20000000000005</v>
      </c>
      <c r="Y28" s="2"/>
      <c r="Z28" s="22">
        <f t="shared" si="3"/>
        <v>0.2454898575744498</v>
      </c>
    </row>
    <row r="29" spans="1:26" s="24" customFormat="1" hidden="1" outlineLevel="1" x14ac:dyDescent="0.25">
      <c r="A29" s="50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 t="shared" ref="D29:D30" si="4">0</f>
        <v>0</v>
      </c>
      <c r="E29" s="2"/>
      <c r="F29" s="22"/>
      <c r="G29" s="2"/>
      <c r="H29" s="2">
        <f>-85</f>
        <v>-85</v>
      </c>
      <c r="I29" s="2"/>
      <c r="J29" s="22"/>
      <c r="K29" s="2"/>
      <c r="L29" s="2">
        <f t="shared" si="0"/>
        <v>85</v>
      </c>
      <c r="M29" s="2"/>
      <c r="N29" s="22">
        <f t="shared" si="1"/>
        <v>-1</v>
      </c>
      <c r="O29" s="11"/>
      <c r="P29" s="2">
        <f t="shared" ref="P29:P30" si="5">0</f>
        <v>0</v>
      </c>
      <c r="Q29" s="2"/>
      <c r="R29" s="22"/>
      <c r="S29" s="2"/>
      <c r="T29" s="2">
        <f>-85</f>
        <v>-85</v>
      </c>
      <c r="U29" s="2"/>
      <c r="V29" s="22"/>
      <c r="W29" s="2"/>
      <c r="X29" s="2">
        <f t="shared" si="2"/>
        <v>85</v>
      </c>
      <c r="Y29" s="2"/>
      <c r="Z29" s="22">
        <f t="shared" si="3"/>
        <v>-1</v>
      </c>
    </row>
    <row r="30" spans="1:26" s="24" customFormat="1" hidden="1" outlineLevel="1" x14ac:dyDescent="0.25">
      <c r="A30" s="50"/>
      <c r="B30" s="11" t="str">
        <f>CONCATENATE("          ", "4218", " - ", "SALES RETURN TAXABLE-STUDY GUI")</f>
        <v xml:space="preserve">          4218 - SALES RETURN TAXABLE-STUDY GUI</v>
      </c>
      <c r="C30" s="11"/>
      <c r="D30" s="2">
        <f t="shared" si="4"/>
        <v>0</v>
      </c>
      <c r="E30" s="2"/>
      <c r="F30" s="22"/>
      <c r="G30" s="2"/>
      <c r="H30" s="2">
        <f>-15.95</f>
        <v>-15.95</v>
      </c>
      <c r="I30" s="2"/>
      <c r="J30" s="22"/>
      <c r="K30" s="2"/>
      <c r="L30" s="2">
        <f t="shared" si="0"/>
        <v>15.95</v>
      </c>
      <c r="M30" s="2"/>
      <c r="N30" s="22">
        <f t="shared" si="1"/>
        <v>-1</v>
      </c>
      <c r="O30" s="11"/>
      <c r="P30" s="2">
        <f t="shared" si="5"/>
        <v>0</v>
      </c>
      <c r="Q30" s="2"/>
      <c r="R30" s="22"/>
      <c r="S30" s="2"/>
      <c r="T30" s="2">
        <f>-15.95</f>
        <v>-15.95</v>
      </c>
      <c r="U30" s="2"/>
      <c r="V30" s="22"/>
      <c r="W30" s="2"/>
      <c r="X30" s="2">
        <f t="shared" si="2"/>
        <v>15.95</v>
      </c>
      <c r="Y30" s="2"/>
      <c r="Z30" s="22">
        <f t="shared" si="3"/>
        <v>-1</v>
      </c>
    </row>
    <row r="31" spans="1:26" s="24" customFormat="1" hidden="1" outlineLevel="1" x14ac:dyDescent="0.25">
      <c r="A31" s="50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>-254.59</f>
        <v>-254.59</v>
      </c>
      <c r="E31" s="2"/>
      <c r="F31" s="22"/>
      <c r="G31" s="2"/>
      <c r="H31" s="2">
        <f>-996.13</f>
        <v>-996.13</v>
      </c>
      <c r="I31" s="2"/>
      <c r="J31" s="22"/>
      <c r="K31" s="2"/>
      <c r="L31" s="2">
        <f t="shared" si="0"/>
        <v>741.54</v>
      </c>
      <c r="M31" s="2"/>
      <c r="N31" s="22">
        <f t="shared" si="1"/>
        <v>-0.74442090891751078</v>
      </c>
      <c r="O31" s="11"/>
      <c r="P31" s="2">
        <f>-254.59</f>
        <v>-254.59</v>
      </c>
      <c r="Q31" s="2"/>
      <c r="R31" s="22"/>
      <c r="S31" s="2"/>
      <c r="T31" s="2">
        <f>-996.13</f>
        <v>-996.13</v>
      </c>
      <c r="U31" s="2"/>
      <c r="V31" s="22"/>
      <c r="W31" s="2"/>
      <c r="X31" s="2">
        <f t="shared" si="2"/>
        <v>741.54</v>
      </c>
      <c r="Y31" s="2"/>
      <c r="Z31" s="22">
        <f t="shared" si="3"/>
        <v>-0.74442090891751078</v>
      </c>
    </row>
    <row r="32" spans="1:26" s="24" customFormat="1" hidden="1" outlineLevel="1" x14ac:dyDescent="0.25">
      <c r="A32" s="50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 t="shared" ref="D32:D33" si="6">0</f>
        <v>0</v>
      </c>
      <c r="E32" s="2"/>
      <c r="F32" s="22"/>
      <c r="G32" s="2"/>
      <c r="H32" s="2">
        <f>-112.8</f>
        <v>-112.8</v>
      </c>
      <c r="I32" s="2"/>
      <c r="J32" s="22"/>
      <c r="K32" s="2"/>
      <c r="L32" s="2">
        <f t="shared" si="0"/>
        <v>112.8</v>
      </c>
      <c r="M32" s="2"/>
      <c r="N32" s="22">
        <f t="shared" si="1"/>
        <v>-1</v>
      </c>
      <c r="O32" s="11"/>
      <c r="P32" s="2">
        <f t="shared" ref="P32:P33" si="7">0</f>
        <v>0</v>
      </c>
      <c r="Q32" s="2"/>
      <c r="R32" s="22"/>
      <c r="S32" s="2"/>
      <c r="T32" s="2">
        <f>-112.8</f>
        <v>-112.8</v>
      </c>
      <c r="U32" s="2"/>
      <c r="V32" s="22"/>
      <c r="W32" s="2"/>
      <c r="X32" s="2">
        <f t="shared" si="2"/>
        <v>112.8</v>
      </c>
      <c r="Y32" s="2"/>
      <c r="Z32" s="22">
        <f t="shared" si="3"/>
        <v>-1</v>
      </c>
    </row>
    <row r="33" spans="1:26" s="24" customFormat="1" hidden="1" outlineLevel="1" x14ac:dyDescent="0.25">
      <c r="A33" s="50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 t="shared" si="6"/>
        <v>0</v>
      </c>
      <c r="E33" s="2"/>
      <c r="F33" s="22"/>
      <c r="G33" s="2"/>
      <c r="H33" s="2">
        <f>-20</f>
        <v>-20</v>
      </c>
      <c r="I33" s="2"/>
      <c r="J33" s="22"/>
      <c r="K33" s="2"/>
      <c r="L33" s="2">
        <f t="shared" si="0"/>
        <v>20</v>
      </c>
      <c r="M33" s="2"/>
      <c r="N33" s="22">
        <f t="shared" si="1"/>
        <v>-1</v>
      </c>
      <c r="O33" s="11"/>
      <c r="P33" s="2">
        <f t="shared" si="7"/>
        <v>0</v>
      </c>
      <c r="Q33" s="2"/>
      <c r="R33" s="22"/>
      <c r="S33" s="2"/>
      <c r="T33" s="2">
        <f>-20</f>
        <v>-20</v>
      </c>
      <c r="U33" s="2"/>
      <c r="V33" s="22"/>
      <c r="W33" s="2"/>
      <c r="X33" s="2">
        <f t="shared" si="2"/>
        <v>20</v>
      </c>
      <c r="Y33" s="2"/>
      <c r="Z33" s="22">
        <f t="shared" si="3"/>
        <v>-1</v>
      </c>
    </row>
    <row r="34" spans="1:26" s="24" customFormat="1" hidden="1" outlineLevel="1" x14ac:dyDescent="0.25">
      <c r="A34" s="50"/>
      <c r="B34" s="11" t="str">
        <f>CONCATENATE("          ", "4311", " - ", "SALES RETURN NON TAXABLE-NO VA")</f>
        <v xml:space="preserve">          4311 - SALES RETURN NON TAXABLE-NO VA</v>
      </c>
      <c r="C34" s="11"/>
      <c r="D34" s="2">
        <f>-31.98</f>
        <v>-31.98</v>
      </c>
      <c r="E34" s="2"/>
      <c r="F34" s="22"/>
      <c r="G34" s="2"/>
      <c r="H34" s="2">
        <f>-44.38</f>
        <v>-44.38</v>
      </c>
      <c r="I34" s="2"/>
      <c r="J34" s="22"/>
      <c r="K34" s="2"/>
      <c r="L34" s="2">
        <f t="shared" si="0"/>
        <v>12.400000000000002</v>
      </c>
      <c r="M34" s="2"/>
      <c r="N34" s="22">
        <f t="shared" si="1"/>
        <v>-0.27940513744930151</v>
      </c>
      <c r="O34" s="11"/>
      <c r="P34" s="2">
        <f>-31.98</f>
        <v>-31.98</v>
      </c>
      <c r="Q34" s="2"/>
      <c r="R34" s="22"/>
      <c r="S34" s="2"/>
      <c r="T34" s="2">
        <f>-44.38</f>
        <v>-44.38</v>
      </c>
      <c r="U34" s="2"/>
      <c r="V34" s="22"/>
      <c r="W34" s="2"/>
      <c r="X34" s="2">
        <f t="shared" si="2"/>
        <v>12.400000000000002</v>
      </c>
      <c r="Y34" s="2"/>
      <c r="Z34" s="22">
        <f t="shared" si="3"/>
        <v>-0.27940513744930151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6" t="s">
        <v>8</v>
      </c>
      <c r="C36" s="10"/>
      <c r="D36" s="4">
        <f>SUM(OSRRefD16x_0)</f>
        <v>75991.06</v>
      </c>
      <c r="E36" s="4"/>
      <c r="F36" s="12">
        <f t="shared" ref="F36:F49" si="8">IF(D$12=0,0,D36/D$12)</f>
        <v>0.82479562199076972</v>
      </c>
      <c r="G36" s="4"/>
      <c r="H36" s="4">
        <f>SUM(OSRRefH16x_0)</f>
        <v>102177.47999999992</v>
      </c>
      <c r="I36" s="4"/>
      <c r="J36" s="12">
        <f t="shared" ref="J36:J49" si="9">IF(H$12=0,0,H36/H$12)</f>
        <v>0.73840335595185946</v>
      </c>
      <c r="K36" s="4"/>
      <c r="L36" s="4">
        <f t="shared" ref="L36:L49" si="10">+D36-H36</f>
        <v>-26186.419999999925</v>
      </c>
      <c r="M36" s="4"/>
      <c r="N36" s="12">
        <f t="shared" ref="N36:N49" si="11">IF(H36=0,0,L36/H36)</f>
        <v>-0.25628367424994181</v>
      </c>
      <c r="O36" s="10"/>
      <c r="P36" s="4">
        <f>SUM(OSRRefP16x_0)</f>
        <v>75991.06</v>
      </c>
      <c r="Q36" s="4"/>
      <c r="R36" s="12">
        <f t="shared" ref="R36:R49" si="12">IF(P$12=0,0,P36/P$12)</f>
        <v>0.82479562199076972</v>
      </c>
      <c r="S36" s="4"/>
      <c r="T36" s="4">
        <f>SUM(OSRRefT16x_0)</f>
        <v>102177.47999999992</v>
      </c>
      <c r="U36" s="4"/>
      <c r="V36" s="12">
        <f t="shared" ref="V36:V49" si="13">IF(T$12=0,0,T36/T$12)</f>
        <v>0.73840335595185946</v>
      </c>
      <c r="W36" s="4"/>
      <c r="X36" s="4">
        <f t="shared" ref="X36:X49" si="14">+P36-T36</f>
        <v>-26186.419999999925</v>
      </c>
      <c r="Y36" s="4"/>
      <c r="Z36" s="12">
        <f t="shared" ref="Z36:Z49" si="15">IF(T36=0,0,X36/T36)</f>
        <v>-0.25628367424994181</v>
      </c>
    </row>
    <row r="37" spans="1:26" s="24" customFormat="1" hidden="1" outlineLevel="1" x14ac:dyDescent="0.25">
      <c r="A37" s="50"/>
      <c r="B37" s="11" t="str">
        <f>CONCATENATE("          ", "5001", " - ", "PURCHASES @ COST-NEW TEXT")</f>
        <v xml:space="preserve">          5001 - PURCHASES @ COST-NEW TEXT</v>
      </c>
      <c r="C37" s="11"/>
      <c r="D37" s="2">
        <v>343994.56</v>
      </c>
      <c r="E37" s="2"/>
      <c r="F37" s="22">
        <f t="shared" si="8"/>
        <v>3.733665605883655</v>
      </c>
      <c r="G37" s="2"/>
      <c r="H37" s="2">
        <v>502071.74999999994</v>
      </c>
      <c r="I37" s="2"/>
      <c r="J37" s="22">
        <f t="shared" si="9"/>
        <v>3.6283089495711112</v>
      </c>
      <c r="K37" s="2"/>
      <c r="L37" s="2">
        <f t="shared" si="10"/>
        <v>-158077.18999999994</v>
      </c>
      <c r="M37" s="2"/>
      <c r="N37" s="22">
        <f t="shared" si="11"/>
        <v>-0.31484979985430361</v>
      </c>
      <c r="O37" s="11"/>
      <c r="P37" s="2">
        <v>343994.56</v>
      </c>
      <c r="Q37" s="2"/>
      <c r="R37" s="22">
        <f t="shared" si="12"/>
        <v>3.733665605883655</v>
      </c>
      <c r="S37" s="2"/>
      <c r="T37" s="2">
        <v>502071.74999999994</v>
      </c>
      <c r="U37" s="2"/>
      <c r="V37" s="22">
        <f t="shared" si="13"/>
        <v>3.6283089495711112</v>
      </c>
      <c r="W37" s="2"/>
      <c r="X37" s="2">
        <f t="shared" si="14"/>
        <v>-158077.18999999994</v>
      </c>
      <c r="Y37" s="2"/>
      <c r="Z37" s="22">
        <f t="shared" si="15"/>
        <v>-0.31484979985430361</v>
      </c>
    </row>
    <row r="38" spans="1:26" s="24" customFormat="1" hidden="1" outlineLevel="1" x14ac:dyDescent="0.25">
      <c r="A38" s="50"/>
      <c r="B38" s="11" t="str">
        <f>CONCATENATE("          ", "5002", " - ", "PURCHASES @ COST-USED TEXT")</f>
        <v xml:space="preserve">          5002 - PURCHASES @ COST-USED TEXT</v>
      </c>
      <c r="C38" s="11"/>
      <c r="D38" s="2">
        <v>110293.25</v>
      </c>
      <c r="E38" s="2"/>
      <c r="F38" s="22">
        <f t="shared" si="8"/>
        <v>1.1971064719341127</v>
      </c>
      <c r="G38" s="2"/>
      <c r="H38" s="2">
        <v>-64118.3</v>
      </c>
      <c r="I38" s="2"/>
      <c r="J38" s="22">
        <f t="shared" si="9"/>
        <v>-0.46336206273562575</v>
      </c>
      <c r="K38" s="2"/>
      <c r="L38" s="2">
        <f t="shared" si="10"/>
        <v>174411.55</v>
      </c>
      <c r="M38" s="2"/>
      <c r="N38" s="22">
        <f t="shared" si="11"/>
        <v>-2.7201524369797698</v>
      </c>
      <c r="O38" s="11"/>
      <c r="P38" s="2">
        <v>110293.25</v>
      </c>
      <c r="Q38" s="2"/>
      <c r="R38" s="22">
        <f t="shared" si="12"/>
        <v>1.1971064719341127</v>
      </c>
      <c r="S38" s="2"/>
      <c r="T38" s="2">
        <v>-64118.3</v>
      </c>
      <c r="U38" s="2"/>
      <c r="V38" s="22">
        <f t="shared" si="13"/>
        <v>-0.46336206273562575</v>
      </c>
      <c r="W38" s="2"/>
      <c r="X38" s="2">
        <f t="shared" si="14"/>
        <v>174411.55</v>
      </c>
      <c r="Y38" s="2"/>
      <c r="Z38" s="22">
        <f t="shared" si="15"/>
        <v>-2.7201524369797698</v>
      </c>
    </row>
    <row r="39" spans="1:26" s="24" customFormat="1" hidden="1" outlineLevel="1" x14ac:dyDescent="0.25">
      <c r="A39" s="50"/>
      <c r="B39" s="11" t="str">
        <f>CONCATENATE("          ", "5003", " - ", "PURCHASES @ COST-RENTAL TEXT")</f>
        <v xml:space="preserve">          5003 - PURCHASES @ COST-RENTAL TEXT</v>
      </c>
      <c r="C39" s="11"/>
      <c r="D39" s="2">
        <v>38295.800000000003</v>
      </c>
      <c r="E39" s="2"/>
      <c r="F39" s="22">
        <f t="shared" si="8"/>
        <v>0.41565689675383033</v>
      </c>
      <c r="G39" s="2"/>
      <c r="H39" s="2">
        <v>-1763.7</v>
      </c>
      <c r="I39" s="2"/>
      <c r="J39" s="22">
        <f t="shared" si="9"/>
        <v>-1.2745685241917255E-2</v>
      </c>
      <c r="K39" s="2"/>
      <c r="L39" s="2">
        <f t="shared" si="10"/>
        <v>40059.5</v>
      </c>
      <c r="M39" s="2"/>
      <c r="N39" s="22">
        <f t="shared" si="11"/>
        <v>-22.713329931394227</v>
      </c>
      <c r="O39" s="11"/>
      <c r="P39" s="2">
        <v>38295.800000000003</v>
      </c>
      <c r="Q39" s="2"/>
      <c r="R39" s="22">
        <f t="shared" si="12"/>
        <v>0.41565689675383033</v>
      </c>
      <c r="S39" s="2"/>
      <c r="T39" s="2">
        <v>-1763.7</v>
      </c>
      <c r="U39" s="2"/>
      <c r="V39" s="22">
        <f t="shared" si="13"/>
        <v>-1.2745685241917255E-2</v>
      </c>
      <c r="W39" s="2"/>
      <c r="X39" s="2">
        <f t="shared" si="14"/>
        <v>40059.5</v>
      </c>
      <c r="Y39" s="2"/>
      <c r="Z39" s="22">
        <f t="shared" si="15"/>
        <v>-22.713329931394227</v>
      </c>
    </row>
    <row r="40" spans="1:26" s="24" customFormat="1" hidden="1" outlineLevel="1" x14ac:dyDescent="0.25">
      <c r="A40" s="50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133958.57</v>
      </c>
      <c r="E40" s="2"/>
      <c r="F40" s="22">
        <f t="shared" si="8"/>
        <v>1.4539663226719575</v>
      </c>
      <c r="G40" s="2"/>
      <c r="H40" s="2">
        <v>145939.9</v>
      </c>
      <c r="I40" s="2"/>
      <c r="J40" s="22">
        <f t="shared" si="9"/>
        <v>1.0546601063882066</v>
      </c>
      <c r="K40" s="2"/>
      <c r="L40" s="2">
        <f t="shared" si="10"/>
        <v>-11981.329999999987</v>
      </c>
      <c r="M40" s="2"/>
      <c r="N40" s="22">
        <f t="shared" si="11"/>
        <v>-8.2097699121350551E-2</v>
      </c>
      <c r="O40" s="11"/>
      <c r="P40" s="2">
        <v>133958.57</v>
      </c>
      <c r="Q40" s="2"/>
      <c r="R40" s="22">
        <f t="shared" si="12"/>
        <v>1.4539663226719575</v>
      </c>
      <c r="S40" s="2"/>
      <c r="T40" s="2">
        <v>145939.9</v>
      </c>
      <c r="U40" s="2"/>
      <c r="V40" s="22">
        <f t="shared" si="13"/>
        <v>1.0546601063882066</v>
      </c>
      <c r="W40" s="2"/>
      <c r="X40" s="2">
        <f t="shared" si="14"/>
        <v>-11981.329999999987</v>
      </c>
      <c r="Y40" s="2"/>
      <c r="Z40" s="22">
        <f t="shared" si="15"/>
        <v>-8.2097699121350551E-2</v>
      </c>
    </row>
    <row r="41" spans="1:26" s="24" customFormat="1" hidden="1" outlineLevel="1" x14ac:dyDescent="0.25">
      <c r="A41" s="50"/>
      <c r="B41" s="11" t="str">
        <f>CONCATENATE("          ", "5011", " - ", "PURCHASES @ COST-NO VALUE TEXT")</f>
        <v xml:space="preserve">          5011 - PURCHASES @ COST-NO VALUE TEXT</v>
      </c>
      <c r="C41" s="11"/>
      <c r="D41" s="2">
        <v>288</v>
      </c>
      <c r="E41" s="2"/>
      <c r="F41" s="22">
        <f t="shared" si="8"/>
        <v>3.1259090099985667E-3</v>
      </c>
      <c r="G41" s="2"/>
      <c r="H41" s="2">
        <v>441</v>
      </c>
      <c r="I41" s="2"/>
      <c r="J41" s="22">
        <f t="shared" si="9"/>
        <v>3.1869633110424163E-3</v>
      </c>
      <c r="K41" s="2"/>
      <c r="L41" s="2">
        <f t="shared" si="10"/>
        <v>-153</v>
      </c>
      <c r="M41" s="2"/>
      <c r="N41" s="22">
        <f t="shared" si="11"/>
        <v>-0.34693877551020408</v>
      </c>
      <c r="O41" s="11"/>
      <c r="P41" s="2">
        <v>288</v>
      </c>
      <c r="Q41" s="2"/>
      <c r="R41" s="22">
        <f t="shared" si="12"/>
        <v>3.1259090099985667E-3</v>
      </c>
      <c r="S41" s="2"/>
      <c r="T41" s="2">
        <v>441</v>
      </c>
      <c r="U41" s="2"/>
      <c r="V41" s="22">
        <f t="shared" si="13"/>
        <v>3.1869633110424163E-3</v>
      </c>
      <c r="W41" s="2"/>
      <c r="X41" s="2">
        <f t="shared" si="14"/>
        <v>-153</v>
      </c>
      <c r="Y41" s="2"/>
      <c r="Z41" s="22">
        <f t="shared" si="15"/>
        <v>-0.34693877551020408</v>
      </c>
    </row>
    <row r="42" spans="1:26" s="24" customFormat="1" hidden="1" outlineLevel="1" x14ac:dyDescent="0.25">
      <c r="A42" s="50"/>
      <c r="B42" s="11" t="str">
        <f>CONCATENATE("          ", "5013", " - ", "PURCHASES @ COST-TRADE BOOKS")</f>
        <v xml:space="preserve">          5013 - PURCHASES @ COST-TRADE BOOKS</v>
      </c>
      <c r="C42" s="11"/>
      <c r="D42" s="2">
        <v>204.9</v>
      </c>
      <c r="E42" s="2"/>
      <c r="F42" s="22">
        <f t="shared" si="8"/>
        <v>2.2239540144052303E-3</v>
      </c>
      <c r="G42" s="2"/>
      <c r="H42" s="2">
        <v>119.79</v>
      </c>
      <c r="I42" s="2"/>
      <c r="J42" s="22">
        <f t="shared" si="9"/>
        <v>8.6568329938723594E-4</v>
      </c>
      <c r="K42" s="2"/>
      <c r="L42" s="2">
        <f t="shared" si="10"/>
        <v>85.11</v>
      </c>
      <c r="M42" s="2"/>
      <c r="N42" s="22">
        <f t="shared" si="11"/>
        <v>0.71049336338592528</v>
      </c>
      <c r="O42" s="11"/>
      <c r="P42" s="2">
        <v>204.9</v>
      </c>
      <c r="Q42" s="2"/>
      <c r="R42" s="22">
        <f t="shared" si="12"/>
        <v>2.2239540144052303E-3</v>
      </c>
      <c r="S42" s="2"/>
      <c r="T42" s="2">
        <v>119.79</v>
      </c>
      <c r="U42" s="2"/>
      <c r="V42" s="22">
        <f t="shared" si="13"/>
        <v>8.6568329938723594E-4</v>
      </c>
      <c r="W42" s="2"/>
      <c r="X42" s="2">
        <f t="shared" si="14"/>
        <v>85.11</v>
      </c>
      <c r="Y42" s="2"/>
      <c r="Z42" s="22">
        <f t="shared" si="15"/>
        <v>0.71049336338592528</v>
      </c>
    </row>
    <row r="43" spans="1:26" s="24" customFormat="1" hidden="1" outlineLevel="1" x14ac:dyDescent="0.25">
      <c r="A43" s="50"/>
      <c r="B43" s="11" t="str">
        <f>CONCATENATE("          ", "5014", " - ", "PURCHASES @ COST-REMAINDERS")</f>
        <v xml:space="preserve">          5014 - PURCHASES @ COST-REMAINDERS</v>
      </c>
      <c r="C43" s="11"/>
      <c r="D43" s="2">
        <v>100.48</v>
      </c>
      <c r="E43" s="2"/>
      <c r="F43" s="22">
        <f t="shared" si="8"/>
        <v>1.0905949212661667E-3</v>
      </c>
      <c r="G43" s="2"/>
      <c r="H43" s="2">
        <v>227.6</v>
      </c>
      <c r="I43" s="2"/>
      <c r="J43" s="22">
        <f t="shared" si="9"/>
        <v>1.6447910421615735E-3</v>
      </c>
      <c r="K43" s="2"/>
      <c r="L43" s="2">
        <f t="shared" si="10"/>
        <v>-127.11999999999999</v>
      </c>
      <c r="M43" s="2"/>
      <c r="N43" s="22">
        <f t="shared" si="11"/>
        <v>-0.55852372583479781</v>
      </c>
      <c r="O43" s="11"/>
      <c r="P43" s="2">
        <v>100.48</v>
      </c>
      <c r="Q43" s="2"/>
      <c r="R43" s="22">
        <f t="shared" si="12"/>
        <v>1.0905949212661667E-3</v>
      </c>
      <c r="S43" s="2"/>
      <c r="T43" s="2">
        <v>227.6</v>
      </c>
      <c r="U43" s="2"/>
      <c r="V43" s="22">
        <f t="shared" si="13"/>
        <v>1.6447910421615735E-3</v>
      </c>
      <c r="W43" s="2"/>
      <c r="X43" s="2">
        <f t="shared" si="14"/>
        <v>-127.11999999999999</v>
      </c>
      <c r="Y43" s="2"/>
      <c r="Z43" s="22">
        <f t="shared" si="15"/>
        <v>-0.55852372583479781</v>
      </c>
    </row>
    <row r="44" spans="1:26" s="24" customFormat="1" hidden="1" outlineLevel="1" x14ac:dyDescent="0.25">
      <c r="A44" s="50"/>
      <c r="B44" s="11" t="str">
        <f>CONCATENATE("          ", "5018", " - ", "PURCHASES @ COST-STUDY GUIDES")</f>
        <v xml:space="preserve">          5018 - PURCHASES @ COST-STUDY GUIDES</v>
      </c>
      <c r="C44" s="11"/>
      <c r="D44" s="2">
        <v>503.93</v>
      </c>
      <c r="E44" s="2"/>
      <c r="F44" s="22">
        <f t="shared" si="8"/>
        <v>5.4695809979464511E-3</v>
      </c>
      <c r="G44" s="2"/>
      <c r="H44" s="2">
        <v>369.63</v>
      </c>
      <c r="I44" s="2"/>
      <c r="J44" s="22">
        <f t="shared" si="9"/>
        <v>2.6711955751941231E-3</v>
      </c>
      <c r="K44" s="2"/>
      <c r="L44" s="2">
        <f t="shared" si="10"/>
        <v>134.30000000000001</v>
      </c>
      <c r="M44" s="2"/>
      <c r="N44" s="22">
        <f t="shared" si="11"/>
        <v>0.36333630928225524</v>
      </c>
      <c r="O44" s="11"/>
      <c r="P44" s="2">
        <v>503.93</v>
      </c>
      <c r="Q44" s="2"/>
      <c r="R44" s="22">
        <f t="shared" si="12"/>
        <v>5.4695809979464511E-3</v>
      </c>
      <c r="S44" s="2"/>
      <c r="T44" s="2">
        <v>369.63</v>
      </c>
      <c r="U44" s="2"/>
      <c r="V44" s="22">
        <f t="shared" si="13"/>
        <v>2.6711955751941231E-3</v>
      </c>
      <c r="W44" s="2"/>
      <c r="X44" s="2">
        <f t="shared" si="14"/>
        <v>134.30000000000001</v>
      </c>
      <c r="Y44" s="2"/>
      <c r="Z44" s="22">
        <f t="shared" si="15"/>
        <v>0.36333630928225524</v>
      </c>
    </row>
    <row r="45" spans="1:26" s="24" customFormat="1" hidden="1" outlineLevel="1" x14ac:dyDescent="0.25">
      <c r="A45" s="50"/>
      <c r="B45" s="11" t="str">
        <f>CONCATENATE("          ", "5200", " - ", "PURCHASES OFFSET")</f>
        <v xml:space="preserve">          5200 - PURCHASES OFFSET</v>
      </c>
      <c r="C45" s="11"/>
      <c r="D45" s="2">
        <v>-616930</v>
      </c>
      <c r="E45" s="2"/>
      <c r="F45" s="22">
        <f t="shared" si="8"/>
        <v>-6.6960661303417215</v>
      </c>
      <c r="G45" s="2"/>
      <c r="H45" s="2">
        <v>-565809</v>
      </c>
      <c r="I45" s="2"/>
      <c r="J45" s="22">
        <f t="shared" si="9"/>
        <v>-4.0889172881124685</v>
      </c>
      <c r="K45" s="2"/>
      <c r="L45" s="2">
        <f t="shared" si="10"/>
        <v>-51121</v>
      </c>
      <c r="M45" s="2"/>
      <c r="N45" s="22">
        <f t="shared" si="11"/>
        <v>9.0350277213688712E-2</v>
      </c>
      <c r="O45" s="11"/>
      <c r="P45" s="2">
        <v>-616930</v>
      </c>
      <c r="Q45" s="2"/>
      <c r="R45" s="22">
        <f t="shared" si="12"/>
        <v>-6.6960661303417215</v>
      </c>
      <c r="S45" s="2"/>
      <c r="T45" s="2">
        <v>-565809</v>
      </c>
      <c r="U45" s="2"/>
      <c r="V45" s="22">
        <f t="shared" si="13"/>
        <v>-4.0889172881124685</v>
      </c>
      <c r="W45" s="2"/>
      <c r="X45" s="2">
        <f t="shared" si="14"/>
        <v>-51121</v>
      </c>
      <c r="Y45" s="2"/>
      <c r="Z45" s="22">
        <f t="shared" si="15"/>
        <v>9.0350277213688712E-2</v>
      </c>
    </row>
    <row r="46" spans="1:26" s="24" customFormat="1" hidden="1" outlineLevel="1" x14ac:dyDescent="0.25">
      <c r="A46" s="50"/>
      <c r="B46" s="11" t="str">
        <f>CONCATENATE("          ", "5300", " - ", "COG$ OFFSET")</f>
        <v xml:space="preserve">          5300 - COG$ OFFSET</v>
      </c>
      <c r="C46" s="11"/>
      <c r="D46" s="2">
        <v>63288</v>
      </c>
      <c r="E46" s="2"/>
      <c r="F46" s="22">
        <f t="shared" si="8"/>
        <v>0.68691850494718509</v>
      </c>
      <c r="G46" s="2"/>
      <c r="H46" s="2">
        <v>82246</v>
      </c>
      <c r="I46" s="2"/>
      <c r="J46" s="22">
        <f t="shared" si="9"/>
        <v>0.59436504417232328</v>
      </c>
      <c r="K46" s="2"/>
      <c r="L46" s="2">
        <f t="shared" si="10"/>
        <v>-18958</v>
      </c>
      <c r="M46" s="2"/>
      <c r="N46" s="22">
        <f t="shared" si="11"/>
        <v>-0.23050361111786591</v>
      </c>
      <c r="O46" s="11"/>
      <c r="P46" s="2">
        <v>63288</v>
      </c>
      <c r="Q46" s="2"/>
      <c r="R46" s="22">
        <f t="shared" si="12"/>
        <v>0.68691850494718509</v>
      </c>
      <c r="S46" s="2"/>
      <c r="T46" s="2">
        <v>82246</v>
      </c>
      <c r="U46" s="2"/>
      <c r="V46" s="22">
        <f t="shared" si="13"/>
        <v>0.59436504417232328</v>
      </c>
      <c r="W46" s="2"/>
      <c r="X46" s="2">
        <f t="shared" si="14"/>
        <v>-18958</v>
      </c>
      <c r="Y46" s="2"/>
      <c r="Z46" s="22">
        <f t="shared" si="15"/>
        <v>-0.23050361111786591</v>
      </c>
    </row>
    <row r="47" spans="1:26" s="24" customFormat="1" hidden="1" outlineLevel="1" x14ac:dyDescent="0.25">
      <c r="A47" s="50"/>
      <c r="B47" s="11" t="str">
        <f>CONCATENATE("          ", "5501", " - ", "FREIGHT-IN-NEW TEXT")</f>
        <v xml:space="preserve">          5501 - FREIGHT-IN-NEW TEXT</v>
      </c>
      <c r="C47" s="11"/>
      <c r="D47" s="2">
        <v>1716.08</v>
      </c>
      <c r="E47" s="2"/>
      <c r="F47" s="22">
        <f t="shared" si="8"/>
        <v>1.8626076159299794E-2</v>
      </c>
      <c r="G47" s="2"/>
      <c r="H47" s="2">
        <v>2158.9299999999998</v>
      </c>
      <c r="I47" s="2"/>
      <c r="J47" s="22">
        <f t="shared" si="9"/>
        <v>1.5601883675983681E-2</v>
      </c>
      <c r="K47" s="2"/>
      <c r="L47" s="2">
        <f t="shared" si="10"/>
        <v>-442.84999999999991</v>
      </c>
      <c r="M47" s="2"/>
      <c r="N47" s="22">
        <f t="shared" si="11"/>
        <v>-0.20512476087691586</v>
      </c>
      <c r="O47" s="11"/>
      <c r="P47" s="2">
        <v>1716.08</v>
      </c>
      <c r="Q47" s="2"/>
      <c r="R47" s="22">
        <f t="shared" si="12"/>
        <v>1.8626076159299794E-2</v>
      </c>
      <c r="S47" s="2"/>
      <c r="T47" s="2">
        <v>2158.9299999999998</v>
      </c>
      <c r="U47" s="2"/>
      <c r="V47" s="22">
        <f t="shared" si="13"/>
        <v>1.5601883675983681E-2</v>
      </c>
      <c r="W47" s="2"/>
      <c r="X47" s="2">
        <f t="shared" si="14"/>
        <v>-442.84999999999991</v>
      </c>
      <c r="Y47" s="2"/>
      <c r="Z47" s="22">
        <f t="shared" si="15"/>
        <v>-0.20512476087691586</v>
      </c>
    </row>
    <row r="48" spans="1:26" s="24" customFormat="1" hidden="1" outlineLevel="1" x14ac:dyDescent="0.25">
      <c r="A48" s="50"/>
      <c r="B48" s="11" t="str">
        <f>CONCATENATE("          ", "5502", " - ", "FREIGHT-IN-USED TEXT")</f>
        <v xml:space="preserve">          5502 - FREIGHT-IN-USED TEXT</v>
      </c>
      <c r="C48" s="11"/>
      <c r="D48" s="2">
        <v>277.49</v>
      </c>
      <c r="E48" s="2"/>
      <c r="F48" s="22">
        <f t="shared" si="8"/>
        <v>3.0118350388350775E-3</v>
      </c>
      <c r="G48" s="2"/>
      <c r="H48" s="2">
        <v>286.61</v>
      </c>
      <c r="I48" s="2"/>
      <c r="J48" s="22">
        <f t="shared" si="9"/>
        <v>2.0712370852105826E-3</v>
      </c>
      <c r="K48" s="2"/>
      <c r="L48" s="2">
        <f t="shared" si="10"/>
        <v>-9.1200000000000045</v>
      </c>
      <c r="M48" s="2"/>
      <c r="N48" s="22">
        <f t="shared" si="11"/>
        <v>-3.1820243536513047E-2</v>
      </c>
      <c r="O48" s="11"/>
      <c r="P48" s="2">
        <v>277.49</v>
      </c>
      <c r="Q48" s="2"/>
      <c r="R48" s="22">
        <f t="shared" si="12"/>
        <v>3.0118350388350775E-3</v>
      </c>
      <c r="S48" s="2"/>
      <c r="T48" s="2">
        <v>286.61</v>
      </c>
      <c r="U48" s="2"/>
      <c r="V48" s="22">
        <f t="shared" si="13"/>
        <v>2.0712370852105826E-3</v>
      </c>
      <c r="W48" s="2"/>
      <c r="X48" s="2">
        <f t="shared" si="14"/>
        <v>-9.1200000000000045</v>
      </c>
      <c r="Y48" s="2"/>
      <c r="Z48" s="22">
        <f t="shared" si="15"/>
        <v>-3.1820243536513047E-2</v>
      </c>
    </row>
    <row r="49" spans="1:26" s="24" customFormat="1" hidden="1" outlineLevel="1" x14ac:dyDescent="0.25">
      <c r="A49" s="50"/>
      <c r="B49" s="11" t="str">
        <f>CONCATENATE("          ", "5513", " - ", "FREIGHT-IN-TRADE BOOKS")</f>
        <v xml:space="preserve">          5513 - FREIGHT-IN-TRADE BOOKS</v>
      </c>
      <c r="C49" s="11"/>
      <c r="D49" s="2"/>
      <c r="E49" s="2"/>
      <c r="F49" s="22">
        <f t="shared" si="8"/>
        <v>0</v>
      </c>
      <c r="G49" s="2"/>
      <c r="H49" s="2">
        <v>7.27</v>
      </c>
      <c r="I49" s="2"/>
      <c r="J49" s="22">
        <f t="shared" si="9"/>
        <v>5.2537921250064321E-5</v>
      </c>
      <c r="K49" s="2"/>
      <c r="L49" s="2">
        <f t="shared" si="10"/>
        <v>-7.27</v>
      </c>
      <c r="M49" s="2"/>
      <c r="N49" s="22">
        <f t="shared" si="11"/>
        <v>-1</v>
      </c>
      <c r="O49" s="11"/>
      <c r="P49" s="2"/>
      <c r="Q49" s="2"/>
      <c r="R49" s="22">
        <f t="shared" si="12"/>
        <v>0</v>
      </c>
      <c r="S49" s="2"/>
      <c r="T49" s="2">
        <v>7.27</v>
      </c>
      <c r="U49" s="2"/>
      <c r="V49" s="22">
        <f t="shared" si="13"/>
        <v>5.2537921250064321E-5</v>
      </c>
      <c r="W49" s="2"/>
      <c r="X49" s="2">
        <f t="shared" si="14"/>
        <v>-7.27</v>
      </c>
      <c r="Y49" s="2"/>
      <c r="Z49" s="22">
        <f t="shared" si="15"/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5" t="s">
        <v>6</v>
      </c>
      <c r="C51" s="25"/>
      <c r="D51" s="21">
        <f>D12-D36</f>
        <v>16142.140000000014</v>
      </c>
      <c r="E51" s="13"/>
      <c r="F51" s="20">
        <f>IF(D$12=0,0,D51/D$12)</f>
        <v>0.17520437800923025</v>
      </c>
      <c r="G51" s="13"/>
      <c r="H51" s="21">
        <f>H12-H36</f>
        <v>36198.760000000068</v>
      </c>
      <c r="I51" s="13"/>
      <c r="J51" s="20">
        <f>IF(H$12=0,0,H51/H$12)</f>
        <v>0.26159664404814054</v>
      </c>
      <c r="K51" s="16"/>
      <c r="L51" s="21">
        <f>+D51-H51</f>
        <v>-20056.620000000054</v>
      </c>
      <c r="M51" s="16"/>
      <c r="N51" s="20">
        <f>IF(H51=0,0,L51/H51)</f>
        <v>-0.5540692554109593</v>
      </c>
      <c r="O51" s="26"/>
      <c r="P51" s="21">
        <f>P12-P36</f>
        <v>16142.140000000014</v>
      </c>
      <c r="Q51" s="13"/>
      <c r="R51" s="20">
        <f>IF(P$12=0,0,P51/P$12)</f>
        <v>0.17520437800923025</v>
      </c>
      <c r="S51" s="13"/>
      <c r="T51" s="21">
        <f>T12-T36</f>
        <v>36198.760000000068</v>
      </c>
      <c r="U51" s="13"/>
      <c r="V51" s="20">
        <f>IF(T$12=0,0,T51/T$12)</f>
        <v>0.26159664404814054</v>
      </c>
      <c r="W51" s="16"/>
      <c r="X51" s="21">
        <f>+P51-T51</f>
        <v>-20056.620000000054</v>
      </c>
      <c r="Y51" s="16"/>
      <c r="Z51" s="20">
        <f>IF(T51=0,0,X51/T51)</f>
        <v>-0.5540692554109593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6" t="s">
        <v>9</v>
      </c>
      <c r="C53" s="10"/>
      <c r="D53" s="19">
        <f>SUM(OSRRefD22x_0)</f>
        <v>42991.349999999991</v>
      </c>
      <c r="E53" s="19"/>
      <c r="F53" s="35">
        <f t="shared" ref="F53:F63" si="16">IF(D$12=0,0,D53/D$12)</f>
        <v>0.46662169554514538</v>
      </c>
      <c r="G53" s="19"/>
      <c r="H53" s="19">
        <f>SUM(OSRRefH22x_0)</f>
        <v>48748.44999999999</v>
      </c>
      <c r="I53" s="19"/>
      <c r="J53" s="35">
        <f t="shared" ref="J53:J63" si="17">IF(H$12=0,0,H53/H$12)</f>
        <v>0.35228916467162275</v>
      </c>
      <c r="K53" s="4"/>
      <c r="L53" s="19">
        <f t="shared" ref="L53:L63" si="18">+D53-H53</f>
        <v>-5757.0999999999985</v>
      </c>
      <c r="M53" s="4"/>
      <c r="N53" s="35">
        <f t="shared" ref="N53:N63" si="19">IF(H53=0,0,L53/H53)</f>
        <v>-0.11809811388874927</v>
      </c>
      <c r="O53" s="10"/>
      <c r="P53" s="19">
        <f>SUM(OSRRefP22x_0)</f>
        <v>42991.349999999991</v>
      </c>
      <c r="Q53" s="19"/>
      <c r="R53" s="35">
        <f t="shared" ref="R53:R63" si="20">IF(P$12=0,0,P53/P$12)</f>
        <v>0.46662169554514538</v>
      </c>
      <c r="S53" s="19"/>
      <c r="T53" s="19">
        <f>SUM(OSRRefT22x_0)</f>
        <v>48748.44999999999</v>
      </c>
      <c r="U53" s="19"/>
      <c r="V53" s="35">
        <f t="shared" ref="V53:V63" si="21">IF(T$12=0,0,T53/T$12)</f>
        <v>0.35228916467162275</v>
      </c>
      <c r="W53" s="4"/>
      <c r="X53" s="19">
        <f t="shared" ref="X53:X63" si="22">+P53-T53</f>
        <v>-5757.0999999999985</v>
      </c>
      <c r="Y53" s="4"/>
      <c r="Z53" s="35">
        <f t="shared" ref="Z53:Z63" si="23">IF(T53=0,0,X53/T53)</f>
        <v>-0.11809811388874927</v>
      </c>
    </row>
    <row r="54" spans="1:26" s="28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11226.609999999999</v>
      </c>
      <c r="E54" s="1"/>
      <c r="F54" s="5">
        <f t="shared" si="16"/>
        <v>0.12185194913451391</v>
      </c>
      <c r="G54" s="1"/>
      <c r="H54" s="1">
        <f>SUM(OSRRefH22_0x_0)</f>
        <v>11059.17</v>
      </c>
      <c r="I54" s="1"/>
      <c r="J54" s="5">
        <f t="shared" si="17"/>
        <v>7.9921018232609886E-2</v>
      </c>
      <c r="K54" s="1"/>
      <c r="L54" s="1">
        <f t="shared" si="18"/>
        <v>167.43999999999869</v>
      </c>
      <c r="M54" s="1"/>
      <c r="N54" s="5">
        <f t="shared" si="19"/>
        <v>1.5140376719048417E-2</v>
      </c>
      <c r="O54" s="14"/>
      <c r="P54" s="1">
        <f>SUM(OSRRefP22_0x_0)</f>
        <v>11226.609999999999</v>
      </c>
      <c r="Q54" s="1"/>
      <c r="R54" s="5">
        <f t="shared" si="20"/>
        <v>0.12185194913451391</v>
      </c>
      <c r="S54" s="1"/>
      <c r="T54" s="1">
        <f>SUM(OSRRefT22_0x_0)</f>
        <v>11059.17</v>
      </c>
      <c r="U54" s="1"/>
      <c r="V54" s="5">
        <f t="shared" si="21"/>
        <v>7.9921018232609886E-2</v>
      </c>
      <c r="W54" s="1"/>
      <c r="X54" s="1">
        <f t="shared" si="22"/>
        <v>167.43999999999869</v>
      </c>
      <c r="Y54" s="1"/>
      <c r="Z54" s="5">
        <f t="shared" si="23"/>
        <v>1.5140376719048417E-2</v>
      </c>
    </row>
    <row r="55" spans="1:26" s="24" customFormat="1" hidden="1" outlineLevel="2" x14ac:dyDescent="0.25">
      <c r="A55" s="29"/>
      <c r="B55" s="11" t="str">
        <f>CONCATENATE("          ", "6111", " - ", "F.I.C.A.")</f>
        <v xml:space="preserve">          6111 - F.I.C.A.</v>
      </c>
      <c r="C55" s="11"/>
      <c r="D55" s="7">
        <v>1620.75</v>
      </c>
      <c r="E55" s="2"/>
      <c r="F55" s="6">
        <f t="shared" si="16"/>
        <v>1.7591378569288808E-2</v>
      </c>
      <c r="G55" s="2"/>
      <c r="H55" s="7">
        <v>1814.76</v>
      </c>
      <c r="I55" s="2"/>
      <c r="J55" s="6">
        <f t="shared" si="17"/>
        <v>1.3114679225277403E-2</v>
      </c>
      <c r="K55" s="2"/>
      <c r="L55" s="7">
        <f t="shared" si="18"/>
        <v>-194.01</v>
      </c>
      <c r="M55" s="2"/>
      <c r="N55" s="6">
        <f t="shared" si="19"/>
        <v>-0.10690669840640084</v>
      </c>
      <c r="O55" s="11"/>
      <c r="P55" s="7">
        <v>1620.75</v>
      </c>
      <c r="Q55" s="2"/>
      <c r="R55" s="6">
        <f t="shared" si="20"/>
        <v>1.7591378569288808E-2</v>
      </c>
      <c r="S55" s="2"/>
      <c r="T55" s="7">
        <v>1814.76</v>
      </c>
      <c r="U55" s="2"/>
      <c r="V55" s="6">
        <f t="shared" si="21"/>
        <v>1.3114679225277403E-2</v>
      </c>
      <c r="W55" s="2"/>
      <c r="X55" s="7">
        <f t="shared" si="22"/>
        <v>-194.01</v>
      </c>
      <c r="Y55" s="2"/>
      <c r="Z55" s="6">
        <f t="shared" si="23"/>
        <v>-0.10690669840640084</v>
      </c>
    </row>
    <row r="56" spans="1:26" s="24" customFormat="1" hidden="1" outlineLevel="2" x14ac:dyDescent="0.2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85.11</v>
      </c>
      <c r="E56" s="2"/>
      <c r="F56" s="6">
        <f t="shared" si="16"/>
        <v>9.2377123555895146E-4</v>
      </c>
      <c r="G56" s="2"/>
      <c r="H56" s="7">
        <v>114.84</v>
      </c>
      <c r="I56" s="2"/>
      <c r="J56" s="6">
        <f t="shared" si="17"/>
        <v>8.2991126222247411E-4</v>
      </c>
      <c r="K56" s="2"/>
      <c r="L56" s="7">
        <f t="shared" si="18"/>
        <v>-29.730000000000004</v>
      </c>
      <c r="M56" s="2"/>
      <c r="N56" s="6">
        <f t="shared" si="19"/>
        <v>-0.25888192267502613</v>
      </c>
      <c r="O56" s="11"/>
      <c r="P56" s="7">
        <v>85.11</v>
      </c>
      <c r="Q56" s="2"/>
      <c r="R56" s="6">
        <f t="shared" si="20"/>
        <v>9.2377123555895146E-4</v>
      </c>
      <c r="S56" s="2"/>
      <c r="T56" s="7">
        <v>114.84</v>
      </c>
      <c r="U56" s="2"/>
      <c r="V56" s="6">
        <f t="shared" si="21"/>
        <v>8.2991126222247411E-4</v>
      </c>
      <c r="W56" s="2"/>
      <c r="X56" s="7">
        <f t="shared" si="22"/>
        <v>-29.730000000000004</v>
      </c>
      <c r="Y56" s="2"/>
      <c r="Z56" s="6">
        <f t="shared" si="23"/>
        <v>-0.25888192267502613</v>
      </c>
    </row>
    <row r="57" spans="1:26" s="24" customFormat="1" hidden="1" outlineLevel="2" x14ac:dyDescent="0.25">
      <c r="A57" s="29"/>
      <c r="B57" s="11" t="str">
        <f>CONCATENATE("          ", "6113", " - ", "GROUP INSURANCE")</f>
        <v xml:space="preserve">          6113 - GROUP INSURANCE</v>
      </c>
      <c r="C57" s="11"/>
      <c r="D57" s="7">
        <v>4168.57</v>
      </c>
      <c r="E57" s="2"/>
      <c r="F57" s="6">
        <f t="shared" si="16"/>
        <v>4.5245036534061547E-2</v>
      </c>
      <c r="G57" s="2"/>
      <c r="H57" s="7">
        <v>2109.0100000000002</v>
      </c>
      <c r="I57" s="2"/>
      <c r="J57" s="6">
        <f t="shared" si="17"/>
        <v>1.5241128101182692E-2</v>
      </c>
      <c r="K57" s="2"/>
      <c r="L57" s="7">
        <f t="shared" si="18"/>
        <v>2059.5599999999995</v>
      </c>
      <c r="M57" s="2"/>
      <c r="N57" s="6">
        <f t="shared" si="19"/>
        <v>0.9765529798341398</v>
      </c>
      <c r="O57" s="11"/>
      <c r="P57" s="7">
        <v>4168.57</v>
      </c>
      <c r="Q57" s="2"/>
      <c r="R57" s="6">
        <f t="shared" si="20"/>
        <v>4.5245036534061547E-2</v>
      </c>
      <c r="S57" s="2"/>
      <c r="T57" s="7">
        <v>2109.0100000000002</v>
      </c>
      <c r="U57" s="2"/>
      <c r="V57" s="6">
        <f t="shared" si="21"/>
        <v>1.5241128101182692E-2</v>
      </c>
      <c r="W57" s="2"/>
      <c r="X57" s="7">
        <f t="shared" si="22"/>
        <v>2059.5599999999995</v>
      </c>
      <c r="Y57" s="2"/>
      <c r="Z57" s="6">
        <f t="shared" si="23"/>
        <v>0.9765529798341398</v>
      </c>
    </row>
    <row r="58" spans="1:26" s="24" customFormat="1" hidden="1" outlineLevel="2" x14ac:dyDescent="0.2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>
        <v>55.09</v>
      </c>
      <c r="E58" s="2"/>
      <c r="F58" s="6">
        <f t="shared" si="16"/>
        <v>5.9793863666951757E-4</v>
      </c>
      <c r="G58" s="2"/>
      <c r="H58" s="7">
        <v>96.31</v>
      </c>
      <c r="I58" s="2"/>
      <c r="J58" s="6">
        <f t="shared" si="17"/>
        <v>6.9600098976529501E-4</v>
      </c>
      <c r="K58" s="2"/>
      <c r="L58" s="7">
        <f t="shared" si="18"/>
        <v>-41.22</v>
      </c>
      <c r="M58" s="2"/>
      <c r="N58" s="6">
        <f t="shared" si="19"/>
        <v>-0.42799293946630668</v>
      </c>
      <c r="O58" s="11"/>
      <c r="P58" s="7">
        <v>55.09</v>
      </c>
      <c r="Q58" s="2"/>
      <c r="R58" s="6">
        <f t="shared" si="20"/>
        <v>5.9793863666951757E-4</v>
      </c>
      <c r="S58" s="2"/>
      <c r="T58" s="7">
        <v>96.31</v>
      </c>
      <c r="U58" s="2"/>
      <c r="V58" s="6">
        <f t="shared" si="21"/>
        <v>6.9600098976529501E-4</v>
      </c>
      <c r="W58" s="2"/>
      <c r="X58" s="7">
        <f t="shared" si="22"/>
        <v>-41.22</v>
      </c>
      <c r="Y58" s="2"/>
      <c r="Z58" s="6">
        <f t="shared" si="23"/>
        <v>-0.42799293946630668</v>
      </c>
    </row>
    <row r="59" spans="1:26" s="24" customFormat="1" hidden="1" outlineLevel="2" x14ac:dyDescent="0.25">
      <c r="A59" s="29"/>
      <c r="B59" s="11" t="str">
        <f>CONCATENATE("          ", "6115", " - ", "P.E.R.S.")</f>
        <v xml:space="preserve">          6115 - P.E.R.S.</v>
      </c>
      <c r="C59" s="11"/>
      <c r="D59" s="7">
        <v>1325.86</v>
      </c>
      <c r="E59" s="2"/>
      <c r="F59" s="6">
        <f t="shared" si="16"/>
        <v>1.4390686527766318E-2</v>
      </c>
      <c r="G59" s="2"/>
      <c r="H59" s="7">
        <v>1757.95</v>
      </c>
      <c r="I59" s="2"/>
      <c r="J59" s="6">
        <f t="shared" si="17"/>
        <v>1.2704131865412733E-2</v>
      </c>
      <c r="K59" s="2"/>
      <c r="L59" s="7">
        <f t="shared" si="18"/>
        <v>-432.09000000000015</v>
      </c>
      <c r="M59" s="2"/>
      <c r="N59" s="6">
        <f t="shared" si="19"/>
        <v>-0.24579197360562025</v>
      </c>
      <c r="O59" s="11"/>
      <c r="P59" s="7">
        <v>1325.86</v>
      </c>
      <c r="Q59" s="2"/>
      <c r="R59" s="6">
        <f t="shared" si="20"/>
        <v>1.4390686527766318E-2</v>
      </c>
      <c r="S59" s="2"/>
      <c r="T59" s="7">
        <v>1757.95</v>
      </c>
      <c r="U59" s="2"/>
      <c r="V59" s="6">
        <f t="shared" si="21"/>
        <v>1.2704131865412733E-2</v>
      </c>
      <c r="W59" s="2"/>
      <c r="X59" s="7">
        <f t="shared" si="22"/>
        <v>-432.09000000000015</v>
      </c>
      <c r="Y59" s="2"/>
      <c r="Z59" s="6">
        <f t="shared" si="23"/>
        <v>-0.24579197360562025</v>
      </c>
    </row>
    <row r="60" spans="1:26" s="24" customFormat="1" hidden="1" outlineLevel="2" x14ac:dyDescent="0.25">
      <c r="A60" s="29"/>
      <c r="B60" s="11" t="str">
        <f>CONCATENATE("          ", "6117", " - ", "RETIREMENT STAFF HOURLY")</f>
        <v xml:space="preserve">          6117 - RETIREMENT STAFF HOURLY</v>
      </c>
      <c r="C60" s="11"/>
      <c r="D60" s="7">
        <v>220.69</v>
      </c>
      <c r="E60" s="2"/>
      <c r="F60" s="6">
        <f t="shared" si="16"/>
        <v>2.3953363174186934E-3</v>
      </c>
      <c r="G60" s="2"/>
      <c r="H60" s="7">
        <v>232.52</v>
      </c>
      <c r="I60" s="2"/>
      <c r="J60" s="6">
        <f t="shared" si="17"/>
        <v>1.6803462791010943E-3</v>
      </c>
      <c r="K60" s="2"/>
      <c r="L60" s="7">
        <f t="shared" si="18"/>
        <v>-11.830000000000013</v>
      </c>
      <c r="M60" s="2"/>
      <c r="N60" s="6">
        <f t="shared" si="19"/>
        <v>-5.0877343884397096E-2</v>
      </c>
      <c r="O60" s="11"/>
      <c r="P60" s="7">
        <v>220.69</v>
      </c>
      <c r="Q60" s="2"/>
      <c r="R60" s="6">
        <f t="shared" si="20"/>
        <v>2.3953363174186934E-3</v>
      </c>
      <c r="S60" s="2"/>
      <c r="T60" s="7">
        <v>232.52</v>
      </c>
      <c r="U60" s="2"/>
      <c r="V60" s="6">
        <f t="shared" si="21"/>
        <v>1.6803462791010943E-3</v>
      </c>
      <c r="W60" s="2"/>
      <c r="X60" s="7">
        <f t="shared" si="22"/>
        <v>-11.830000000000013</v>
      </c>
      <c r="Y60" s="2"/>
      <c r="Z60" s="6">
        <f t="shared" si="23"/>
        <v>-5.0877343884397096E-2</v>
      </c>
    </row>
    <row r="61" spans="1:26" s="24" customFormat="1" hidden="1" outlineLevel="2" x14ac:dyDescent="0.25">
      <c r="A61" s="29"/>
      <c r="B61" s="11" t="str">
        <f>CONCATENATE("          ", "6118", " - ", "VACATION")</f>
        <v xml:space="preserve">          6118 - VACATION</v>
      </c>
      <c r="C61" s="11"/>
      <c r="D61" s="7">
        <v>1479.92</v>
      </c>
      <c r="E61" s="2"/>
      <c r="F61" s="6">
        <f t="shared" si="16"/>
        <v>1.6062830771100971E-2</v>
      </c>
      <c r="G61" s="2"/>
      <c r="H61" s="7">
        <v>2104.09</v>
      </c>
      <c r="I61" s="2"/>
      <c r="J61" s="6">
        <f t="shared" si="17"/>
        <v>1.5205572864243171E-2</v>
      </c>
      <c r="K61" s="2"/>
      <c r="L61" s="7">
        <f t="shared" si="18"/>
        <v>-624.17000000000007</v>
      </c>
      <c r="M61" s="2"/>
      <c r="N61" s="6">
        <f t="shared" si="19"/>
        <v>-0.29664605601471422</v>
      </c>
      <c r="O61" s="11"/>
      <c r="P61" s="7">
        <v>1479.92</v>
      </c>
      <c r="Q61" s="2"/>
      <c r="R61" s="6">
        <f t="shared" si="20"/>
        <v>1.6062830771100971E-2</v>
      </c>
      <c r="S61" s="2"/>
      <c r="T61" s="7">
        <v>2104.09</v>
      </c>
      <c r="U61" s="2"/>
      <c r="V61" s="6">
        <f t="shared" si="21"/>
        <v>1.5205572864243171E-2</v>
      </c>
      <c r="W61" s="2"/>
      <c r="X61" s="7">
        <f t="shared" si="22"/>
        <v>-624.17000000000007</v>
      </c>
      <c r="Y61" s="2"/>
      <c r="Z61" s="6">
        <f t="shared" si="23"/>
        <v>-0.29664605601471422</v>
      </c>
    </row>
    <row r="62" spans="1:26" s="24" customFormat="1" hidden="1" outlineLevel="2" x14ac:dyDescent="0.25">
      <c r="A62" s="29"/>
      <c r="B62" s="11" t="str">
        <f>CONCATENATE("          ", "6119", " - ", "SICK LEAVE")</f>
        <v xml:space="preserve">          6119 - SICK LEAVE</v>
      </c>
      <c r="C62" s="11"/>
      <c r="D62" s="7">
        <v>1710.54</v>
      </c>
      <c r="E62" s="2"/>
      <c r="F62" s="6">
        <f t="shared" si="16"/>
        <v>1.8565945826260238E-2</v>
      </c>
      <c r="G62" s="2"/>
      <c r="H62" s="7">
        <v>2118.58</v>
      </c>
      <c r="I62" s="2"/>
      <c r="J62" s="6">
        <f t="shared" si="17"/>
        <v>1.5310287373034562E-2</v>
      </c>
      <c r="K62" s="2"/>
      <c r="L62" s="7">
        <f t="shared" si="18"/>
        <v>-408.03999999999996</v>
      </c>
      <c r="M62" s="2"/>
      <c r="N62" s="6">
        <f t="shared" si="19"/>
        <v>-0.19260070424529638</v>
      </c>
      <c r="O62" s="11"/>
      <c r="P62" s="7">
        <v>1710.54</v>
      </c>
      <c r="Q62" s="2"/>
      <c r="R62" s="6">
        <f t="shared" si="20"/>
        <v>1.8565945826260238E-2</v>
      </c>
      <c r="S62" s="2"/>
      <c r="T62" s="7">
        <v>2118.58</v>
      </c>
      <c r="U62" s="2"/>
      <c r="V62" s="6">
        <f t="shared" si="21"/>
        <v>1.5310287373034562E-2</v>
      </c>
      <c r="W62" s="2"/>
      <c r="X62" s="7">
        <f t="shared" si="22"/>
        <v>-408.03999999999996</v>
      </c>
      <c r="Y62" s="2"/>
      <c r="Z62" s="6">
        <f t="shared" si="23"/>
        <v>-0.19260070424529638</v>
      </c>
    </row>
    <row r="63" spans="1:26" s="24" customFormat="1" hidden="1" outlineLevel="2" x14ac:dyDescent="0.25">
      <c r="A63" s="29"/>
      <c r="B63" s="11" t="str">
        <f>CONCATENATE("          ", "6156", " - ", "EMPLOYEE MEALS")</f>
        <v xml:space="preserve">          6156 - EMPLOYEE MEALS</v>
      </c>
      <c r="C63" s="11"/>
      <c r="D63" s="7">
        <v>560.08000000000004</v>
      </c>
      <c r="E63" s="2"/>
      <c r="F63" s="6">
        <f t="shared" si="16"/>
        <v>6.0790247163888802E-3</v>
      </c>
      <c r="G63" s="2"/>
      <c r="H63" s="7">
        <v>711.11</v>
      </c>
      <c r="I63" s="2"/>
      <c r="J63" s="6">
        <f t="shared" si="17"/>
        <v>5.1389602723704592E-3</v>
      </c>
      <c r="K63" s="2"/>
      <c r="L63" s="7">
        <f t="shared" si="18"/>
        <v>-151.02999999999997</v>
      </c>
      <c r="M63" s="2"/>
      <c r="N63" s="6">
        <f t="shared" si="19"/>
        <v>-0.21238626935354582</v>
      </c>
      <c r="O63" s="11"/>
      <c r="P63" s="7">
        <v>560.08000000000004</v>
      </c>
      <c r="Q63" s="2"/>
      <c r="R63" s="6">
        <f t="shared" si="20"/>
        <v>6.0790247163888802E-3</v>
      </c>
      <c r="S63" s="2"/>
      <c r="T63" s="7">
        <v>711.11</v>
      </c>
      <c r="U63" s="2"/>
      <c r="V63" s="6">
        <f t="shared" si="21"/>
        <v>5.1389602723704592E-3</v>
      </c>
      <c r="W63" s="2"/>
      <c r="X63" s="7">
        <f t="shared" si="22"/>
        <v>-151.02999999999997</v>
      </c>
      <c r="Y63" s="2"/>
      <c r="Z63" s="6">
        <f t="shared" si="23"/>
        <v>-0.21238626935354582</v>
      </c>
    </row>
    <row r="64" spans="1:26" s="28" customFormat="1" outlineLevel="1" collapsed="1" x14ac:dyDescent="0.25">
      <c r="A64" s="27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26073.31</v>
      </c>
      <c r="E64" s="1"/>
      <c r="F64" s="5">
        <f t="shared" ref="F64:F69" si="24">IF(D$12=0,0,D64/D$12)</f>
        <v>0.28299581475515884</v>
      </c>
      <c r="G64" s="1"/>
      <c r="H64" s="1">
        <f>SUM(OSRRefH22_1x_0)</f>
        <v>27984.6</v>
      </c>
      <c r="I64" s="1"/>
      <c r="J64" s="5">
        <f t="shared" ref="J64:J69" si="25">IF(H$12=0,0,H64/H$12)</f>
        <v>0.2022355861092916</v>
      </c>
      <c r="K64" s="1"/>
      <c r="L64" s="1">
        <f t="shared" ref="L64:L69" si="26">+D64-H64</f>
        <v>-1911.2899999999972</v>
      </c>
      <c r="M64" s="1"/>
      <c r="N64" s="5">
        <f t="shared" ref="N64:N69" si="27">IF(H64=0,0,L64/H64)</f>
        <v>-6.8297920999406722E-2</v>
      </c>
      <c r="O64" s="14"/>
      <c r="P64" s="1">
        <f>SUM(OSRRefP22_1x_0)</f>
        <v>26073.31</v>
      </c>
      <c r="Q64" s="1"/>
      <c r="R64" s="5">
        <f t="shared" ref="R64:R69" si="28">IF(P$12=0,0,P64/P$12)</f>
        <v>0.28299581475515884</v>
      </c>
      <c r="S64" s="1"/>
      <c r="T64" s="1">
        <f>SUM(OSRRefT22_1x_0)</f>
        <v>27984.6</v>
      </c>
      <c r="U64" s="1"/>
      <c r="V64" s="5">
        <f t="shared" ref="V64:V69" si="29">IF(T$12=0,0,T64/T$12)</f>
        <v>0.2022355861092916</v>
      </c>
      <c r="W64" s="1"/>
      <c r="X64" s="1">
        <f t="shared" ref="X64:X69" si="30">+P64-T64</f>
        <v>-1911.2899999999972</v>
      </c>
      <c r="Y64" s="1"/>
      <c r="Z64" s="5">
        <f t="shared" ref="Z64:Z69" si="31">IF(T64=0,0,X64/T64)</f>
        <v>-6.8297920999406722E-2</v>
      </c>
    </row>
    <row r="65" spans="1:26" s="24" customFormat="1" hidden="1" outlineLevel="2" x14ac:dyDescent="0.25">
      <c r="A65" s="29"/>
      <c r="B65" s="11" t="str">
        <f>CONCATENATE("          ", "6002", " - ", "STAFF SALARIES")</f>
        <v xml:space="preserve">          6002 - STAFF SALARIES</v>
      </c>
      <c r="C65" s="11"/>
      <c r="D65" s="7">
        <v>17629.36</v>
      </c>
      <c r="E65" s="2"/>
      <c r="F65" s="6">
        <f t="shared" si="24"/>
        <v>0.19134644189065395</v>
      </c>
      <c r="G65" s="2"/>
      <c r="H65" s="7">
        <v>15395.6</v>
      </c>
      <c r="I65" s="2"/>
      <c r="J65" s="6">
        <f t="shared" si="25"/>
        <v>0.11125898492400141</v>
      </c>
      <c r="K65" s="2"/>
      <c r="L65" s="7">
        <f t="shared" si="26"/>
        <v>2233.7600000000002</v>
      </c>
      <c r="M65" s="2"/>
      <c r="N65" s="6">
        <f t="shared" si="27"/>
        <v>0.14509080516511211</v>
      </c>
      <c r="O65" s="11"/>
      <c r="P65" s="7">
        <v>17629.36</v>
      </c>
      <c r="Q65" s="2"/>
      <c r="R65" s="6">
        <f t="shared" si="28"/>
        <v>0.19134644189065395</v>
      </c>
      <c r="S65" s="2"/>
      <c r="T65" s="7">
        <v>15395.6</v>
      </c>
      <c r="U65" s="2"/>
      <c r="V65" s="6">
        <f t="shared" si="29"/>
        <v>0.11125898492400141</v>
      </c>
      <c r="W65" s="2"/>
      <c r="X65" s="7">
        <f t="shared" si="30"/>
        <v>2233.7600000000002</v>
      </c>
      <c r="Y65" s="2"/>
      <c r="Z65" s="6">
        <f t="shared" si="31"/>
        <v>0.14509080516511211</v>
      </c>
    </row>
    <row r="66" spans="1:26" s="24" customFormat="1" hidden="1" outlineLevel="2" x14ac:dyDescent="0.25">
      <c r="A66" s="29"/>
      <c r="B66" s="11" t="str">
        <f>CONCATENATE("          ", "6004", " - ", "STAFF HOURLY")</f>
        <v xml:space="preserve">          6004 - STAFF HOURLY</v>
      </c>
      <c r="C66" s="11"/>
      <c r="D66" s="7">
        <v>2005.93</v>
      </c>
      <c r="E66" s="2"/>
      <c r="F66" s="6">
        <f t="shared" si="24"/>
        <v>2.1772064793147312E-2</v>
      </c>
      <c r="G66" s="2"/>
      <c r="H66" s="7">
        <v>5369.04</v>
      </c>
      <c r="I66" s="2"/>
      <c r="J66" s="6">
        <f t="shared" si="25"/>
        <v>3.8800302710927832E-2</v>
      </c>
      <c r="K66" s="2"/>
      <c r="L66" s="7">
        <f t="shared" si="26"/>
        <v>-3363.1099999999997</v>
      </c>
      <c r="M66" s="2"/>
      <c r="N66" s="6">
        <f t="shared" si="27"/>
        <v>-0.62638944764799664</v>
      </c>
      <c r="O66" s="11"/>
      <c r="P66" s="7">
        <v>2005.93</v>
      </c>
      <c r="Q66" s="2"/>
      <c r="R66" s="6">
        <f t="shared" si="28"/>
        <v>2.1772064793147312E-2</v>
      </c>
      <c r="S66" s="2"/>
      <c r="T66" s="7">
        <v>5369.04</v>
      </c>
      <c r="U66" s="2"/>
      <c r="V66" s="6">
        <f t="shared" si="29"/>
        <v>3.8800302710927832E-2</v>
      </c>
      <c r="W66" s="2"/>
      <c r="X66" s="7">
        <f t="shared" si="30"/>
        <v>-3363.1099999999997</v>
      </c>
      <c r="Y66" s="2"/>
      <c r="Z66" s="6">
        <f t="shared" si="31"/>
        <v>-0.62638944764799664</v>
      </c>
    </row>
    <row r="67" spans="1:26" s="24" customFormat="1" hidden="1" outlineLevel="2" x14ac:dyDescent="0.25">
      <c r="A67" s="29"/>
      <c r="B67" s="11" t="str">
        <f>CONCATENATE("          ", "6005", " - ", "TEMPORARY WAGES-HOURLY")</f>
        <v xml:space="preserve">          6005 - TEMPORARY WAGES-HOURLY</v>
      </c>
      <c r="C67" s="11"/>
      <c r="D67" s="7">
        <v>1192.4000000000001</v>
      </c>
      <c r="E67" s="2"/>
      <c r="F67" s="6">
        <f t="shared" si="24"/>
        <v>1.2942131609452401E-2</v>
      </c>
      <c r="G67" s="2"/>
      <c r="H67" s="7">
        <v>2412.16</v>
      </c>
      <c r="I67" s="2"/>
      <c r="J67" s="6">
        <f t="shared" si="25"/>
        <v>1.7431894377242799E-2</v>
      </c>
      <c r="K67" s="2"/>
      <c r="L67" s="7">
        <f t="shared" si="26"/>
        <v>-1219.7599999999998</v>
      </c>
      <c r="M67" s="2"/>
      <c r="N67" s="6">
        <f t="shared" si="27"/>
        <v>-0.50567126558768893</v>
      </c>
      <c r="O67" s="11"/>
      <c r="P67" s="7">
        <v>1192.4000000000001</v>
      </c>
      <c r="Q67" s="2"/>
      <c r="R67" s="6">
        <f t="shared" si="28"/>
        <v>1.2942131609452401E-2</v>
      </c>
      <c r="S67" s="2"/>
      <c r="T67" s="7">
        <v>2412.16</v>
      </c>
      <c r="U67" s="2"/>
      <c r="V67" s="6">
        <f t="shared" si="29"/>
        <v>1.7431894377242799E-2</v>
      </c>
      <c r="W67" s="2"/>
      <c r="X67" s="7">
        <f t="shared" si="30"/>
        <v>-1219.7599999999998</v>
      </c>
      <c r="Y67" s="2"/>
      <c r="Z67" s="6">
        <f t="shared" si="31"/>
        <v>-0.50567126558768893</v>
      </c>
    </row>
    <row r="68" spans="1:26" s="24" customFormat="1" hidden="1" outlineLevel="2" x14ac:dyDescent="0.25">
      <c r="A68" s="29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6">
        <f t="shared" si="24"/>
        <v>0</v>
      </c>
      <c r="G68" s="2"/>
      <c r="H68" s="7">
        <v>984.06</v>
      </c>
      <c r="I68" s="2"/>
      <c r="J68" s="6">
        <f t="shared" si="25"/>
        <v>7.111480988354648E-3</v>
      </c>
      <c r="K68" s="2"/>
      <c r="L68" s="7">
        <f t="shared" si="26"/>
        <v>-984.06</v>
      </c>
      <c r="M68" s="2"/>
      <c r="N68" s="6">
        <f t="shared" si="27"/>
        <v>-1</v>
      </c>
      <c r="O68" s="11"/>
      <c r="P68" s="7"/>
      <c r="Q68" s="2"/>
      <c r="R68" s="6">
        <f t="shared" si="28"/>
        <v>0</v>
      </c>
      <c r="S68" s="2"/>
      <c r="T68" s="7">
        <v>984.06</v>
      </c>
      <c r="U68" s="2"/>
      <c r="V68" s="6">
        <f t="shared" si="29"/>
        <v>7.111480988354648E-3</v>
      </c>
      <c r="W68" s="2"/>
      <c r="X68" s="7">
        <f t="shared" si="30"/>
        <v>-984.06</v>
      </c>
      <c r="Y68" s="2"/>
      <c r="Z68" s="6">
        <f t="shared" si="31"/>
        <v>-1</v>
      </c>
    </row>
    <row r="69" spans="1:26" s="24" customFormat="1" hidden="1" outlineLevel="2" x14ac:dyDescent="0.25">
      <c r="A69" s="29"/>
      <c r="B69" s="11" t="str">
        <f>CONCATENATE("          ", "6007", " - ", "STUDENT HOURLY")</f>
        <v xml:space="preserve">          6007 - STUDENT HOURLY</v>
      </c>
      <c r="C69" s="11"/>
      <c r="D69" s="7">
        <v>5245.62</v>
      </c>
      <c r="E69" s="2"/>
      <c r="F69" s="6">
        <f t="shared" si="24"/>
        <v>5.6935176461905143E-2</v>
      </c>
      <c r="G69" s="2"/>
      <c r="H69" s="7">
        <v>3823.74</v>
      </c>
      <c r="I69" s="2"/>
      <c r="J69" s="6">
        <f t="shared" si="25"/>
        <v>2.7632923108764914E-2</v>
      </c>
      <c r="K69" s="2"/>
      <c r="L69" s="7">
        <f t="shared" si="26"/>
        <v>1421.88</v>
      </c>
      <c r="M69" s="2"/>
      <c r="N69" s="6">
        <f t="shared" si="27"/>
        <v>0.3718558270175274</v>
      </c>
      <c r="O69" s="11"/>
      <c r="P69" s="7">
        <v>5245.62</v>
      </c>
      <c r="Q69" s="2"/>
      <c r="R69" s="6">
        <f t="shared" si="28"/>
        <v>5.6935176461905143E-2</v>
      </c>
      <c r="S69" s="2"/>
      <c r="T69" s="7">
        <v>3823.74</v>
      </c>
      <c r="U69" s="2"/>
      <c r="V69" s="6">
        <f t="shared" si="29"/>
        <v>2.7632923108764914E-2</v>
      </c>
      <c r="W69" s="2"/>
      <c r="X69" s="7">
        <f t="shared" si="30"/>
        <v>1421.88</v>
      </c>
      <c r="Y69" s="2"/>
      <c r="Z69" s="6">
        <f t="shared" si="31"/>
        <v>0.3718558270175274</v>
      </c>
    </row>
    <row r="70" spans="1:26" s="28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91</v>
      </c>
      <c r="E70" s="1"/>
      <c r="F70" s="5">
        <f t="shared" ref="F70:F74" si="32">IF(D$12=0,0,D70/D$12)</f>
        <v>9.8770041635371387E-4</v>
      </c>
      <c r="G70" s="1"/>
      <c r="H70" s="1">
        <f>SUM(OSRRefH22_2x_0)</f>
        <v>481.14</v>
      </c>
      <c r="I70" s="1"/>
      <c r="J70" s="5">
        <f t="shared" ref="J70:J74" si="33">IF(H$12=0,0,H70/H$12)</f>
        <v>3.4770420124148483E-3</v>
      </c>
      <c r="K70" s="1"/>
      <c r="L70" s="1">
        <f t="shared" ref="L70:L74" si="34">+D70-H70</f>
        <v>-390.14</v>
      </c>
      <c r="M70" s="1"/>
      <c r="N70" s="5">
        <f t="shared" ref="N70:N74" si="35">IF(H70=0,0,L70/H70)</f>
        <v>-0.81086586024857632</v>
      </c>
      <c r="O70" s="14"/>
      <c r="P70" s="1">
        <f>SUM(OSRRefP22_2x_0)</f>
        <v>91</v>
      </c>
      <c r="Q70" s="1"/>
      <c r="R70" s="5">
        <f t="shared" ref="R70:R74" si="36">IF(P$12=0,0,P70/P$12)</f>
        <v>9.8770041635371387E-4</v>
      </c>
      <c r="S70" s="1"/>
      <c r="T70" s="1">
        <f>SUM(OSRRefT22_2x_0)</f>
        <v>481.14</v>
      </c>
      <c r="U70" s="1"/>
      <c r="V70" s="5">
        <f t="shared" ref="V70:V74" si="37">IF(T$12=0,0,T70/T$12)</f>
        <v>3.4770420124148483E-3</v>
      </c>
      <c r="W70" s="1"/>
      <c r="X70" s="1">
        <f t="shared" ref="X70:X74" si="38">+P70-T70</f>
        <v>-390.14</v>
      </c>
      <c r="Y70" s="1"/>
      <c r="Z70" s="5">
        <f t="shared" ref="Z70:Z74" si="39">IF(T70=0,0,X70/T70)</f>
        <v>-0.81086586024857632</v>
      </c>
    </row>
    <row r="71" spans="1:26" s="24" customFormat="1" hidden="1" outlineLevel="2" x14ac:dyDescent="0.25">
      <c r="A71" s="29"/>
      <c r="B71" s="11" t="str">
        <f>CONCATENATE("          ", "6362", " - ", "ADVERTISING EXPENSE")</f>
        <v xml:space="preserve">          6362 - ADVERTISING EXPENSE</v>
      </c>
      <c r="C71" s="11"/>
      <c r="D71" s="7">
        <v>91</v>
      </c>
      <c r="E71" s="2"/>
      <c r="F71" s="6">
        <f t="shared" si="32"/>
        <v>9.8770041635371387E-4</v>
      </c>
      <c r="G71" s="2"/>
      <c r="H71" s="7">
        <v>481.14</v>
      </c>
      <c r="I71" s="2"/>
      <c r="J71" s="6">
        <f t="shared" si="33"/>
        <v>3.4770420124148483E-3</v>
      </c>
      <c r="K71" s="2"/>
      <c r="L71" s="7">
        <f t="shared" si="34"/>
        <v>-390.14</v>
      </c>
      <c r="M71" s="2"/>
      <c r="N71" s="6">
        <f t="shared" si="35"/>
        <v>-0.81086586024857632</v>
      </c>
      <c r="O71" s="11"/>
      <c r="P71" s="7">
        <v>91</v>
      </c>
      <c r="Q71" s="2"/>
      <c r="R71" s="6">
        <f t="shared" si="36"/>
        <v>9.8770041635371387E-4</v>
      </c>
      <c r="S71" s="2"/>
      <c r="T71" s="7">
        <v>481.14</v>
      </c>
      <c r="U71" s="2"/>
      <c r="V71" s="6">
        <f t="shared" si="37"/>
        <v>3.4770420124148483E-3</v>
      </c>
      <c r="W71" s="2"/>
      <c r="X71" s="7">
        <f t="shared" si="38"/>
        <v>-390.14</v>
      </c>
      <c r="Y71" s="2"/>
      <c r="Z71" s="6">
        <f t="shared" si="39"/>
        <v>-0.81086586024857632</v>
      </c>
    </row>
    <row r="72" spans="1:26" s="28" customFormat="1" outlineLevel="1" collapsed="1" x14ac:dyDescent="0.25">
      <c r="A72" s="27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SUM(OSRRefD22_3x_0)</f>
        <v>2508.91</v>
      </c>
      <c r="E72" s="1"/>
      <c r="F72" s="5">
        <f t="shared" si="32"/>
        <v>2.7231334632901057E-2</v>
      </c>
      <c r="G72" s="1"/>
      <c r="H72" s="1">
        <f>SUM(OSRRefH22_3x_0)</f>
        <v>1912.2399999999998</v>
      </c>
      <c r="I72" s="1"/>
      <c r="J72" s="5">
        <f t="shared" si="33"/>
        <v>1.3819135423827096E-2</v>
      </c>
      <c r="K72" s="1"/>
      <c r="L72" s="1">
        <f t="shared" si="34"/>
        <v>596.67000000000007</v>
      </c>
      <c r="M72" s="1"/>
      <c r="N72" s="5">
        <f t="shared" si="35"/>
        <v>0.31202673304606121</v>
      </c>
      <c r="O72" s="14"/>
      <c r="P72" s="1">
        <f>SUM(OSRRefP22_3x_0)</f>
        <v>2508.91</v>
      </c>
      <c r="Q72" s="1"/>
      <c r="R72" s="5">
        <f t="shared" si="36"/>
        <v>2.7231334632901057E-2</v>
      </c>
      <c r="S72" s="1"/>
      <c r="T72" s="1">
        <f>SUM(OSRRefT22_3x_0)</f>
        <v>1912.2399999999998</v>
      </c>
      <c r="U72" s="1"/>
      <c r="V72" s="5">
        <f t="shared" si="37"/>
        <v>1.3819135423827096E-2</v>
      </c>
      <c r="W72" s="1"/>
      <c r="X72" s="1">
        <f t="shared" si="38"/>
        <v>596.67000000000007</v>
      </c>
      <c r="Y72" s="1"/>
      <c r="Z72" s="5">
        <f t="shared" si="39"/>
        <v>0.31202673304606121</v>
      </c>
    </row>
    <row r="73" spans="1:26" s="24" customFormat="1" hidden="1" outlineLevel="2" x14ac:dyDescent="0.25">
      <c r="A73" s="29"/>
      <c r="B73" s="11" t="str">
        <f>CONCATENATE("          ", "6382", " - ", "DISCOUNTS/MARK DOWNS")</f>
        <v xml:space="preserve">          6382 - DISCOUNTS/MARK DOWNS</v>
      </c>
      <c r="C73" s="11"/>
      <c r="D73" s="7">
        <v>2508.91</v>
      </c>
      <c r="E73" s="2"/>
      <c r="F73" s="6">
        <f t="shared" si="32"/>
        <v>2.7231334632901057E-2</v>
      </c>
      <c r="G73" s="2"/>
      <c r="H73" s="7">
        <v>2612.6999999999998</v>
      </c>
      <c r="I73" s="2"/>
      <c r="J73" s="6">
        <f t="shared" si="33"/>
        <v>1.8881131616237008E-2</v>
      </c>
      <c r="K73" s="2"/>
      <c r="L73" s="7">
        <f t="shared" si="34"/>
        <v>-103.78999999999996</v>
      </c>
      <c r="M73" s="2"/>
      <c r="N73" s="6">
        <f t="shared" si="35"/>
        <v>-3.97251885023156E-2</v>
      </c>
      <c r="O73" s="11"/>
      <c r="P73" s="7">
        <v>2508.91</v>
      </c>
      <c r="Q73" s="2"/>
      <c r="R73" s="6">
        <f t="shared" si="36"/>
        <v>2.7231334632901057E-2</v>
      </c>
      <c r="S73" s="2"/>
      <c r="T73" s="7">
        <v>2612.6999999999998</v>
      </c>
      <c r="U73" s="2"/>
      <c r="V73" s="6">
        <f t="shared" si="37"/>
        <v>1.8881131616237008E-2</v>
      </c>
      <c r="W73" s="2"/>
      <c r="X73" s="7">
        <f t="shared" si="38"/>
        <v>-103.78999999999996</v>
      </c>
      <c r="Y73" s="2"/>
      <c r="Z73" s="6">
        <f t="shared" si="39"/>
        <v>-3.97251885023156E-2</v>
      </c>
    </row>
    <row r="74" spans="1:26" s="24" customFormat="1" hidden="1" outlineLevel="2" x14ac:dyDescent="0.25">
      <c r="A74" s="29"/>
      <c r="B74" s="11" t="str">
        <f>CONCATENATE("          ", "9175", " - ", "EARNED DISCOUNTS")</f>
        <v xml:space="preserve">          9175 - EARNED DISCOUNTS</v>
      </c>
      <c r="C74" s="11"/>
      <c r="D74" s="7"/>
      <c r="E74" s="2"/>
      <c r="F74" s="6">
        <f t="shared" si="32"/>
        <v>0</v>
      </c>
      <c r="G74" s="2"/>
      <c r="H74" s="7">
        <v>-700.46</v>
      </c>
      <c r="I74" s="2"/>
      <c r="J74" s="6">
        <f t="shared" si="33"/>
        <v>-5.0619961924099118E-3</v>
      </c>
      <c r="K74" s="2"/>
      <c r="L74" s="7">
        <f t="shared" si="34"/>
        <v>700.46</v>
      </c>
      <c r="M74" s="2"/>
      <c r="N74" s="6">
        <f t="shared" si="35"/>
        <v>-1</v>
      </c>
      <c r="O74" s="11"/>
      <c r="P74" s="7"/>
      <c r="Q74" s="2"/>
      <c r="R74" s="6">
        <f t="shared" si="36"/>
        <v>0</v>
      </c>
      <c r="S74" s="2"/>
      <c r="T74" s="7">
        <v>-700.46</v>
      </c>
      <c r="U74" s="2"/>
      <c r="V74" s="6">
        <f t="shared" si="37"/>
        <v>-5.0619961924099118E-3</v>
      </c>
      <c r="W74" s="2"/>
      <c r="X74" s="7">
        <f t="shared" si="38"/>
        <v>700.46</v>
      </c>
      <c r="Y74" s="2"/>
      <c r="Z74" s="6">
        <f t="shared" si="39"/>
        <v>-1</v>
      </c>
    </row>
    <row r="75" spans="1:26" s="28" customFormat="1" outlineLevel="1" collapsed="1" x14ac:dyDescent="0.25">
      <c r="A75" s="27"/>
      <c r="B75" s="14" t="str">
        <f>CONCATENATE("     ","Equipment Rental                                  ")</f>
        <v xml:space="preserve">     Equipment Rental                                  </v>
      </c>
      <c r="C75" s="14"/>
      <c r="D75" s="1">
        <f>SUM(OSRRefD22_4x_0)</f>
        <v>91.26</v>
      </c>
      <c r="E75" s="1"/>
      <c r="F75" s="5">
        <f t="shared" ref="F75:F85" si="40">IF(D$12=0,0,D75/D$12)</f>
        <v>9.9052241754329592E-4</v>
      </c>
      <c r="G75" s="1"/>
      <c r="H75" s="1">
        <f>SUM(OSRRefH22_4x_0)</f>
        <v>91.26</v>
      </c>
      <c r="I75" s="1"/>
      <c r="J75" s="5">
        <f t="shared" ref="J75:J85" si="41">IF(H$12=0,0,H75/H$12)</f>
        <v>6.5950628518306328E-4</v>
      </c>
      <c r="K75" s="1"/>
      <c r="L75" s="1">
        <f t="shared" ref="L75:L85" si="42">+D75-H75</f>
        <v>0</v>
      </c>
      <c r="M75" s="1"/>
      <c r="N75" s="5">
        <f t="shared" ref="N75:N85" si="43">IF(H75=0,0,L75/H75)</f>
        <v>0</v>
      </c>
      <c r="O75" s="14"/>
      <c r="P75" s="1">
        <f>SUM(OSRRefP22_4x_0)</f>
        <v>91.26</v>
      </c>
      <c r="Q75" s="1"/>
      <c r="R75" s="5">
        <f t="shared" ref="R75:R85" si="44">IF(P$12=0,0,P75/P$12)</f>
        <v>9.9052241754329592E-4</v>
      </c>
      <c r="S75" s="1"/>
      <c r="T75" s="1">
        <f>SUM(OSRRefT22_4x_0)</f>
        <v>91.26</v>
      </c>
      <c r="U75" s="1"/>
      <c r="V75" s="5">
        <f t="shared" ref="V75:V85" si="45">IF(T$12=0,0,T75/T$12)</f>
        <v>6.5950628518306328E-4</v>
      </c>
      <c r="W75" s="1"/>
      <c r="X75" s="1">
        <f t="shared" ref="X75:X85" si="46">+P75-T75</f>
        <v>0</v>
      </c>
      <c r="Y75" s="1"/>
      <c r="Z75" s="5">
        <f t="shared" ref="Z75:Z85" si="47">IF(T75=0,0,X75/T75)</f>
        <v>0</v>
      </c>
    </row>
    <row r="76" spans="1:26" s="24" customFormat="1" hidden="1" outlineLevel="2" x14ac:dyDescent="0.25">
      <c r="A76" s="29"/>
      <c r="B76" s="11" t="str">
        <f>CONCATENATE("          ", "6351", " - ", "EQUIPMENT RENTAL")</f>
        <v xml:space="preserve">          6351 - EQUIPMENT RENTAL</v>
      </c>
      <c r="C76" s="11"/>
      <c r="D76" s="7">
        <v>91.26</v>
      </c>
      <c r="E76" s="2"/>
      <c r="F76" s="6">
        <f t="shared" si="40"/>
        <v>9.9052241754329592E-4</v>
      </c>
      <c r="G76" s="2"/>
      <c r="H76" s="7">
        <v>91.26</v>
      </c>
      <c r="I76" s="2"/>
      <c r="J76" s="6">
        <f t="shared" si="41"/>
        <v>6.5950628518306328E-4</v>
      </c>
      <c r="K76" s="2"/>
      <c r="L76" s="7">
        <f t="shared" si="42"/>
        <v>0</v>
      </c>
      <c r="M76" s="2"/>
      <c r="N76" s="6">
        <f t="shared" si="43"/>
        <v>0</v>
      </c>
      <c r="O76" s="11"/>
      <c r="P76" s="7">
        <v>91.26</v>
      </c>
      <c r="Q76" s="2"/>
      <c r="R76" s="6">
        <f t="shared" si="44"/>
        <v>9.9052241754329592E-4</v>
      </c>
      <c r="S76" s="2"/>
      <c r="T76" s="7">
        <v>91.26</v>
      </c>
      <c r="U76" s="2"/>
      <c r="V76" s="6">
        <f t="shared" si="45"/>
        <v>6.5950628518306328E-4</v>
      </c>
      <c r="W76" s="2"/>
      <c r="X76" s="7">
        <f t="shared" si="46"/>
        <v>0</v>
      </c>
      <c r="Y76" s="2"/>
      <c r="Z76" s="6">
        <f t="shared" si="47"/>
        <v>0</v>
      </c>
    </row>
    <row r="77" spans="1:26" s="28" customFormat="1" outlineLevel="1" collapsed="1" x14ac:dyDescent="0.25">
      <c r="A77" s="27"/>
      <c r="B77" s="14" t="str">
        <f>CONCATENATE("     ","Freight out/Postage                               ")</f>
        <v xml:space="preserve">     Freight out/Postage                               </v>
      </c>
      <c r="C77" s="14"/>
      <c r="D77" s="1">
        <f>SUM(OSRRefD22_5x_0)</f>
        <v>364.59</v>
      </c>
      <c r="E77" s="1"/>
      <c r="F77" s="5">
        <f t="shared" si="40"/>
        <v>3.9572054373450604E-3</v>
      </c>
      <c r="G77" s="1"/>
      <c r="H77" s="1">
        <f>SUM(OSRRefH22_5x_0)</f>
        <v>380.04</v>
      </c>
      <c r="I77" s="1"/>
      <c r="J77" s="5">
        <f t="shared" si="41"/>
        <v>2.7464252533527436E-3</v>
      </c>
      <c r="K77" s="1"/>
      <c r="L77" s="1">
        <f t="shared" si="42"/>
        <v>-15.450000000000045</v>
      </c>
      <c r="M77" s="1"/>
      <c r="N77" s="5">
        <f t="shared" si="43"/>
        <v>-4.0653615408904442E-2</v>
      </c>
      <c r="O77" s="14"/>
      <c r="P77" s="1">
        <f>SUM(OSRRefP22_5x_0)</f>
        <v>364.59</v>
      </c>
      <c r="Q77" s="1"/>
      <c r="R77" s="5">
        <f t="shared" si="44"/>
        <v>3.9572054373450604E-3</v>
      </c>
      <c r="S77" s="1"/>
      <c r="T77" s="1">
        <f>SUM(OSRRefT22_5x_0)</f>
        <v>380.04</v>
      </c>
      <c r="U77" s="1"/>
      <c r="V77" s="5">
        <f t="shared" si="45"/>
        <v>2.7464252533527436E-3</v>
      </c>
      <c r="W77" s="1"/>
      <c r="X77" s="1">
        <f t="shared" si="46"/>
        <v>-15.450000000000045</v>
      </c>
      <c r="Y77" s="1"/>
      <c r="Z77" s="5">
        <f t="shared" si="47"/>
        <v>-4.0653615408904442E-2</v>
      </c>
    </row>
    <row r="78" spans="1:26" s="24" customFormat="1" hidden="1" outlineLevel="2" x14ac:dyDescent="0.25">
      <c r="A78" s="29"/>
      <c r="B78" s="11" t="str">
        <f>CONCATENATE("          ", "6305", " - ", "FREIGHT OUT")</f>
        <v xml:space="preserve">          6305 - FREIGHT OUT</v>
      </c>
      <c r="C78" s="11"/>
      <c r="D78" s="7">
        <v>364.59</v>
      </c>
      <c r="E78" s="2"/>
      <c r="F78" s="6">
        <f t="shared" si="40"/>
        <v>3.9572054373450604E-3</v>
      </c>
      <c r="G78" s="2"/>
      <c r="H78" s="7">
        <v>380.04</v>
      </c>
      <c r="I78" s="2"/>
      <c r="J78" s="6">
        <f t="shared" si="41"/>
        <v>2.7464252533527436E-3</v>
      </c>
      <c r="K78" s="2"/>
      <c r="L78" s="7">
        <f t="shared" si="42"/>
        <v>-15.450000000000045</v>
      </c>
      <c r="M78" s="2"/>
      <c r="N78" s="6">
        <f t="shared" si="43"/>
        <v>-4.0653615408904442E-2</v>
      </c>
      <c r="O78" s="11"/>
      <c r="P78" s="7">
        <v>364.59</v>
      </c>
      <c r="Q78" s="2"/>
      <c r="R78" s="6">
        <f t="shared" si="44"/>
        <v>3.9572054373450604E-3</v>
      </c>
      <c r="S78" s="2"/>
      <c r="T78" s="7">
        <v>380.04</v>
      </c>
      <c r="U78" s="2"/>
      <c r="V78" s="6">
        <f t="shared" si="45"/>
        <v>2.7464252533527436E-3</v>
      </c>
      <c r="W78" s="2"/>
      <c r="X78" s="7">
        <f t="shared" si="46"/>
        <v>-15.450000000000045</v>
      </c>
      <c r="Y78" s="2"/>
      <c r="Z78" s="6">
        <f t="shared" si="47"/>
        <v>-4.0653615408904442E-2</v>
      </c>
    </row>
    <row r="79" spans="1:26" s="28" customFormat="1" outlineLevel="1" collapsed="1" x14ac:dyDescent="0.25">
      <c r="A79" s="27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SUM(OSRRefD22_6x_0)</f>
        <v>7.84</v>
      </c>
      <c r="E79" s="1"/>
      <c r="F79" s="5">
        <f t="shared" si="40"/>
        <v>8.5094189716627657E-5</v>
      </c>
      <c r="G79" s="1"/>
      <c r="H79" s="1">
        <f>SUM(OSRRefH22_6x_0)</f>
        <v>-628.58000000000004</v>
      </c>
      <c r="I79" s="1"/>
      <c r="J79" s="5">
        <f t="shared" si="41"/>
        <v>-4.5425428527325219E-3</v>
      </c>
      <c r="K79" s="1"/>
      <c r="L79" s="1">
        <f t="shared" si="42"/>
        <v>636.42000000000007</v>
      </c>
      <c r="M79" s="1"/>
      <c r="N79" s="5">
        <f t="shared" si="43"/>
        <v>-1.012472557192402</v>
      </c>
      <c r="O79" s="14"/>
      <c r="P79" s="1">
        <f>SUM(OSRRefP22_6x_0)</f>
        <v>7.84</v>
      </c>
      <c r="Q79" s="1"/>
      <c r="R79" s="5">
        <f t="shared" si="44"/>
        <v>8.5094189716627657E-5</v>
      </c>
      <c r="S79" s="1"/>
      <c r="T79" s="1">
        <f>SUM(OSRRefT22_6x_0)</f>
        <v>-628.58000000000004</v>
      </c>
      <c r="U79" s="1"/>
      <c r="V79" s="5">
        <f t="shared" si="45"/>
        <v>-4.5425428527325219E-3</v>
      </c>
      <c r="W79" s="1"/>
      <c r="X79" s="1">
        <f t="shared" si="46"/>
        <v>636.42000000000007</v>
      </c>
      <c r="Y79" s="1"/>
      <c r="Z79" s="5">
        <f t="shared" si="47"/>
        <v>-1.012472557192402</v>
      </c>
    </row>
    <row r="80" spans="1:26" s="24" customFormat="1" hidden="1" outlineLevel="2" x14ac:dyDescent="0.25">
      <c r="A80" s="29"/>
      <c r="B80" s="11" t="str">
        <f>CONCATENATE("          ", "6279", " - ", "GENERAL EXPENSE")</f>
        <v xml:space="preserve">          6279 - GENERAL EXPENSE</v>
      </c>
      <c r="C80" s="11"/>
      <c r="D80" s="7">
        <v>7.84</v>
      </c>
      <c r="E80" s="2"/>
      <c r="F80" s="6">
        <f t="shared" si="40"/>
        <v>8.5094189716627657E-5</v>
      </c>
      <c r="G80" s="2"/>
      <c r="H80" s="7">
        <v>-628.58000000000004</v>
      </c>
      <c r="I80" s="2"/>
      <c r="J80" s="6">
        <f t="shared" si="41"/>
        <v>-4.5425428527325219E-3</v>
      </c>
      <c r="K80" s="2"/>
      <c r="L80" s="7">
        <f t="shared" si="42"/>
        <v>636.42000000000007</v>
      </c>
      <c r="M80" s="2"/>
      <c r="N80" s="6">
        <f t="shared" si="43"/>
        <v>-1.012472557192402</v>
      </c>
      <c r="O80" s="11"/>
      <c r="P80" s="7">
        <v>7.84</v>
      </c>
      <c r="Q80" s="2"/>
      <c r="R80" s="6">
        <f t="shared" si="44"/>
        <v>8.5094189716627657E-5</v>
      </c>
      <c r="S80" s="2"/>
      <c r="T80" s="7">
        <v>-628.58000000000004</v>
      </c>
      <c r="U80" s="2"/>
      <c r="V80" s="6">
        <f t="shared" si="45"/>
        <v>-4.5425428527325219E-3</v>
      </c>
      <c r="W80" s="2"/>
      <c r="X80" s="7">
        <f t="shared" si="46"/>
        <v>636.42000000000007</v>
      </c>
      <c r="Y80" s="2"/>
      <c r="Z80" s="6">
        <f t="shared" si="47"/>
        <v>-1.012472557192402</v>
      </c>
    </row>
    <row r="81" spans="1:26" s="28" customFormat="1" outlineLevel="1" collapsed="1" x14ac:dyDescent="0.25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SUM(OSRRefD22_7x_0)</f>
        <v>1000</v>
      </c>
      <c r="E81" s="1"/>
      <c r="F81" s="5">
        <f t="shared" si="40"/>
        <v>1.0853850729161691E-2</v>
      </c>
      <c r="G81" s="1"/>
      <c r="H81" s="1">
        <f>SUM(OSRRefH22_7x_0)</f>
        <v>6950</v>
      </c>
      <c r="I81" s="1"/>
      <c r="J81" s="5">
        <f t="shared" si="41"/>
        <v>5.0225385514160524E-2</v>
      </c>
      <c r="K81" s="1"/>
      <c r="L81" s="1">
        <f t="shared" si="42"/>
        <v>-5950</v>
      </c>
      <c r="M81" s="1"/>
      <c r="N81" s="5">
        <f t="shared" si="43"/>
        <v>-0.85611510791366907</v>
      </c>
      <c r="O81" s="14"/>
      <c r="P81" s="1">
        <f>SUM(OSRRefP22_7x_0)</f>
        <v>1000</v>
      </c>
      <c r="Q81" s="1"/>
      <c r="R81" s="5">
        <f t="shared" si="44"/>
        <v>1.0853850729161691E-2</v>
      </c>
      <c r="S81" s="1"/>
      <c r="T81" s="1">
        <f>SUM(OSRRefT22_7x_0)</f>
        <v>6950</v>
      </c>
      <c r="U81" s="1"/>
      <c r="V81" s="5">
        <f t="shared" si="45"/>
        <v>5.0225385514160524E-2</v>
      </c>
      <c r="W81" s="1"/>
      <c r="X81" s="1">
        <f t="shared" si="46"/>
        <v>-5950</v>
      </c>
      <c r="Y81" s="1"/>
      <c r="Z81" s="5">
        <f t="shared" si="47"/>
        <v>-0.85611510791366907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7">
        <v>1000</v>
      </c>
      <c r="E82" s="2"/>
      <c r="F82" s="6">
        <f t="shared" si="40"/>
        <v>1.0853850729161691E-2</v>
      </c>
      <c r="G82" s="2"/>
      <c r="H82" s="7">
        <v>6950</v>
      </c>
      <c r="I82" s="2"/>
      <c r="J82" s="6">
        <f t="shared" si="41"/>
        <v>5.0225385514160524E-2</v>
      </c>
      <c r="K82" s="2"/>
      <c r="L82" s="7">
        <f t="shared" si="42"/>
        <v>-5950</v>
      </c>
      <c r="M82" s="2"/>
      <c r="N82" s="6">
        <f t="shared" si="43"/>
        <v>-0.85611510791366907</v>
      </c>
      <c r="O82" s="11"/>
      <c r="P82" s="7">
        <v>1000</v>
      </c>
      <c r="Q82" s="2"/>
      <c r="R82" s="6">
        <f t="shared" si="44"/>
        <v>1.0853850729161691E-2</v>
      </c>
      <c r="S82" s="2"/>
      <c r="T82" s="7">
        <v>6950</v>
      </c>
      <c r="U82" s="2"/>
      <c r="V82" s="6">
        <f t="shared" si="45"/>
        <v>5.0225385514160524E-2</v>
      </c>
      <c r="W82" s="2"/>
      <c r="X82" s="7">
        <f t="shared" si="46"/>
        <v>-5950</v>
      </c>
      <c r="Y82" s="2"/>
      <c r="Z82" s="6">
        <f t="shared" si="47"/>
        <v>-0.85611510791366907</v>
      </c>
    </row>
    <row r="83" spans="1:26" s="28" customFormat="1" outlineLevel="1" collapsed="1" x14ac:dyDescent="0.25">
      <c r="A83" s="27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SUM(OSRRefD22_8x_0)</f>
        <v>20.46</v>
      </c>
      <c r="E83" s="1"/>
      <c r="F83" s="5">
        <f t="shared" si="40"/>
        <v>2.220697859186482E-4</v>
      </c>
      <c r="G83" s="1"/>
      <c r="H83" s="1">
        <f>SUM(OSRRefH22_8x_0)</f>
        <v>117.08</v>
      </c>
      <c r="I83" s="1"/>
      <c r="J83" s="5">
        <f t="shared" si="41"/>
        <v>8.4609901237380067E-4</v>
      </c>
      <c r="K83" s="1"/>
      <c r="L83" s="1">
        <f t="shared" si="42"/>
        <v>-96.62</v>
      </c>
      <c r="M83" s="1"/>
      <c r="N83" s="5">
        <f t="shared" si="43"/>
        <v>-0.82524769388452346</v>
      </c>
      <c r="O83" s="14"/>
      <c r="P83" s="1">
        <f>SUM(OSRRefP22_8x_0)</f>
        <v>20.46</v>
      </c>
      <c r="Q83" s="1"/>
      <c r="R83" s="5">
        <f t="shared" si="44"/>
        <v>2.220697859186482E-4</v>
      </c>
      <c r="S83" s="1"/>
      <c r="T83" s="1">
        <f>SUM(OSRRefT22_8x_0)</f>
        <v>117.08</v>
      </c>
      <c r="U83" s="1"/>
      <c r="V83" s="5">
        <f t="shared" si="45"/>
        <v>8.4609901237380067E-4</v>
      </c>
      <c r="W83" s="1"/>
      <c r="X83" s="1">
        <f t="shared" si="46"/>
        <v>-96.62</v>
      </c>
      <c r="Y83" s="1"/>
      <c r="Z83" s="5">
        <f t="shared" si="47"/>
        <v>-0.82524769388452346</v>
      </c>
    </row>
    <row r="84" spans="1:26" s="24" customFormat="1" hidden="1" outlineLevel="2" x14ac:dyDescent="0.25">
      <c r="A84" s="29"/>
      <c r="B84" s="11" t="str">
        <f>CONCATENATE("          ", "6373", " - ", "MAINTENANCE CONTRACTS")</f>
        <v xml:space="preserve">          6373 - MAINTENANCE CONTRACTS</v>
      </c>
      <c r="C84" s="11"/>
      <c r="D84" s="7">
        <v>20.46</v>
      </c>
      <c r="E84" s="2"/>
      <c r="F84" s="6">
        <f t="shared" si="40"/>
        <v>2.220697859186482E-4</v>
      </c>
      <c r="G84" s="2"/>
      <c r="H84" s="7">
        <v>39.08</v>
      </c>
      <c r="I84" s="2"/>
      <c r="J84" s="6">
        <f t="shared" si="41"/>
        <v>2.8241842674725081E-4</v>
      </c>
      <c r="K84" s="2"/>
      <c r="L84" s="7">
        <f t="shared" si="42"/>
        <v>-18.619999999999997</v>
      </c>
      <c r="M84" s="2"/>
      <c r="N84" s="6">
        <f t="shared" si="43"/>
        <v>-0.47645854657113607</v>
      </c>
      <c r="O84" s="11"/>
      <c r="P84" s="7">
        <v>20.46</v>
      </c>
      <c r="Q84" s="2"/>
      <c r="R84" s="6">
        <f t="shared" si="44"/>
        <v>2.220697859186482E-4</v>
      </c>
      <c r="S84" s="2"/>
      <c r="T84" s="7">
        <v>39.08</v>
      </c>
      <c r="U84" s="2"/>
      <c r="V84" s="6">
        <f t="shared" si="45"/>
        <v>2.8241842674725081E-4</v>
      </c>
      <c r="W84" s="2"/>
      <c r="X84" s="7">
        <f t="shared" si="46"/>
        <v>-18.619999999999997</v>
      </c>
      <c r="Y84" s="2"/>
      <c r="Z84" s="6">
        <f t="shared" si="47"/>
        <v>-0.47645854657113607</v>
      </c>
    </row>
    <row r="85" spans="1:26" s="24" customFormat="1" hidden="1" outlineLevel="2" x14ac:dyDescent="0.25">
      <c r="A85" s="29"/>
      <c r="B85" s="11" t="str">
        <f>CONCATENATE("          ", "6375", " - ", "OUTSIDE REPAIRS &amp; MAINTENANCE")</f>
        <v xml:space="preserve">          6375 - OUTSIDE REPAIRS &amp; MAINTENANCE</v>
      </c>
      <c r="C85" s="11"/>
      <c r="D85" s="7"/>
      <c r="E85" s="2"/>
      <c r="F85" s="6">
        <f t="shared" si="40"/>
        <v>0</v>
      </c>
      <c r="G85" s="2"/>
      <c r="H85" s="7">
        <v>78</v>
      </c>
      <c r="I85" s="2"/>
      <c r="J85" s="6">
        <f t="shared" si="41"/>
        <v>5.6368058562654975E-4</v>
      </c>
      <c r="K85" s="2"/>
      <c r="L85" s="7">
        <f t="shared" si="42"/>
        <v>-78</v>
      </c>
      <c r="M85" s="2"/>
      <c r="N85" s="6">
        <f t="shared" si="43"/>
        <v>-1</v>
      </c>
      <c r="O85" s="11"/>
      <c r="P85" s="7"/>
      <c r="Q85" s="2"/>
      <c r="R85" s="6">
        <f t="shared" si="44"/>
        <v>0</v>
      </c>
      <c r="S85" s="2"/>
      <c r="T85" s="7">
        <v>78</v>
      </c>
      <c r="U85" s="2"/>
      <c r="V85" s="6">
        <f t="shared" si="45"/>
        <v>5.6368058562654975E-4</v>
      </c>
      <c r="W85" s="2"/>
      <c r="X85" s="7">
        <f t="shared" si="46"/>
        <v>-78</v>
      </c>
      <c r="Y85" s="2"/>
      <c r="Z85" s="6">
        <f t="shared" si="47"/>
        <v>-1</v>
      </c>
    </row>
    <row r="86" spans="1:26" s="28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SUM(OSRRefD22_9x_0)</f>
        <v>288.85000000000002</v>
      </c>
      <c r="E86" s="1"/>
      <c r="F86" s="5">
        <f t="shared" ref="F86:F91" si="48">IF(D$12=0,0,D86/D$12)</f>
        <v>3.1351347831183544E-3</v>
      </c>
      <c r="G86" s="1"/>
      <c r="H86" s="1">
        <f>SUM(OSRRefH22_9x_0)</f>
        <v>250</v>
      </c>
      <c r="I86" s="1"/>
      <c r="J86" s="5">
        <f t="shared" ref="J86:J91" si="49">IF(H$12=0,0,H86/H$12)</f>
        <v>1.8066685436748391E-3</v>
      </c>
      <c r="K86" s="1"/>
      <c r="L86" s="1">
        <f t="shared" ref="L86:L91" si="50">+D86-H86</f>
        <v>38.850000000000023</v>
      </c>
      <c r="M86" s="1"/>
      <c r="N86" s="5">
        <f t="shared" ref="N86:N91" si="51">IF(H86=0,0,L86/H86)</f>
        <v>0.15540000000000009</v>
      </c>
      <c r="O86" s="14"/>
      <c r="P86" s="1">
        <f>SUM(OSRRefP22_9x_0)</f>
        <v>288.85000000000002</v>
      </c>
      <c r="Q86" s="1"/>
      <c r="R86" s="5">
        <f t="shared" ref="R86:R91" si="52">IF(P$12=0,0,P86/P$12)</f>
        <v>3.1351347831183544E-3</v>
      </c>
      <c r="S86" s="1"/>
      <c r="T86" s="1">
        <f>SUM(OSRRefT22_9x_0)</f>
        <v>250</v>
      </c>
      <c r="U86" s="1"/>
      <c r="V86" s="5">
        <f t="shared" ref="V86:V91" si="53">IF(T$12=0,0,T86/T$12)</f>
        <v>1.8066685436748391E-3</v>
      </c>
      <c r="W86" s="1"/>
      <c r="X86" s="1">
        <f t="shared" ref="X86:X91" si="54">+P86-T86</f>
        <v>38.850000000000023</v>
      </c>
      <c r="Y86" s="1"/>
      <c r="Z86" s="5">
        <f t="shared" ref="Z86:Z91" si="55">IF(T86=0,0,X86/T86)</f>
        <v>0.15540000000000009</v>
      </c>
    </row>
    <row r="87" spans="1:26" s="24" customFormat="1" hidden="1" outlineLevel="2" x14ac:dyDescent="0.25">
      <c r="A87" s="29"/>
      <c r="B87" s="11" t="str">
        <f>CONCATENATE("          ", "6258", " - ", "MEMBERSHIP DUES")</f>
        <v xml:space="preserve">          6258 - MEMBERSHIP DUES</v>
      </c>
      <c r="C87" s="11"/>
      <c r="D87" s="7">
        <v>288.85000000000002</v>
      </c>
      <c r="E87" s="2"/>
      <c r="F87" s="6">
        <f t="shared" si="48"/>
        <v>3.1351347831183544E-3</v>
      </c>
      <c r="G87" s="2"/>
      <c r="H87" s="7">
        <v>250</v>
      </c>
      <c r="I87" s="2"/>
      <c r="J87" s="6">
        <f t="shared" si="49"/>
        <v>1.8066685436748391E-3</v>
      </c>
      <c r="K87" s="2"/>
      <c r="L87" s="7">
        <f t="shared" si="50"/>
        <v>38.850000000000023</v>
      </c>
      <c r="M87" s="2"/>
      <c r="N87" s="6">
        <f t="shared" si="51"/>
        <v>0.15540000000000009</v>
      </c>
      <c r="O87" s="11"/>
      <c r="P87" s="7">
        <v>288.85000000000002</v>
      </c>
      <c r="Q87" s="2"/>
      <c r="R87" s="6">
        <f t="shared" si="52"/>
        <v>3.1351347831183544E-3</v>
      </c>
      <c r="S87" s="2"/>
      <c r="T87" s="7">
        <v>250</v>
      </c>
      <c r="U87" s="2"/>
      <c r="V87" s="6">
        <f t="shared" si="53"/>
        <v>1.8066685436748391E-3</v>
      </c>
      <c r="W87" s="2"/>
      <c r="X87" s="7">
        <f t="shared" si="54"/>
        <v>38.850000000000023</v>
      </c>
      <c r="Y87" s="2"/>
      <c r="Z87" s="6">
        <f t="shared" si="55"/>
        <v>0.15540000000000009</v>
      </c>
    </row>
    <row r="88" spans="1:26" s="28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277.56</v>
      </c>
      <c r="E88" s="1"/>
      <c r="F88" s="5">
        <f t="shared" si="48"/>
        <v>3.0125948083861188E-3</v>
      </c>
      <c r="G88" s="1"/>
      <c r="H88" s="1">
        <f>SUM(OSRRefH22_10x_0)</f>
        <v>1172.71</v>
      </c>
      <c r="I88" s="1"/>
      <c r="J88" s="5">
        <f t="shared" si="49"/>
        <v>8.4747930714116817E-3</v>
      </c>
      <c r="K88" s="1"/>
      <c r="L88" s="1">
        <f t="shared" si="50"/>
        <v>-895.15000000000009</v>
      </c>
      <c r="M88" s="1"/>
      <c r="N88" s="5">
        <f t="shared" si="51"/>
        <v>-0.76331744421041869</v>
      </c>
      <c r="O88" s="14"/>
      <c r="P88" s="1">
        <f>SUM(OSRRefP22_10x_0)</f>
        <v>277.56</v>
      </c>
      <c r="Q88" s="1"/>
      <c r="R88" s="5">
        <f t="shared" si="52"/>
        <v>3.0125948083861188E-3</v>
      </c>
      <c r="S88" s="1"/>
      <c r="T88" s="1">
        <f>SUM(OSRRefT22_10x_0)</f>
        <v>1172.71</v>
      </c>
      <c r="U88" s="1"/>
      <c r="V88" s="5">
        <f t="shared" si="53"/>
        <v>8.4747930714116817E-3</v>
      </c>
      <c r="W88" s="1"/>
      <c r="X88" s="1">
        <f t="shared" si="54"/>
        <v>-895.15000000000009</v>
      </c>
      <c r="Y88" s="1"/>
      <c r="Z88" s="5">
        <f t="shared" si="55"/>
        <v>-0.76331744421041869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7">
        <v>261.17</v>
      </c>
      <c r="E89" s="2"/>
      <c r="F89" s="6">
        <f t="shared" si="48"/>
        <v>2.8347001949351591E-3</v>
      </c>
      <c r="G89" s="2"/>
      <c r="H89" s="7">
        <v>229.61</v>
      </c>
      <c r="I89" s="2"/>
      <c r="J89" s="6">
        <f t="shared" si="49"/>
        <v>1.6593166572527194E-3</v>
      </c>
      <c r="K89" s="2"/>
      <c r="L89" s="7">
        <f t="shared" si="50"/>
        <v>31.560000000000002</v>
      </c>
      <c r="M89" s="2"/>
      <c r="N89" s="6">
        <f t="shared" si="51"/>
        <v>0.13745045947476156</v>
      </c>
      <c r="O89" s="11"/>
      <c r="P89" s="7">
        <v>261.17</v>
      </c>
      <c r="Q89" s="2"/>
      <c r="R89" s="6">
        <f t="shared" si="52"/>
        <v>2.8347001949351591E-3</v>
      </c>
      <c r="S89" s="2"/>
      <c r="T89" s="7">
        <v>229.61</v>
      </c>
      <c r="U89" s="2"/>
      <c r="V89" s="6">
        <f t="shared" si="53"/>
        <v>1.6593166572527194E-3</v>
      </c>
      <c r="W89" s="2"/>
      <c r="X89" s="7">
        <f t="shared" si="54"/>
        <v>31.560000000000002</v>
      </c>
      <c r="Y89" s="2"/>
      <c r="Z89" s="6">
        <f t="shared" si="55"/>
        <v>0.13745045947476156</v>
      </c>
    </row>
    <row r="90" spans="1:26" s="24" customFormat="1" hidden="1" outlineLevel="2" x14ac:dyDescent="0.25">
      <c r="A90" s="29"/>
      <c r="B90" s="11" t="str">
        <f>CONCATENATE("          ", "6245", " - ", "PRINTING")</f>
        <v xml:space="preserve">          6245 - PRINTING</v>
      </c>
      <c r="C90" s="11"/>
      <c r="D90" s="7"/>
      <c r="E90" s="2"/>
      <c r="F90" s="6">
        <f t="shared" si="48"/>
        <v>0</v>
      </c>
      <c r="G90" s="2"/>
      <c r="H90" s="7">
        <v>7.28</v>
      </c>
      <c r="I90" s="2"/>
      <c r="J90" s="6">
        <f t="shared" si="49"/>
        <v>5.261018799181132E-5</v>
      </c>
      <c r="K90" s="2"/>
      <c r="L90" s="7">
        <f t="shared" si="50"/>
        <v>-7.28</v>
      </c>
      <c r="M90" s="2"/>
      <c r="N90" s="6">
        <f t="shared" si="51"/>
        <v>-1</v>
      </c>
      <c r="O90" s="11"/>
      <c r="P90" s="7"/>
      <c r="Q90" s="2"/>
      <c r="R90" s="6">
        <f t="shared" si="52"/>
        <v>0</v>
      </c>
      <c r="S90" s="2"/>
      <c r="T90" s="7">
        <v>7.28</v>
      </c>
      <c r="U90" s="2"/>
      <c r="V90" s="6">
        <f t="shared" si="53"/>
        <v>5.261018799181132E-5</v>
      </c>
      <c r="W90" s="2"/>
      <c r="X90" s="7">
        <f t="shared" si="54"/>
        <v>-7.28</v>
      </c>
      <c r="Y90" s="2"/>
      <c r="Z90" s="6">
        <f t="shared" si="55"/>
        <v>-1</v>
      </c>
    </row>
    <row r="91" spans="1:26" s="24" customFormat="1" hidden="1" outlineLevel="2" x14ac:dyDescent="0.25">
      <c r="A91" s="29"/>
      <c r="B91" s="11" t="str">
        <f>CONCATENATE("          ", "6247", " - ", "STORE SUPPLIES")</f>
        <v xml:space="preserve">          6247 - STORE SUPPLIES</v>
      </c>
      <c r="C91" s="11"/>
      <c r="D91" s="7">
        <v>16.39</v>
      </c>
      <c r="E91" s="2"/>
      <c r="F91" s="6">
        <f t="shared" si="48"/>
        <v>1.7789461345096012E-4</v>
      </c>
      <c r="G91" s="2"/>
      <c r="H91" s="7">
        <v>935.82</v>
      </c>
      <c r="I91" s="2"/>
      <c r="J91" s="6">
        <f t="shared" si="49"/>
        <v>6.762866226167152E-3</v>
      </c>
      <c r="K91" s="2"/>
      <c r="L91" s="7">
        <f t="shared" si="50"/>
        <v>-919.43000000000006</v>
      </c>
      <c r="M91" s="2"/>
      <c r="N91" s="6">
        <f t="shared" si="51"/>
        <v>-0.98248594815242252</v>
      </c>
      <c r="O91" s="11"/>
      <c r="P91" s="7">
        <v>16.39</v>
      </c>
      <c r="Q91" s="2"/>
      <c r="R91" s="6">
        <f t="shared" si="52"/>
        <v>1.7789461345096012E-4</v>
      </c>
      <c r="S91" s="2"/>
      <c r="T91" s="7">
        <v>935.82</v>
      </c>
      <c r="U91" s="2"/>
      <c r="V91" s="6">
        <f t="shared" si="53"/>
        <v>6.762866226167152E-3</v>
      </c>
      <c r="W91" s="2"/>
      <c r="X91" s="7">
        <f t="shared" si="54"/>
        <v>-919.43000000000006</v>
      </c>
      <c r="Y91" s="2"/>
      <c r="Z91" s="6">
        <f t="shared" si="55"/>
        <v>-0.98248594815242252</v>
      </c>
    </row>
    <row r="92" spans="1:26" s="28" customFormat="1" outlineLevel="1" collapsed="1" x14ac:dyDescent="0.2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524.35</v>
      </c>
      <c r="E92" s="1"/>
      <c r="F92" s="5">
        <f t="shared" ref="F92:F94" si="56">IF(D$12=0,0,D92/D$12)</f>
        <v>5.6912166298359324E-3</v>
      </c>
      <c r="G92" s="1"/>
      <c r="H92" s="1">
        <f>SUM(OSRRefH22_11x_0)</f>
        <v>244.45</v>
      </c>
      <c r="I92" s="1"/>
      <c r="J92" s="5">
        <f t="shared" ref="J92:J94" si="57">IF(H$12=0,0,H92/H$12)</f>
        <v>1.7665605020052576E-3</v>
      </c>
      <c r="K92" s="1"/>
      <c r="L92" s="1">
        <f t="shared" ref="L92:L94" si="58">+D92-H92</f>
        <v>279.90000000000003</v>
      </c>
      <c r="M92" s="1"/>
      <c r="N92" s="5">
        <f t="shared" ref="N92:N94" si="59">IF(H92=0,0,L92/H92)</f>
        <v>1.1450194313765598</v>
      </c>
      <c r="O92" s="14"/>
      <c r="P92" s="1">
        <f>SUM(OSRRefP22_11x_0)</f>
        <v>524.35</v>
      </c>
      <c r="Q92" s="1"/>
      <c r="R92" s="5">
        <f t="shared" ref="R92:R94" si="60">IF(P$12=0,0,P92/P$12)</f>
        <v>5.6912166298359324E-3</v>
      </c>
      <c r="S92" s="1"/>
      <c r="T92" s="1">
        <f>SUM(OSRRefT22_11x_0)</f>
        <v>244.45</v>
      </c>
      <c r="U92" s="1"/>
      <c r="V92" s="5">
        <f t="shared" ref="V92:V94" si="61">IF(T$12=0,0,T92/T$12)</f>
        <v>1.7665605020052576E-3</v>
      </c>
      <c r="W92" s="1"/>
      <c r="X92" s="1">
        <f t="shared" ref="X92:X94" si="62">+P92-T92</f>
        <v>279.90000000000003</v>
      </c>
      <c r="Y92" s="1"/>
      <c r="Z92" s="5">
        <f t="shared" ref="Z92:Z94" si="63">IF(T92=0,0,X92/T92)</f>
        <v>1.1450194313765598</v>
      </c>
    </row>
    <row r="93" spans="1:26" s="24" customFormat="1" hidden="1" outlineLevel="2" x14ac:dyDescent="0.25">
      <c r="A93" s="29"/>
      <c r="B93" s="11" t="str">
        <f>CONCATENATE("          ", "6303", " - ", "DATA PHONE LINES")</f>
        <v xml:space="preserve">          6303 - DATA PHONE LINES</v>
      </c>
      <c r="C93" s="11"/>
      <c r="D93" s="7">
        <v>295</v>
      </c>
      <c r="E93" s="2"/>
      <c r="F93" s="6">
        <f t="shared" si="56"/>
        <v>3.2018859651026989E-3</v>
      </c>
      <c r="G93" s="2"/>
      <c r="H93" s="7"/>
      <c r="I93" s="2"/>
      <c r="J93" s="6">
        <f t="shared" si="57"/>
        <v>0</v>
      </c>
      <c r="K93" s="2"/>
      <c r="L93" s="7">
        <f t="shared" si="58"/>
        <v>295</v>
      </c>
      <c r="M93" s="2"/>
      <c r="N93" s="6">
        <f t="shared" si="59"/>
        <v>0</v>
      </c>
      <c r="O93" s="11"/>
      <c r="P93" s="7">
        <v>295</v>
      </c>
      <c r="Q93" s="2"/>
      <c r="R93" s="6">
        <f t="shared" si="60"/>
        <v>3.2018859651026989E-3</v>
      </c>
      <c r="S93" s="2"/>
      <c r="T93" s="7"/>
      <c r="U93" s="2"/>
      <c r="V93" s="6">
        <f t="shared" si="61"/>
        <v>0</v>
      </c>
      <c r="W93" s="2"/>
      <c r="X93" s="7">
        <f t="shared" si="62"/>
        <v>295</v>
      </c>
      <c r="Y93" s="2"/>
      <c r="Z93" s="6">
        <f t="shared" si="63"/>
        <v>0</v>
      </c>
    </row>
    <row r="94" spans="1:26" s="24" customFormat="1" hidden="1" outlineLevel="2" x14ac:dyDescent="0.25">
      <c r="A94" s="29"/>
      <c r="B94" s="11" t="str">
        <f>CONCATENATE("          ", "6309", " - ", "TELEPHONE")</f>
        <v xml:space="preserve">          6309 - TELEPHONE</v>
      </c>
      <c r="C94" s="11"/>
      <c r="D94" s="7">
        <v>229.35</v>
      </c>
      <c r="E94" s="2"/>
      <c r="F94" s="6">
        <f t="shared" si="56"/>
        <v>2.4893306647332338E-3</v>
      </c>
      <c r="G94" s="2"/>
      <c r="H94" s="7">
        <v>244.45</v>
      </c>
      <c r="I94" s="2"/>
      <c r="J94" s="6">
        <f t="shared" si="57"/>
        <v>1.7665605020052576E-3</v>
      </c>
      <c r="K94" s="2"/>
      <c r="L94" s="7">
        <f t="shared" si="58"/>
        <v>-15.099999999999994</v>
      </c>
      <c r="M94" s="2"/>
      <c r="N94" s="6">
        <f t="shared" si="59"/>
        <v>-6.1771323379014094E-2</v>
      </c>
      <c r="O94" s="11"/>
      <c r="P94" s="7">
        <v>229.35</v>
      </c>
      <c r="Q94" s="2"/>
      <c r="R94" s="6">
        <f t="shared" si="60"/>
        <v>2.4893306647332338E-3</v>
      </c>
      <c r="S94" s="2"/>
      <c r="T94" s="7">
        <v>244.45</v>
      </c>
      <c r="U94" s="2"/>
      <c r="V94" s="6">
        <f t="shared" si="61"/>
        <v>1.7665605020052576E-3</v>
      </c>
      <c r="W94" s="2"/>
      <c r="X94" s="7">
        <f t="shared" si="62"/>
        <v>-15.099999999999994</v>
      </c>
      <c r="Y94" s="2"/>
      <c r="Z94" s="6">
        <f t="shared" si="63"/>
        <v>-6.1771323379014094E-2</v>
      </c>
    </row>
    <row r="95" spans="1:26" s="28" customFormat="1" outlineLevel="1" collapsed="1" x14ac:dyDescent="0.25">
      <c r="A95" s="27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SUM(OSRRefD22_12x_0)</f>
        <v>516.61</v>
      </c>
      <c r="E95" s="1"/>
      <c r="F95" s="5">
        <f t="shared" ref="F95:F96" si="64">IF(D$12=0,0,D95/D$12)</f>
        <v>5.6072078251922213E-3</v>
      </c>
      <c r="G95" s="1"/>
      <c r="H95" s="1">
        <f>SUM(OSRRefH22_12x_0)</f>
        <v>-1265.6600000000001</v>
      </c>
      <c r="I95" s="1"/>
      <c r="J95" s="5">
        <f t="shared" ref="J95:J96" si="65">IF(H$12=0,0,H95/H$12)</f>
        <v>-9.1465124359499887E-3</v>
      </c>
      <c r="K95" s="1"/>
      <c r="L95" s="1">
        <f t="shared" ref="L95:L96" si="66">+D95-H95</f>
        <v>1782.27</v>
      </c>
      <c r="M95" s="1"/>
      <c r="N95" s="5">
        <f t="shared" ref="N95:N96" si="67">IF(H95=0,0,L95/H95)</f>
        <v>-1.4081743912267117</v>
      </c>
      <c r="O95" s="14"/>
      <c r="P95" s="1">
        <f>SUM(OSRRefP22_12x_0)</f>
        <v>516.61</v>
      </c>
      <c r="Q95" s="1"/>
      <c r="R95" s="5">
        <f t="shared" ref="R95:R96" si="68">IF(P$12=0,0,P95/P$12)</f>
        <v>5.6072078251922213E-3</v>
      </c>
      <c r="S95" s="1"/>
      <c r="T95" s="1">
        <f>SUM(OSRRefT22_12x_0)</f>
        <v>-1265.6600000000001</v>
      </c>
      <c r="U95" s="1"/>
      <c r="V95" s="5">
        <f t="shared" ref="V95:V96" si="69">IF(T$12=0,0,T95/T$12)</f>
        <v>-9.1465124359499887E-3</v>
      </c>
      <c r="W95" s="1"/>
      <c r="X95" s="1">
        <f t="shared" ref="X95:X96" si="70">+P95-T95</f>
        <v>1782.27</v>
      </c>
      <c r="Y95" s="1"/>
      <c r="Z95" s="5">
        <f t="shared" ref="Z95:Z96" si="71">IF(T95=0,0,X95/T95)</f>
        <v>-1.4081743912267117</v>
      </c>
    </row>
    <row r="96" spans="1:26" s="24" customFormat="1" hidden="1" outlineLevel="2" x14ac:dyDescent="0.25">
      <c r="A96" s="29"/>
      <c r="B96" s="11" t="str">
        <f>CONCATENATE("          ", "6376", " - ", "TRAINING")</f>
        <v xml:space="preserve">          6376 - TRAINING</v>
      </c>
      <c r="C96" s="11"/>
      <c r="D96" s="7">
        <v>516.61</v>
      </c>
      <c r="E96" s="2"/>
      <c r="F96" s="6">
        <f t="shared" si="64"/>
        <v>5.6072078251922213E-3</v>
      </c>
      <c r="G96" s="2"/>
      <c r="H96" s="7">
        <v>-1265.6600000000001</v>
      </c>
      <c r="I96" s="2"/>
      <c r="J96" s="6">
        <f t="shared" si="65"/>
        <v>-9.1465124359499887E-3</v>
      </c>
      <c r="K96" s="2"/>
      <c r="L96" s="7">
        <f t="shared" si="66"/>
        <v>1782.27</v>
      </c>
      <c r="M96" s="2"/>
      <c r="N96" s="6">
        <f t="shared" si="67"/>
        <v>-1.4081743912267117</v>
      </c>
      <c r="O96" s="11"/>
      <c r="P96" s="7">
        <v>516.61</v>
      </c>
      <c r="Q96" s="2"/>
      <c r="R96" s="6">
        <f t="shared" si="68"/>
        <v>5.6072078251922213E-3</v>
      </c>
      <c r="S96" s="2"/>
      <c r="T96" s="7">
        <v>-1265.6600000000001</v>
      </c>
      <c r="U96" s="2"/>
      <c r="V96" s="6">
        <f t="shared" si="69"/>
        <v>-9.1465124359499887E-3</v>
      </c>
      <c r="W96" s="2"/>
      <c r="X96" s="7">
        <f t="shared" si="70"/>
        <v>1782.27</v>
      </c>
      <c r="Y96" s="2"/>
      <c r="Z96" s="6">
        <f t="shared" si="71"/>
        <v>-1.4081743912267117</v>
      </c>
    </row>
    <row r="97" spans="1:26" s="54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6" t="s">
        <v>0</v>
      </c>
      <c r="C98" s="10"/>
      <c r="D98" s="4">
        <f>SUM(OSRRefD25x_0)</f>
        <v>426.76</v>
      </c>
      <c r="E98" s="4"/>
      <c r="F98" s="12">
        <f t="shared" ref="F98:F100" si="72">IF(D$12=0,0,D98/D$12)</f>
        <v>4.6319893371770428E-3</v>
      </c>
      <c r="G98" s="4"/>
      <c r="H98" s="4">
        <f>SUM(OSRRefH25x_0)</f>
        <v>1301.99</v>
      </c>
      <c r="I98" s="4"/>
      <c r="J98" s="12">
        <f t="shared" ref="J98:J100" si="73">IF(H$12=0,0,H98/H$12)</f>
        <v>9.4090575087168154E-3</v>
      </c>
      <c r="K98" s="4"/>
      <c r="L98" s="4">
        <f t="shared" ref="L98:L100" si="74">+D98-H98</f>
        <v>-875.23</v>
      </c>
      <c r="M98" s="4"/>
      <c r="N98" s="12">
        <f t="shared" ref="N98:N100" si="75">IF(H98=0,0,L98/H98)</f>
        <v>-0.67222482507546144</v>
      </c>
      <c r="O98" s="10"/>
      <c r="P98" s="4">
        <f>SUM(OSRRefP25x_0)</f>
        <v>426.76</v>
      </c>
      <c r="Q98" s="4"/>
      <c r="R98" s="12">
        <f t="shared" ref="R98:R100" si="76">IF(P$12=0,0,P98/P$12)</f>
        <v>4.6319893371770428E-3</v>
      </c>
      <c r="S98" s="4"/>
      <c r="T98" s="4">
        <f>SUM(OSRRefT25x_0)</f>
        <v>1301.99</v>
      </c>
      <c r="U98" s="4"/>
      <c r="V98" s="12">
        <f t="shared" ref="V98:V100" si="77">IF(T$12=0,0,T98/T$12)</f>
        <v>9.4090575087168154E-3</v>
      </c>
      <c r="W98" s="4"/>
      <c r="X98" s="4">
        <f t="shared" ref="X98:X100" si="78">+P98-T98</f>
        <v>-875.23</v>
      </c>
      <c r="Y98" s="4"/>
      <c r="Z98" s="12">
        <f t="shared" ref="Z98:Z100" si="79">IF(T98=0,0,X98/T98)</f>
        <v>-0.67222482507546144</v>
      </c>
    </row>
    <row r="99" spans="1:26" s="24" customFormat="1" hidden="1" outlineLevel="1" x14ac:dyDescent="0.25">
      <c r="A99" s="50"/>
      <c r="B99" s="11" t="str">
        <f>CONCATENATE("          ", "9150", " - ", "MISC. INCOME")</f>
        <v xml:space="preserve">          9150 - MISC. INCOME</v>
      </c>
      <c r="C99" s="11"/>
      <c r="D99" s="2">
        <f>--426.76</f>
        <v>426.76</v>
      </c>
      <c r="E99" s="2"/>
      <c r="F99" s="22">
        <f t="shared" si="72"/>
        <v>4.6319893371770428E-3</v>
      </c>
      <c r="G99" s="2"/>
      <c r="H99" s="2">
        <f>--529.65</f>
        <v>529.65</v>
      </c>
      <c r="I99" s="2"/>
      <c r="J99" s="22">
        <f t="shared" si="73"/>
        <v>3.827607976629514E-3</v>
      </c>
      <c r="K99" s="2"/>
      <c r="L99" s="2">
        <f t="shared" si="74"/>
        <v>-102.88999999999999</v>
      </c>
      <c r="M99" s="2"/>
      <c r="N99" s="22">
        <f t="shared" si="75"/>
        <v>-0.19426036061550078</v>
      </c>
      <c r="O99" s="11"/>
      <c r="P99" s="2">
        <f>--426.76</f>
        <v>426.76</v>
      </c>
      <c r="Q99" s="2"/>
      <c r="R99" s="22">
        <f t="shared" si="76"/>
        <v>4.6319893371770428E-3</v>
      </c>
      <c r="S99" s="2"/>
      <c r="T99" s="2">
        <f>--529.65</f>
        <v>529.65</v>
      </c>
      <c r="U99" s="2"/>
      <c r="V99" s="22">
        <f t="shared" si="77"/>
        <v>3.827607976629514E-3</v>
      </c>
      <c r="W99" s="2"/>
      <c r="X99" s="2">
        <f t="shared" si="78"/>
        <v>-102.88999999999999</v>
      </c>
      <c r="Y99" s="2"/>
      <c r="Z99" s="22">
        <f t="shared" si="79"/>
        <v>-0.19426036061550078</v>
      </c>
    </row>
    <row r="100" spans="1:26" s="24" customFormat="1" hidden="1" outlineLevel="1" x14ac:dyDescent="0.25">
      <c r="A100" s="50"/>
      <c r="B100" s="11" t="str">
        <f>CONCATENATE("          ", "9152", " - ", "MISC. INCOME")</f>
        <v xml:space="preserve">          9152 - MISC. INCOME</v>
      </c>
      <c r="C100" s="11"/>
      <c r="D100" s="2">
        <f>0</f>
        <v>0</v>
      </c>
      <c r="E100" s="2"/>
      <c r="F100" s="22">
        <f t="shared" si="72"/>
        <v>0</v>
      </c>
      <c r="G100" s="2"/>
      <c r="H100" s="2">
        <f>--772.34</f>
        <v>772.34</v>
      </c>
      <c r="I100" s="2"/>
      <c r="J100" s="22">
        <f t="shared" si="73"/>
        <v>5.5814495320873009E-3</v>
      </c>
      <c r="K100" s="2"/>
      <c r="L100" s="2">
        <f t="shared" si="74"/>
        <v>-772.34</v>
      </c>
      <c r="M100" s="2"/>
      <c r="N100" s="22">
        <f t="shared" si="75"/>
        <v>-1</v>
      </c>
      <c r="O100" s="11"/>
      <c r="P100" s="2">
        <f>0</f>
        <v>0</v>
      </c>
      <c r="Q100" s="2"/>
      <c r="R100" s="22">
        <f t="shared" si="76"/>
        <v>0</v>
      </c>
      <c r="S100" s="2"/>
      <c r="T100" s="2">
        <f>--772.34</f>
        <v>772.34</v>
      </c>
      <c r="U100" s="2"/>
      <c r="V100" s="22">
        <f t="shared" si="77"/>
        <v>5.5814495320873009E-3</v>
      </c>
      <c r="W100" s="2"/>
      <c r="X100" s="2">
        <f t="shared" si="78"/>
        <v>-772.34</v>
      </c>
      <c r="Y100" s="2"/>
      <c r="Z100" s="22">
        <f t="shared" si="79"/>
        <v>-1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5" t="s">
        <v>3</v>
      </c>
      <c r="C102" s="25"/>
      <c r="D102" s="21">
        <f>+D51-D53+D98</f>
        <v>-26422.449999999979</v>
      </c>
      <c r="E102" s="13"/>
      <c r="F102" s="20">
        <f>IF(D$12=0,0,D102/D$12)</f>
        <v>-0.28678532819873809</v>
      </c>
      <c r="G102" s="13"/>
      <c r="H102" s="21">
        <f>+H51-H53+H98</f>
        <v>-11247.699999999923</v>
      </c>
      <c r="I102" s="13"/>
      <c r="J102" s="20">
        <f>IF(H$12=0,0,H102/H$12)</f>
        <v>-8.1283463114765392E-2</v>
      </c>
      <c r="K102" s="16"/>
      <c r="L102" s="21">
        <f>+D102-H102</f>
        <v>-15174.750000000056</v>
      </c>
      <c r="M102" s="16"/>
      <c r="N102" s="20">
        <f>IF(H102=0,0,L102/H102)</f>
        <v>1.3491424913538022</v>
      </c>
      <c r="O102" s="26"/>
      <c r="P102" s="21">
        <f>+P51-P53+P98</f>
        <v>-26422.449999999979</v>
      </c>
      <c r="Q102" s="13"/>
      <c r="R102" s="20">
        <f>IF(P$12=0,0,P102/P$12)</f>
        <v>-0.28678532819873809</v>
      </c>
      <c r="S102" s="13"/>
      <c r="T102" s="21">
        <f>+T51-T53+T98</f>
        <v>-11247.699999999923</v>
      </c>
      <c r="U102" s="13"/>
      <c r="V102" s="20">
        <f>IF(T$12=0,0,T102/T$12)</f>
        <v>-8.1283463114765392E-2</v>
      </c>
      <c r="W102" s="16"/>
      <c r="X102" s="21">
        <f>+P102-T102</f>
        <v>-15174.750000000056</v>
      </c>
      <c r="Y102" s="16"/>
      <c r="Z102" s="20">
        <f>IF(T102=0,0,X102/T102)</f>
        <v>1.3491424913538022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19157.21</v>
      </c>
      <c r="E104" s="4"/>
      <c r="F104" s="12">
        <f>IF(D$12=0,0,D104/D$12)</f>
        <v>0.20792949772720362</v>
      </c>
      <c r="G104" s="4"/>
      <c r="H104" s="4">
        <v>28408.73</v>
      </c>
      <c r="I104" s="4"/>
      <c r="J104" s="12">
        <f>IF(H$12=0,0,H104/H$12)</f>
        <v>0.20530063542700686</v>
      </c>
      <c r="K104" s="4"/>
      <c r="L104" s="4">
        <f>+D104-H104</f>
        <v>-9251.52</v>
      </c>
      <c r="M104" s="4"/>
      <c r="N104" s="12">
        <f>IF(H104=0,0,L104/H104)</f>
        <v>-0.32565764115467327</v>
      </c>
      <c r="O104" s="10"/>
      <c r="P104" s="4">
        <v>19157.21</v>
      </c>
      <c r="Q104" s="4"/>
      <c r="R104" s="12">
        <f>IF(P$12=0,0,P104/P$12)</f>
        <v>0.20792949772720362</v>
      </c>
      <c r="S104" s="4"/>
      <c r="T104" s="4">
        <v>28408.73</v>
      </c>
      <c r="U104" s="4"/>
      <c r="V104" s="12">
        <f>IF(T$12=0,0,T104/T$12)</f>
        <v>0.20530063542700686</v>
      </c>
      <c r="W104" s="4"/>
      <c r="X104" s="4">
        <f>+P104-T104</f>
        <v>-9251.52</v>
      </c>
      <c r="Y104" s="4"/>
      <c r="Z104" s="12">
        <f>IF(T104=0,0,X104/T104)</f>
        <v>-0.32565764115467327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4</v>
      </c>
      <c r="C106" s="25"/>
      <c r="D106" s="33">
        <f>+D102-D104</f>
        <v>-45579.659999999974</v>
      </c>
      <c r="E106" s="13"/>
      <c r="F106" s="34">
        <f>IF(D$12=0,0,D106/D$12)</f>
        <v>-0.49471482592594168</v>
      </c>
      <c r="G106" s="13"/>
      <c r="H106" s="33">
        <f>+H102-H104</f>
        <v>-39656.42999999992</v>
      </c>
      <c r="I106" s="13"/>
      <c r="J106" s="34">
        <f>IF(H$12=0,0,H106/H$12)</f>
        <v>-0.28658409854177225</v>
      </c>
      <c r="K106" s="16"/>
      <c r="L106" s="33">
        <f>D106-H106</f>
        <v>-5923.2300000000541</v>
      </c>
      <c r="M106" s="16"/>
      <c r="N106" s="34">
        <f>IF(H106=0,0,L106/H106)</f>
        <v>0.14936367191903219</v>
      </c>
      <c r="O106" s="26"/>
      <c r="P106" s="33">
        <f>+P102-P104</f>
        <v>-45579.659999999974</v>
      </c>
      <c r="Q106" s="13"/>
      <c r="R106" s="34">
        <f>IF(P$12=0,0,P106/P$12)</f>
        <v>-0.49471482592594168</v>
      </c>
      <c r="S106" s="13"/>
      <c r="T106" s="33">
        <f>+T102-T104</f>
        <v>-39656.42999999992</v>
      </c>
      <c r="U106" s="13"/>
      <c r="V106" s="34">
        <f>IF(T$12=0,0,T106/T$12)</f>
        <v>-0.28658409854177225</v>
      </c>
      <c r="W106" s="16"/>
      <c r="X106" s="33">
        <f>P106-T106</f>
        <v>-5923.2300000000541</v>
      </c>
      <c r="Y106" s="16"/>
      <c r="Z106" s="34">
        <f>IF(T106=0,0,X106/T106)</f>
        <v>0.14936367191903219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5</v>
      </c>
      <c r="C109" s="25"/>
      <c r="D109" s="31">
        <f>SUM(D106:D108)</f>
        <v>-45579.659999999974</v>
      </c>
      <c r="E109" s="13"/>
      <c r="F109" s="30">
        <f>IF(D$12=0,0,D109/D$12)</f>
        <v>-0.49471482592594168</v>
      </c>
      <c r="G109" s="13"/>
      <c r="H109" s="31">
        <f>SUM(H106:H108)</f>
        <v>-39656.42999999992</v>
      </c>
      <c r="I109" s="13"/>
      <c r="J109" s="30">
        <f>IF(H$12=0,0,H109/H$12)</f>
        <v>-0.28658409854177225</v>
      </c>
      <c r="K109" s="16"/>
      <c r="L109" s="31">
        <f>+D109-H109</f>
        <v>-5923.2300000000541</v>
      </c>
      <c r="M109" s="16"/>
      <c r="N109" s="30">
        <f>IF(H109=0,0,L109/H109)</f>
        <v>0.14936367191903219</v>
      </c>
      <c r="O109" s="26"/>
      <c r="P109" s="31">
        <f>SUM(P106:P108)</f>
        <v>-45579.659999999974</v>
      </c>
      <c r="Q109" s="13"/>
      <c r="R109" s="30">
        <f>IF(P$12=0,0,P109/P$12)</f>
        <v>-0.49471482592594168</v>
      </c>
      <c r="S109" s="13"/>
      <c r="T109" s="31">
        <f>SUM(T106:T108)</f>
        <v>-39656.42999999992</v>
      </c>
      <c r="U109" s="13"/>
      <c r="V109" s="30">
        <f>IF(T$12=0,0,T109/T$12)</f>
        <v>-0.28658409854177225</v>
      </c>
      <c r="W109" s="16"/>
      <c r="X109" s="31">
        <f>+P109-T109</f>
        <v>-5923.2300000000541</v>
      </c>
      <c r="Y109" s="16"/>
      <c r="Z109" s="30">
        <f>IF(T109=0,0,X109/T109)</f>
        <v>0.14936367191903219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6">
        <v>43726.681402581016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3" t="s">
        <v>313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9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77536.040000000023</v>
      </c>
      <c r="E12" s="4"/>
      <c r="F12" s="12"/>
      <c r="G12" s="4"/>
      <c r="H12" s="4">
        <f>SUM(OSRRefH13x_0)</f>
        <v>111472.85999999999</v>
      </c>
      <c r="I12" s="4"/>
      <c r="J12" s="12"/>
      <c r="K12" s="4"/>
      <c r="L12" s="4">
        <f t="shared" ref="L12:L33" si="0">+D12-H12</f>
        <v>-33936.819999999963</v>
      </c>
      <c r="M12" s="4"/>
      <c r="N12" s="12">
        <f t="shared" ref="N12:N33" si="1">IF(H12=0,0,L12/H12)</f>
        <v>-0.30444020185720511</v>
      </c>
      <c r="O12" s="10"/>
      <c r="P12" s="4">
        <f>SUM(OSRRefP13x_0)</f>
        <v>77536.040000000023</v>
      </c>
      <c r="Q12" s="4"/>
      <c r="R12" s="12"/>
      <c r="S12" s="4"/>
      <c r="T12" s="4">
        <f>SUM(OSRRefT13x_0)</f>
        <v>111472.85999999999</v>
      </c>
      <c r="U12" s="4"/>
      <c r="V12" s="12"/>
      <c r="W12" s="4"/>
      <c r="X12" s="4">
        <f t="shared" ref="X12:X33" si="2">+P12-T12</f>
        <v>-33936.819999999963</v>
      </c>
      <c r="Y12" s="4"/>
      <c r="Z12" s="12">
        <f t="shared" ref="Z12:Z33" si="3">IF(T12=0,0,X12/T12)</f>
        <v>-0.30444020185720511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--33938.15</f>
        <v>33938.15</v>
      </c>
      <c r="E13" s="2"/>
      <c r="F13" s="22"/>
      <c r="G13" s="2"/>
      <c r="H13" s="2">
        <f>--68993.78</f>
        <v>68993.78</v>
      </c>
      <c r="I13" s="2"/>
      <c r="J13" s="22"/>
      <c r="K13" s="2"/>
      <c r="L13" s="2">
        <f t="shared" si="0"/>
        <v>-35055.629999999997</v>
      </c>
      <c r="M13" s="2"/>
      <c r="N13" s="22">
        <f t="shared" si="1"/>
        <v>-0.50809841119011012</v>
      </c>
      <c r="O13" s="11"/>
      <c r="P13" s="2">
        <f>--33938.15</f>
        <v>33938.15</v>
      </c>
      <c r="Q13" s="2"/>
      <c r="R13" s="22"/>
      <c r="S13" s="2"/>
      <c r="T13" s="2">
        <f>--68993.78</f>
        <v>68993.78</v>
      </c>
      <c r="U13" s="2"/>
      <c r="V13" s="22"/>
      <c r="W13" s="2"/>
      <c r="X13" s="2">
        <f t="shared" si="2"/>
        <v>-35055.629999999997</v>
      </c>
      <c r="Y13" s="2"/>
      <c r="Z13" s="22">
        <f t="shared" si="3"/>
        <v>-0.50809841119011012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--13833.95</f>
        <v>13833.95</v>
      </c>
      <c r="E14" s="2"/>
      <c r="F14" s="22"/>
      <c r="G14" s="2"/>
      <c r="H14" s="2">
        <f>--14809.9</f>
        <v>14809.9</v>
      </c>
      <c r="I14" s="2"/>
      <c r="J14" s="22"/>
      <c r="K14" s="2"/>
      <c r="L14" s="2">
        <f t="shared" si="0"/>
        <v>-975.94999999999891</v>
      </c>
      <c r="M14" s="2"/>
      <c r="N14" s="22">
        <f t="shared" si="1"/>
        <v>-6.5898486823003463E-2</v>
      </c>
      <c r="O14" s="11"/>
      <c r="P14" s="2">
        <f>--13833.95</f>
        <v>13833.95</v>
      </c>
      <c r="Q14" s="2"/>
      <c r="R14" s="22"/>
      <c r="S14" s="2"/>
      <c r="T14" s="2">
        <f>--14809.9</f>
        <v>14809.9</v>
      </c>
      <c r="U14" s="2"/>
      <c r="V14" s="22"/>
      <c r="W14" s="2"/>
      <c r="X14" s="2">
        <f t="shared" si="2"/>
        <v>-975.94999999999891</v>
      </c>
      <c r="Y14" s="2"/>
      <c r="Z14" s="22">
        <f t="shared" si="3"/>
        <v>-6.5898486823003463E-2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>
        <f>--484</f>
        <v>484</v>
      </c>
      <c r="I15" s="2"/>
      <c r="J15" s="22"/>
      <c r="K15" s="2"/>
      <c r="L15" s="2">
        <f t="shared" si="0"/>
        <v>-50.019999999999982</v>
      </c>
      <c r="M15" s="2"/>
      <c r="N15" s="22">
        <f t="shared" si="1"/>
        <v>-0.10334710743801649</v>
      </c>
      <c r="O15" s="11"/>
      <c r="P15" s="2">
        <f>--433.98</f>
        <v>433.98</v>
      </c>
      <c r="Q15" s="2"/>
      <c r="R15" s="22"/>
      <c r="S15" s="2"/>
      <c r="T15" s="2">
        <f>--484</f>
        <v>484</v>
      </c>
      <c r="U15" s="2"/>
      <c r="V15" s="22"/>
      <c r="W15" s="2"/>
      <c r="X15" s="2">
        <f t="shared" si="2"/>
        <v>-50.019999999999982</v>
      </c>
      <c r="Y15" s="2"/>
      <c r="Z15" s="22">
        <f t="shared" si="3"/>
        <v>-0.10334710743801649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>
        <f>--143</f>
        <v>143</v>
      </c>
      <c r="I16" s="2"/>
      <c r="J16" s="22"/>
      <c r="K16" s="2"/>
      <c r="L16" s="2">
        <f t="shared" si="0"/>
        <v>-9.6500000000000057</v>
      </c>
      <c r="M16" s="2"/>
      <c r="N16" s="22">
        <f t="shared" si="1"/>
        <v>-6.7482517482517518E-2</v>
      </c>
      <c r="O16" s="11"/>
      <c r="P16" s="2">
        <f>--133.35</f>
        <v>133.35</v>
      </c>
      <c r="Q16" s="2"/>
      <c r="R16" s="22"/>
      <c r="S16" s="2"/>
      <c r="T16" s="2">
        <f>--143</f>
        <v>143</v>
      </c>
      <c r="U16" s="2"/>
      <c r="V16" s="22"/>
      <c r="W16" s="2"/>
      <c r="X16" s="2">
        <f t="shared" si="2"/>
        <v>-9.6500000000000057</v>
      </c>
      <c r="Y16" s="2"/>
      <c r="Z16" s="22">
        <f t="shared" si="3"/>
        <v>-6.7482517482517518E-2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>
        <f>--53.96</f>
        <v>53.96</v>
      </c>
      <c r="I17" s="2"/>
      <c r="J17" s="22"/>
      <c r="K17" s="2"/>
      <c r="L17" s="2">
        <f t="shared" si="0"/>
        <v>-14.009999999999998</v>
      </c>
      <c r="M17" s="2"/>
      <c r="N17" s="22">
        <f t="shared" si="1"/>
        <v>-0.25963676797627866</v>
      </c>
      <c r="O17" s="11"/>
      <c r="P17" s="2">
        <f>--39.95</f>
        <v>39.950000000000003</v>
      </c>
      <c r="Q17" s="2"/>
      <c r="R17" s="22"/>
      <c r="S17" s="2"/>
      <c r="T17" s="2">
        <f>--53.96</f>
        <v>53.96</v>
      </c>
      <c r="U17" s="2"/>
      <c r="V17" s="22"/>
      <c r="W17" s="2"/>
      <c r="X17" s="2">
        <f t="shared" si="2"/>
        <v>-14.009999999999998</v>
      </c>
      <c r="Y17" s="2"/>
      <c r="Z17" s="22">
        <f t="shared" si="3"/>
        <v>-0.25963676797627866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>
        <f>--200.49</f>
        <v>200.49</v>
      </c>
      <c r="I18" s="2"/>
      <c r="J18" s="22"/>
      <c r="K18" s="2"/>
      <c r="L18" s="2">
        <f t="shared" si="0"/>
        <v>50.16</v>
      </c>
      <c r="M18" s="2"/>
      <c r="N18" s="22">
        <f t="shared" si="1"/>
        <v>0.25018704174771805</v>
      </c>
      <c r="O18" s="11"/>
      <c r="P18" s="2">
        <f>--250.65</f>
        <v>250.65</v>
      </c>
      <c r="Q18" s="2"/>
      <c r="R18" s="22"/>
      <c r="S18" s="2"/>
      <c r="T18" s="2">
        <f>--200.49</f>
        <v>200.49</v>
      </c>
      <c r="U18" s="2"/>
      <c r="V18" s="22"/>
      <c r="W18" s="2"/>
      <c r="X18" s="2">
        <f t="shared" si="2"/>
        <v>50.16</v>
      </c>
      <c r="Y18" s="2"/>
      <c r="Z18" s="22">
        <f t="shared" si="3"/>
        <v>0.25018704174771805</v>
      </c>
    </row>
    <row r="19" spans="1:26" s="24" customFormat="1" hidden="1" outlineLevel="1" x14ac:dyDescent="0.25">
      <c r="A19" s="50"/>
      <c r="B19" s="11" t="str">
        <f>CONCATENATE("          ", "4018", " - ", "TAXABLE SALES-STUDY GUIDES")</f>
        <v xml:space="preserve">          4018 - TAXABLE SALES-STUDY GUIDES</v>
      </c>
      <c r="C19" s="11"/>
      <c r="D19" s="2">
        <f>--179.29</f>
        <v>179.29</v>
      </c>
      <c r="E19" s="2"/>
      <c r="F19" s="22"/>
      <c r="G19" s="2"/>
      <c r="H19" s="2">
        <f>--479.34</f>
        <v>479.34</v>
      </c>
      <c r="I19" s="2"/>
      <c r="J19" s="22"/>
      <c r="K19" s="2"/>
      <c r="L19" s="2">
        <f t="shared" si="0"/>
        <v>-300.04999999999995</v>
      </c>
      <c r="M19" s="2"/>
      <c r="N19" s="22">
        <f t="shared" si="1"/>
        <v>-0.62596486836066256</v>
      </c>
      <c r="O19" s="11"/>
      <c r="P19" s="2">
        <f>--179.29</f>
        <v>179.29</v>
      </c>
      <c r="Q19" s="2"/>
      <c r="R19" s="22"/>
      <c r="S19" s="2"/>
      <c r="T19" s="2">
        <f>--479.34</f>
        <v>479.34</v>
      </c>
      <c r="U19" s="2"/>
      <c r="V19" s="22"/>
      <c r="W19" s="2"/>
      <c r="X19" s="2">
        <f t="shared" si="2"/>
        <v>-300.04999999999995</v>
      </c>
      <c r="Y19" s="2"/>
      <c r="Z19" s="22">
        <f t="shared" si="3"/>
        <v>-0.62596486836066256</v>
      </c>
    </row>
    <row r="20" spans="1:26" s="24" customFormat="1" hidden="1" outlineLevel="1" x14ac:dyDescent="0.25">
      <c r="A20" s="50"/>
      <c r="B20" s="11" t="str">
        <f>CONCATENATE("          ", "4101", " - ", "NON-TAXABLE SALES-NEW TEXT")</f>
        <v xml:space="preserve">          4101 - NON-TAXABLE SALES-NEW TEXT</v>
      </c>
      <c r="C20" s="11"/>
      <c r="D20" s="2">
        <f>--7736.58</f>
        <v>7736.58</v>
      </c>
      <c r="E20" s="2"/>
      <c r="F20" s="22"/>
      <c r="G20" s="2"/>
      <c r="H20" s="2">
        <f>--16833.23</f>
        <v>16833.23</v>
      </c>
      <c r="I20" s="2"/>
      <c r="J20" s="22"/>
      <c r="K20" s="2"/>
      <c r="L20" s="2">
        <f t="shared" si="0"/>
        <v>-9096.65</v>
      </c>
      <c r="M20" s="2"/>
      <c r="N20" s="22">
        <f t="shared" si="1"/>
        <v>-0.5403983668018556</v>
      </c>
      <c r="O20" s="11"/>
      <c r="P20" s="2">
        <f>--7736.58</f>
        <v>7736.58</v>
      </c>
      <c r="Q20" s="2"/>
      <c r="R20" s="22"/>
      <c r="S20" s="2"/>
      <c r="T20" s="2">
        <f>--16833.23</f>
        <v>16833.23</v>
      </c>
      <c r="U20" s="2"/>
      <c r="V20" s="22"/>
      <c r="W20" s="2"/>
      <c r="X20" s="2">
        <f t="shared" si="2"/>
        <v>-9096.65</v>
      </c>
      <c r="Y20" s="2"/>
      <c r="Z20" s="22">
        <f t="shared" si="3"/>
        <v>-0.5403983668018556</v>
      </c>
    </row>
    <row r="21" spans="1:26" s="24" customFormat="1" hidden="1" outlineLevel="1" x14ac:dyDescent="0.25">
      <c r="A21" s="50"/>
      <c r="B21" s="11" t="str">
        <f>CONCATENATE("          ", "4102", " - ", "NON-TAXABLE SALES-USED TEXT")</f>
        <v xml:space="preserve">          4102 - NON-TAXABLE SALES-USED TEXT</v>
      </c>
      <c r="C21" s="11"/>
      <c r="D21" s="2">
        <f>--5359.24</f>
        <v>5359.24</v>
      </c>
      <c r="E21" s="2"/>
      <c r="F21" s="22"/>
      <c r="G21" s="2"/>
      <c r="H21" s="2">
        <f>--2616.94</f>
        <v>2616.94</v>
      </c>
      <c r="I21" s="2"/>
      <c r="J21" s="22"/>
      <c r="K21" s="2"/>
      <c r="L21" s="2">
        <f t="shared" si="0"/>
        <v>2742.2999999999997</v>
      </c>
      <c r="M21" s="2"/>
      <c r="N21" s="22">
        <f t="shared" si="1"/>
        <v>1.0479032763456555</v>
      </c>
      <c r="O21" s="11"/>
      <c r="P21" s="2">
        <f>--5359.24</f>
        <v>5359.24</v>
      </c>
      <c r="Q21" s="2"/>
      <c r="R21" s="22"/>
      <c r="S21" s="2"/>
      <c r="T21" s="2">
        <f>--2616.94</f>
        <v>2616.94</v>
      </c>
      <c r="U21" s="2"/>
      <c r="V21" s="22"/>
      <c r="W21" s="2"/>
      <c r="X21" s="2">
        <f t="shared" si="2"/>
        <v>2742.2999999999997</v>
      </c>
      <c r="Y21" s="2"/>
      <c r="Z21" s="22">
        <f t="shared" si="3"/>
        <v>1.0479032763456555</v>
      </c>
    </row>
    <row r="22" spans="1:26" s="24" customFormat="1" hidden="1" outlineLevel="1" x14ac:dyDescent="0.25">
      <c r="A22" s="50"/>
      <c r="B22" s="11" t="str">
        <f>CONCATENATE("          ", "4104", " - ", "NON-TAXABLE SALES-DIGITAL TEXT")</f>
        <v xml:space="preserve">          4104 - NON-TAXABLE SALES-DIGITAL TEXT</v>
      </c>
      <c r="C22" s="11"/>
      <c r="D22" s="2">
        <f>--13424.17</f>
        <v>13424.17</v>
      </c>
      <c r="E22" s="2"/>
      <c r="F22" s="22"/>
      <c r="G22" s="2"/>
      <c r="H22" s="2">
        <f>--7347.66</f>
        <v>7347.66</v>
      </c>
      <c r="I22" s="2"/>
      <c r="J22" s="22"/>
      <c r="K22" s="2"/>
      <c r="L22" s="2">
        <f t="shared" si="0"/>
        <v>6076.51</v>
      </c>
      <c r="M22" s="2"/>
      <c r="N22" s="22">
        <f t="shared" si="1"/>
        <v>0.82699934400884101</v>
      </c>
      <c r="O22" s="11"/>
      <c r="P22" s="2">
        <f>--13424.17</f>
        <v>13424.17</v>
      </c>
      <c r="Q22" s="2"/>
      <c r="R22" s="22"/>
      <c r="S22" s="2"/>
      <c r="T22" s="2">
        <f>--7347.66</f>
        <v>7347.66</v>
      </c>
      <c r="U22" s="2"/>
      <c r="V22" s="22"/>
      <c r="W22" s="2"/>
      <c r="X22" s="2">
        <f t="shared" si="2"/>
        <v>6076.51</v>
      </c>
      <c r="Y22" s="2"/>
      <c r="Z22" s="22">
        <f t="shared" si="3"/>
        <v>0.82699934400884101</v>
      </c>
    </row>
    <row r="23" spans="1:26" s="24" customFormat="1" hidden="1" outlineLevel="1" x14ac:dyDescent="0.25">
      <c r="A23" s="50"/>
      <c r="B23" s="11" t="str">
        <f>CONCATENATE("          ", "4111", " - ", "NON-TAXABLE SALES-NO VALUE TEX")</f>
        <v xml:space="preserve">          4111 - NON-TAXABLE SALES-NO VALUE TEX</v>
      </c>
      <c r="C23" s="11"/>
      <c r="D23" s="2">
        <f>--2680.95</f>
        <v>2680.95</v>
      </c>
      <c r="E23" s="2"/>
      <c r="F23" s="22"/>
      <c r="G23" s="2"/>
      <c r="H23" s="2">
        <f>--2828.58</f>
        <v>2828.58</v>
      </c>
      <c r="I23" s="2"/>
      <c r="J23" s="22"/>
      <c r="K23" s="2"/>
      <c r="L23" s="2">
        <f t="shared" si="0"/>
        <v>-147.63000000000011</v>
      </c>
      <c r="M23" s="2"/>
      <c r="N23" s="22">
        <f t="shared" si="1"/>
        <v>-5.2192266084042212E-2</v>
      </c>
      <c r="O23" s="11"/>
      <c r="P23" s="2">
        <f>--2680.95</f>
        <v>2680.95</v>
      </c>
      <c r="Q23" s="2"/>
      <c r="R23" s="22"/>
      <c r="S23" s="2"/>
      <c r="T23" s="2">
        <f>--2828.58</f>
        <v>2828.58</v>
      </c>
      <c r="U23" s="2"/>
      <c r="V23" s="22"/>
      <c r="W23" s="2"/>
      <c r="X23" s="2">
        <f t="shared" si="2"/>
        <v>-147.63000000000011</v>
      </c>
      <c r="Y23" s="2"/>
      <c r="Z23" s="22">
        <f t="shared" si="3"/>
        <v>-5.2192266084042212E-2</v>
      </c>
    </row>
    <row r="24" spans="1:26" s="24" customFormat="1" hidden="1" outlineLevel="1" x14ac:dyDescent="0.25">
      <c r="A24" s="50"/>
      <c r="B24" s="11" t="str">
        <f>CONCATENATE("          ", "4113", " - ", "NON-TAXABLE SALES-TRADE BOOKS")</f>
        <v xml:space="preserve">          4113 - NON-TAXABLE SALES-TRADE BOOKS</v>
      </c>
      <c r="C24" s="11"/>
      <c r="D24" s="2">
        <f>--1134</f>
        <v>1134</v>
      </c>
      <c r="E24" s="2"/>
      <c r="F24" s="22"/>
      <c r="G24" s="2"/>
      <c r="H24" s="2">
        <f>--7.06</f>
        <v>7.06</v>
      </c>
      <c r="I24" s="2"/>
      <c r="J24" s="22"/>
      <c r="K24" s="2"/>
      <c r="L24" s="2">
        <f t="shared" si="0"/>
        <v>1126.94</v>
      </c>
      <c r="M24" s="2"/>
      <c r="N24" s="22">
        <f t="shared" si="1"/>
        <v>159.62322946175638</v>
      </c>
      <c r="O24" s="11"/>
      <c r="P24" s="2">
        <f>--1134</f>
        <v>1134</v>
      </c>
      <c r="Q24" s="2"/>
      <c r="R24" s="22"/>
      <c r="S24" s="2"/>
      <c r="T24" s="2">
        <f>--7.06</f>
        <v>7.06</v>
      </c>
      <c r="U24" s="2"/>
      <c r="V24" s="22"/>
      <c r="W24" s="2"/>
      <c r="X24" s="2">
        <f t="shared" si="2"/>
        <v>1126.94</v>
      </c>
      <c r="Y24" s="2"/>
      <c r="Z24" s="22">
        <f t="shared" si="3"/>
        <v>159.62322946175638</v>
      </c>
    </row>
    <row r="25" spans="1:26" s="24" customFormat="1" hidden="1" outlineLevel="1" x14ac:dyDescent="0.25">
      <c r="A25" s="50"/>
      <c r="B25" s="11" t="str">
        <f>CONCATENATE("          ", "4118", " - ", "NON-TAXABLE SALES-STUDY GUIDES")</f>
        <v xml:space="preserve">          4118 - NON-TAXABLE SALES-STUDY GUIDES</v>
      </c>
      <c r="C25" s="11"/>
      <c r="D25" s="2">
        <f>--6.95</f>
        <v>6.95</v>
      </c>
      <c r="E25" s="2"/>
      <c r="F25" s="22"/>
      <c r="G25" s="2"/>
      <c r="H25" s="2">
        <f>--35.93</f>
        <v>35.93</v>
      </c>
      <c r="I25" s="2"/>
      <c r="J25" s="22"/>
      <c r="K25" s="2"/>
      <c r="L25" s="2">
        <f t="shared" si="0"/>
        <v>-28.98</v>
      </c>
      <c r="M25" s="2"/>
      <c r="N25" s="22">
        <f t="shared" si="1"/>
        <v>-0.80656832730308936</v>
      </c>
      <c r="O25" s="11"/>
      <c r="P25" s="2">
        <f>--6.95</f>
        <v>6.95</v>
      </c>
      <c r="Q25" s="2"/>
      <c r="R25" s="22"/>
      <c r="S25" s="2"/>
      <c r="T25" s="2">
        <f>--35.93</f>
        <v>35.93</v>
      </c>
      <c r="U25" s="2"/>
      <c r="V25" s="22"/>
      <c r="W25" s="2"/>
      <c r="X25" s="2">
        <f t="shared" si="2"/>
        <v>-28.98</v>
      </c>
      <c r="Y25" s="2"/>
      <c r="Z25" s="22">
        <f t="shared" si="3"/>
        <v>-0.80656832730308936</v>
      </c>
    </row>
    <row r="26" spans="1:26" s="24" customFormat="1" hidden="1" outlineLevel="1" x14ac:dyDescent="0.25">
      <c r="A26" s="50"/>
      <c r="B26" s="11" t="str">
        <f>CONCATENATE("          ", "4201", " - ", "SALES RETURN TAXABLE-NEW TEXT")</f>
        <v xml:space="preserve">          4201 - SALES RETURN TAXABLE-NEW TEXT</v>
      </c>
      <c r="C26" s="11"/>
      <c r="D26" s="2">
        <f>-607.15</f>
        <v>-607.15</v>
      </c>
      <c r="E26" s="2"/>
      <c r="F26" s="22"/>
      <c r="G26" s="2"/>
      <c r="H26" s="2">
        <f>-1507.5</f>
        <v>-1507.5</v>
      </c>
      <c r="I26" s="2"/>
      <c r="J26" s="22"/>
      <c r="K26" s="2"/>
      <c r="L26" s="2">
        <f t="shared" si="0"/>
        <v>900.35</v>
      </c>
      <c r="M26" s="2"/>
      <c r="N26" s="22">
        <f t="shared" si="1"/>
        <v>-0.59724709784411278</v>
      </c>
      <c r="O26" s="11"/>
      <c r="P26" s="2">
        <f>-607.15</f>
        <v>-607.15</v>
      </c>
      <c r="Q26" s="2"/>
      <c r="R26" s="22"/>
      <c r="S26" s="2"/>
      <c r="T26" s="2">
        <f>-1507.5</f>
        <v>-1507.5</v>
      </c>
      <c r="U26" s="2"/>
      <c r="V26" s="22"/>
      <c r="W26" s="2"/>
      <c r="X26" s="2">
        <f t="shared" si="2"/>
        <v>900.35</v>
      </c>
      <c r="Y26" s="2"/>
      <c r="Z26" s="22">
        <f t="shared" si="3"/>
        <v>-0.59724709784411278</v>
      </c>
    </row>
    <row r="27" spans="1:26" s="24" customFormat="1" hidden="1" outlineLevel="1" x14ac:dyDescent="0.25">
      <c r="A27" s="50"/>
      <c r="B27" s="11" t="str">
        <f>CONCATENATE("          ", "4202", " - ", "SALES RETURN TAXABLE-USED TEXT")</f>
        <v xml:space="preserve">          4202 - SALES RETURN TAXABLE-USED TEXT</v>
      </c>
      <c r="C27" s="11"/>
      <c r="D27" s="2">
        <f>-721.45</f>
        <v>-721.45</v>
      </c>
      <c r="E27" s="2"/>
      <c r="F27" s="22"/>
      <c r="G27" s="2"/>
      <c r="H27" s="2">
        <f>-579.25</f>
        <v>-579.25</v>
      </c>
      <c r="I27" s="2"/>
      <c r="J27" s="22"/>
      <c r="K27" s="2"/>
      <c r="L27" s="2">
        <f t="shared" si="0"/>
        <v>-142.20000000000005</v>
      </c>
      <c r="M27" s="2"/>
      <c r="N27" s="22">
        <f t="shared" si="1"/>
        <v>0.2454898575744498</v>
      </c>
      <c r="O27" s="11"/>
      <c r="P27" s="2">
        <f>-721.45</f>
        <v>-721.45</v>
      </c>
      <c r="Q27" s="2"/>
      <c r="R27" s="22"/>
      <c r="S27" s="2"/>
      <c r="T27" s="2">
        <f>-579.25</f>
        <v>-579.25</v>
      </c>
      <c r="U27" s="2"/>
      <c r="V27" s="22"/>
      <c r="W27" s="2"/>
      <c r="X27" s="2">
        <f t="shared" si="2"/>
        <v>-142.20000000000005</v>
      </c>
      <c r="Y27" s="2"/>
      <c r="Z27" s="22">
        <f t="shared" si="3"/>
        <v>0.2454898575744498</v>
      </c>
    </row>
    <row r="28" spans="1:26" s="24" customFormat="1" hidden="1" outlineLevel="1" x14ac:dyDescent="0.25">
      <c r="A28" s="50"/>
      <c r="B28" s="11" t="str">
        <f>CONCATENATE("          ", "4204", " - ", "SALES RETURN TAXABLE-DIGITAL T")</f>
        <v xml:space="preserve">          4204 - SALES RETURN TAXABLE-DIGITAL T</v>
      </c>
      <c r="C28" s="11"/>
      <c r="D28" s="2">
        <f t="shared" ref="D28:D29" si="4">0</f>
        <v>0</v>
      </c>
      <c r="E28" s="2"/>
      <c r="F28" s="22"/>
      <c r="G28" s="2"/>
      <c r="H28" s="2">
        <f>-85</f>
        <v>-85</v>
      </c>
      <c r="I28" s="2"/>
      <c r="J28" s="22"/>
      <c r="K28" s="2"/>
      <c r="L28" s="2">
        <f t="shared" si="0"/>
        <v>85</v>
      </c>
      <c r="M28" s="2"/>
      <c r="N28" s="22">
        <f t="shared" si="1"/>
        <v>-1</v>
      </c>
      <c r="O28" s="11"/>
      <c r="P28" s="2">
        <f t="shared" ref="P28:P29" si="5">0</f>
        <v>0</v>
      </c>
      <c r="Q28" s="2"/>
      <c r="R28" s="22"/>
      <c r="S28" s="2"/>
      <c r="T28" s="2">
        <f>-85</f>
        <v>-85</v>
      </c>
      <c r="U28" s="2"/>
      <c r="V28" s="22"/>
      <c r="W28" s="2"/>
      <c r="X28" s="2">
        <f t="shared" si="2"/>
        <v>85</v>
      </c>
      <c r="Y28" s="2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"4218", " - ", "SALES RETURN TAXABLE-STUDY GUI")</f>
        <v xml:space="preserve">          4218 - SALES RETURN TAXABLE-STUDY GUI</v>
      </c>
      <c r="C29" s="11"/>
      <c r="D29" s="2">
        <f t="shared" si="4"/>
        <v>0</v>
      </c>
      <c r="E29" s="2"/>
      <c r="F29" s="22"/>
      <c r="G29" s="2"/>
      <c r="H29" s="2">
        <f>-15.95</f>
        <v>-15.95</v>
      </c>
      <c r="I29" s="2"/>
      <c r="J29" s="22"/>
      <c r="K29" s="2"/>
      <c r="L29" s="2">
        <f t="shared" si="0"/>
        <v>15.95</v>
      </c>
      <c r="M29" s="2"/>
      <c r="N29" s="22">
        <f t="shared" si="1"/>
        <v>-1</v>
      </c>
      <c r="O29" s="11"/>
      <c r="P29" s="2">
        <f t="shared" si="5"/>
        <v>0</v>
      </c>
      <c r="Q29" s="2"/>
      <c r="R29" s="22"/>
      <c r="S29" s="2"/>
      <c r="T29" s="2">
        <f>-15.95</f>
        <v>-15.95</v>
      </c>
      <c r="U29" s="2"/>
      <c r="V29" s="22"/>
      <c r="W29" s="2"/>
      <c r="X29" s="2">
        <f t="shared" si="2"/>
        <v>15.95</v>
      </c>
      <c r="Y29" s="2"/>
      <c r="Z29" s="22">
        <f t="shared" si="3"/>
        <v>-1</v>
      </c>
    </row>
    <row r="30" spans="1:26" s="24" customFormat="1" hidden="1" outlineLevel="1" x14ac:dyDescent="0.25">
      <c r="A30" s="50"/>
      <c r="B30" s="11" t="str">
        <f>CONCATENATE("          ", "4301", " - ", "SALES RETURN NON TAXABLE-NEW T")</f>
        <v xml:space="preserve">          4301 - SALES RETURN NON TAXABLE-NEW T</v>
      </c>
      <c r="C30" s="11"/>
      <c r="D30" s="2">
        <f>-254.59</f>
        <v>-254.59</v>
      </c>
      <c r="E30" s="2"/>
      <c r="F30" s="22"/>
      <c r="G30" s="2"/>
      <c r="H30" s="2">
        <f>-996.13</f>
        <v>-996.13</v>
      </c>
      <c r="I30" s="2"/>
      <c r="J30" s="22"/>
      <c r="K30" s="2"/>
      <c r="L30" s="2">
        <f t="shared" si="0"/>
        <v>741.54</v>
      </c>
      <c r="M30" s="2"/>
      <c r="N30" s="22">
        <f t="shared" si="1"/>
        <v>-0.74442090891751078</v>
      </c>
      <c r="O30" s="11"/>
      <c r="P30" s="2">
        <f>-254.59</f>
        <v>-254.59</v>
      </c>
      <c r="Q30" s="2"/>
      <c r="R30" s="22"/>
      <c r="S30" s="2"/>
      <c r="T30" s="2">
        <f>-996.13</f>
        <v>-996.13</v>
      </c>
      <c r="U30" s="2"/>
      <c r="V30" s="22"/>
      <c r="W30" s="2"/>
      <c r="X30" s="2">
        <f t="shared" si="2"/>
        <v>741.54</v>
      </c>
      <c r="Y30" s="2"/>
      <c r="Z30" s="22">
        <f t="shared" si="3"/>
        <v>-0.74442090891751078</v>
      </c>
    </row>
    <row r="31" spans="1:26" s="24" customFormat="1" hidden="1" outlineLevel="1" x14ac:dyDescent="0.25">
      <c r="A31" s="50"/>
      <c r="B31" s="11" t="str">
        <f>CONCATENATE("          ", "4302", " - ", "SALES RETURN NON TAXABLE-TEXT")</f>
        <v xml:space="preserve">          4302 - SALES RETURN NON TAXABLE-TEXT</v>
      </c>
      <c r="C31" s="11"/>
      <c r="D31" s="2">
        <f t="shared" ref="D31:D32" si="6">0</f>
        <v>0</v>
      </c>
      <c r="E31" s="2"/>
      <c r="F31" s="22"/>
      <c r="G31" s="2"/>
      <c r="H31" s="2">
        <f>-112.8</f>
        <v>-112.8</v>
      </c>
      <c r="I31" s="2"/>
      <c r="J31" s="22"/>
      <c r="K31" s="2"/>
      <c r="L31" s="2">
        <f t="shared" si="0"/>
        <v>112.8</v>
      </c>
      <c r="M31" s="2"/>
      <c r="N31" s="22">
        <f t="shared" si="1"/>
        <v>-1</v>
      </c>
      <c r="O31" s="11"/>
      <c r="P31" s="2">
        <f t="shared" ref="P31:P32" si="7">0</f>
        <v>0</v>
      </c>
      <c r="Q31" s="2"/>
      <c r="R31" s="22"/>
      <c r="S31" s="2"/>
      <c r="T31" s="2">
        <f>-112.8</f>
        <v>-112.8</v>
      </c>
      <c r="U31" s="2"/>
      <c r="V31" s="22"/>
      <c r="W31" s="2"/>
      <c r="X31" s="2">
        <f t="shared" si="2"/>
        <v>112.8</v>
      </c>
      <c r="Y31" s="2"/>
      <c r="Z31" s="22">
        <f t="shared" si="3"/>
        <v>-1</v>
      </c>
    </row>
    <row r="32" spans="1:26" s="24" customFormat="1" hidden="1" outlineLevel="1" x14ac:dyDescent="0.25">
      <c r="A32" s="50"/>
      <c r="B32" s="11" t="str">
        <f>CONCATENATE("          ", "4304", " - ", "SALES RETURN NON TAXABLE-DIGIT")</f>
        <v xml:space="preserve">          4304 - SALES RETURN NON TAXABLE-DIGIT</v>
      </c>
      <c r="C32" s="11"/>
      <c r="D32" s="2">
        <f t="shared" si="6"/>
        <v>0</v>
      </c>
      <c r="E32" s="2"/>
      <c r="F32" s="22"/>
      <c r="G32" s="2"/>
      <c r="H32" s="2">
        <f>-20</f>
        <v>-20</v>
      </c>
      <c r="I32" s="2"/>
      <c r="J32" s="22"/>
      <c r="K32" s="2"/>
      <c r="L32" s="2">
        <f t="shared" si="0"/>
        <v>20</v>
      </c>
      <c r="M32" s="2"/>
      <c r="N32" s="22">
        <f t="shared" si="1"/>
        <v>-1</v>
      </c>
      <c r="O32" s="11"/>
      <c r="P32" s="2">
        <f t="shared" si="7"/>
        <v>0</v>
      </c>
      <c r="Q32" s="2"/>
      <c r="R32" s="22"/>
      <c r="S32" s="2"/>
      <c r="T32" s="2">
        <f>-20</f>
        <v>-20</v>
      </c>
      <c r="U32" s="2"/>
      <c r="V32" s="22"/>
      <c r="W32" s="2"/>
      <c r="X32" s="2">
        <f t="shared" si="2"/>
        <v>20</v>
      </c>
      <c r="Y32" s="2"/>
      <c r="Z32" s="22">
        <f t="shared" si="3"/>
        <v>-1</v>
      </c>
    </row>
    <row r="33" spans="1:26" s="24" customFormat="1" hidden="1" outlineLevel="1" x14ac:dyDescent="0.25">
      <c r="A33" s="50"/>
      <c r="B33" s="11" t="str">
        <f>CONCATENATE("          ", "4311", " - ", "SALES RETURN NON TAXABLE-NO VA")</f>
        <v xml:space="preserve">          4311 - SALES RETURN NON TAXABLE-NO VA</v>
      </c>
      <c r="C33" s="11"/>
      <c r="D33" s="2">
        <f>-31.98</f>
        <v>-31.98</v>
      </c>
      <c r="E33" s="2"/>
      <c r="F33" s="22"/>
      <c r="G33" s="2"/>
      <c r="H33" s="2">
        <f>-44.38</f>
        <v>-44.38</v>
      </c>
      <c r="I33" s="2"/>
      <c r="J33" s="22"/>
      <c r="K33" s="2"/>
      <c r="L33" s="2">
        <f t="shared" si="0"/>
        <v>12.400000000000002</v>
      </c>
      <c r="M33" s="2"/>
      <c r="N33" s="22">
        <f t="shared" si="1"/>
        <v>-0.27940513744930151</v>
      </c>
      <c r="O33" s="11"/>
      <c r="P33" s="2">
        <f>-31.98</f>
        <v>-31.98</v>
      </c>
      <c r="Q33" s="2"/>
      <c r="R33" s="22"/>
      <c r="S33" s="2"/>
      <c r="T33" s="2">
        <f>-44.38</f>
        <v>-44.38</v>
      </c>
      <c r="U33" s="2"/>
      <c r="V33" s="22"/>
      <c r="W33" s="2"/>
      <c r="X33" s="2">
        <f t="shared" si="2"/>
        <v>12.400000000000002</v>
      </c>
      <c r="Y33" s="2"/>
      <c r="Z33" s="22">
        <f t="shared" si="3"/>
        <v>-0.27940513744930151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8</v>
      </c>
      <c r="C35" s="10"/>
      <c r="D35" s="4">
        <f>SUM(OSRRefD16x_0)</f>
        <v>63287.460000000014</v>
      </c>
      <c r="E35" s="4"/>
      <c r="F35" s="12">
        <f t="shared" ref="F35:F48" si="8">IF(D$12=0,0,D35/D$12)</f>
        <v>0.81623281250886681</v>
      </c>
      <c r="G35" s="4"/>
      <c r="H35" s="4">
        <f>SUM(OSRRefH16x_0)</f>
        <v>82245.48000000004</v>
      </c>
      <c r="I35" s="4"/>
      <c r="J35" s="12">
        <f t="shared" ref="J35:J48" si="9">IF(H$12=0,0,H35/H$12)</f>
        <v>0.7378072115490717</v>
      </c>
      <c r="K35" s="4"/>
      <c r="L35" s="4">
        <f t="shared" ref="L35:L48" si="10">+D35-H35</f>
        <v>-18958.020000000026</v>
      </c>
      <c r="M35" s="4"/>
      <c r="N35" s="12">
        <f t="shared" ref="N35:N48" si="11">IF(H35=0,0,L35/H35)</f>
        <v>-0.23050531165968047</v>
      </c>
      <c r="O35" s="10"/>
      <c r="P35" s="4">
        <f>SUM(OSRRefP16x_0)</f>
        <v>63287.460000000014</v>
      </c>
      <c r="Q35" s="4"/>
      <c r="R35" s="12">
        <f t="shared" ref="R35:R48" si="12">IF(P$12=0,0,P35/P$12)</f>
        <v>0.81623281250886681</v>
      </c>
      <c r="S35" s="4"/>
      <c r="T35" s="4">
        <f>SUM(OSRRefT16x_0)</f>
        <v>82245.48000000004</v>
      </c>
      <c r="U35" s="4"/>
      <c r="V35" s="12">
        <f t="shared" ref="V35:V48" si="13">IF(T$12=0,0,T35/T$12)</f>
        <v>0.7378072115490717</v>
      </c>
      <c r="W35" s="4"/>
      <c r="X35" s="4">
        <f t="shared" ref="X35:X48" si="14">+P35-T35</f>
        <v>-18958.020000000026</v>
      </c>
      <c r="Y35" s="4"/>
      <c r="Z35" s="12">
        <f t="shared" ref="Z35:Z48" si="15">IF(T35=0,0,X35/T35)</f>
        <v>-0.23050531165968047</v>
      </c>
    </row>
    <row r="36" spans="1:26" s="24" customFormat="1" hidden="1" outlineLevel="1" x14ac:dyDescent="0.25">
      <c r="A36" s="50"/>
      <c r="B36" s="11" t="str">
        <f>CONCATENATE("          ", "5001", " - ", "PURCHASES @ COST-NEW TEXT")</f>
        <v xml:space="preserve">          5001 - PURCHASES @ COST-NEW TEXT</v>
      </c>
      <c r="C36" s="11"/>
      <c r="D36" s="2">
        <v>341200.05</v>
      </c>
      <c r="E36" s="2"/>
      <c r="F36" s="22">
        <f t="shared" si="8"/>
        <v>4.4005348996415075</v>
      </c>
      <c r="G36" s="2"/>
      <c r="H36" s="2">
        <v>496371.9</v>
      </c>
      <c r="I36" s="2"/>
      <c r="J36" s="22">
        <f t="shared" si="9"/>
        <v>4.4528497788609718</v>
      </c>
      <c r="K36" s="2"/>
      <c r="L36" s="2">
        <f t="shared" si="10"/>
        <v>-155171.85000000003</v>
      </c>
      <c r="M36" s="2"/>
      <c r="N36" s="22">
        <f t="shared" si="11"/>
        <v>-0.31261207574401378</v>
      </c>
      <c r="O36" s="11"/>
      <c r="P36" s="2">
        <v>341200.05</v>
      </c>
      <c r="Q36" s="2"/>
      <c r="R36" s="22">
        <f t="shared" si="12"/>
        <v>4.4005348996415075</v>
      </c>
      <c r="S36" s="2"/>
      <c r="T36" s="2">
        <v>496371.9</v>
      </c>
      <c r="U36" s="2"/>
      <c r="V36" s="22">
        <f t="shared" si="13"/>
        <v>4.4528497788609718</v>
      </c>
      <c r="W36" s="2"/>
      <c r="X36" s="2">
        <f t="shared" si="14"/>
        <v>-155171.85000000003</v>
      </c>
      <c r="Y36" s="2"/>
      <c r="Z36" s="22">
        <f t="shared" si="15"/>
        <v>-0.31261207574401378</v>
      </c>
    </row>
    <row r="37" spans="1:26" s="24" customFormat="1" hidden="1" outlineLevel="1" x14ac:dyDescent="0.25">
      <c r="A37" s="50"/>
      <c r="B37" s="11" t="str">
        <f>CONCATENATE("          ", "5002", " - ", "PURCHASES @ COST-USED TEXT")</f>
        <v xml:space="preserve">          5002 - PURCHASES @ COST-USED TEXT</v>
      </c>
      <c r="C37" s="11"/>
      <c r="D37" s="2">
        <v>100384.16</v>
      </c>
      <c r="E37" s="2"/>
      <c r="F37" s="22">
        <f t="shared" si="8"/>
        <v>1.2946774171082245</v>
      </c>
      <c r="G37" s="2"/>
      <c r="H37" s="2">
        <v>-78350.450000000012</v>
      </c>
      <c r="I37" s="2"/>
      <c r="J37" s="22">
        <f t="shared" si="9"/>
        <v>-0.70286570201930787</v>
      </c>
      <c r="K37" s="2"/>
      <c r="L37" s="2">
        <f t="shared" si="10"/>
        <v>178734.61000000002</v>
      </c>
      <c r="M37" s="2"/>
      <c r="N37" s="22">
        <f t="shared" si="11"/>
        <v>-2.2812199547035146</v>
      </c>
      <c r="O37" s="11"/>
      <c r="P37" s="2">
        <v>100384.16</v>
      </c>
      <c r="Q37" s="2"/>
      <c r="R37" s="22">
        <f t="shared" si="12"/>
        <v>1.2946774171082245</v>
      </c>
      <c r="S37" s="2"/>
      <c r="T37" s="2">
        <v>-78350.450000000012</v>
      </c>
      <c r="U37" s="2"/>
      <c r="V37" s="22">
        <f t="shared" si="13"/>
        <v>-0.70286570201930787</v>
      </c>
      <c r="W37" s="2"/>
      <c r="X37" s="2">
        <f t="shared" si="14"/>
        <v>178734.61000000002</v>
      </c>
      <c r="Y37" s="2"/>
      <c r="Z37" s="22">
        <f t="shared" si="15"/>
        <v>-2.2812199547035146</v>
      </c>
    </row>
    <row r="38" spans="1:26" s="24" customFormat="1" hidden="1" outlineLevel="1" x14ac:dyDescent="0.25">
      <c r="A38" s="50"/>
      <c r="B38" s="11" t="str">
        <f>CONCATENATE("          ", "5003", " - ", "PURCHASES @ COST-RENTAL TEXT")</f>
        <v xml:space="preserve">          5003 - PURCHASES @ COST-RENTAL TEXT</v>
      </c>
      <c r="C38" s="11"/>
      <c r="D38" s="2">
        <v>38295.800000000003</v>
      </c>
      <c r="E38" s="2"/>
      <c r="F38" s="22">
        <f t="shared" si="8"/>
        <v>0.49390967090916676</v>
      </c>
      <c r="G38" s="2"/>
      <c r="H38" s="2">
        <v>-1763.7</v>
      </c>
      <c r="I38" s="2"/>
      <c r="J38" s="22">
        <f t="shared" si="9"/>
        <v>-1.5821788370729881E-2</v>
      </c>
      <c r="K38" s="2"/>
      <c r="L38" s="2">
        <f t="shared" si="10"/>
        <v>40059.5</v>
      </c>
      <c r="M38" s="2"/>
      <c r="N38" s="22">
        <f t="shared" si="11"/>
        <v>-22.713329931394227</v>
      </c>
      <c r="O38" s="11"/>
      <c r="P38" s="2">
        <v>38295.800000000003</v>
      </c>
      <c r="Q38" s="2"/>
      <c r="R38" s="22">
        <f t="shared" si="12"/>
        <v>0.49390967090916676</v>
      </c>
      <c r="S38" s="2"/>
      <c r="T38" s="2">
        <v>-1763.7</v>
      </c>
      <c r="U38" s="2"/>
      <c r="V38" s="22">
        <f t="shared" si="13"/>
        <v>-1.5821788370729881E-2</v>
      </c>
      <c r="W38" s="2"/>
      <c r="X38" s="2">
        <f t="shared" si="14"/>
        <v>40059.5</v>
      </c>
      <c r="Y38" s="2"/>
      <c r="Z38" s="22">
        <f t="shared" si="15"/>
        <v>-22.713329931394227</v>
      </c>
    </row>
    <row r="39" spans="1:26" s="24" customFormat="1" hidden="1" outlineLevel="1" x14ac:dyDescent="0.25">
      <c r="A39" s="50"/>
      <c r="B39" s="11" t="str">
        <f>CONCATENATE("          ", "5004", " - ", "PURCHASES @ COST-DIGITAL TEXT")</f>
        <v xml:space="preserve">          5004 - PURCHASES @ COST-DIGITAL TEXT</v>
      </c>
      <c r="C39" s="11"/>
      <c r="D39" s="2">
        <v>133958.57</v>
      </c>
      <c r="E39" s="2"/>
      <c r="F39" s="22">
        <f t="shared" si="8"/>
        <v>1.7276942438638854</v>
      </c>
      <c r="G39" s="2"/>
      <c r="H39" s="2">
        <v>145939.9</v>
      </c>
      <c r="I39" s="2"/>
      <c r="J39" s="22">
        <f t="shared" si="9"/>
        <v>1.3091966959491308</v>
      </c>
      <c r="K39" s="2"/>
      <c r="L39" s="2">
        <f t="shared" si="10"/>
        <v>-11981.329999999987</v>
      </c>
      <c r="M39" s="2"/>
      <c r="N39" s="22">
        <f t="shared" si="11"/>
        <v>-8.2097699121350551E-2</v>
      </c>
      <c r="O39" s="11"/>
      <c r="P39" s="2">
        <v>133958.57</v>
      </c>
      <c r="Q39" s="2"/>
      <c r="R39" s="22">
        <f t="shared" si="12"/>
        <v>1.7276942438638854</v>
      </c>
      <c r="S39" s="2"/>
      <c r="T39" s="2">
        <v>145939.9</v>
      </c>
      <c r="U39" s="2"/>
      <c r="V39" s="22">
        <f t="shared" si="13"/>
        <v>1.3091966959491308</v>
      </c>
      <c r="W39" s="2"/>
      <c r="X39" s="2">
        <f t="shared" si="14"/>
        <v>-11981.329999999987</v>
      </c>
      <c r="Y39" s="2"/>
      <c r="Z39" s="22">
        <f t="shared" si="15"/>
        <v>-8.2097699121350551E-2</v>
      </c>
    </row>
    <row r="40" spans="1:26" s="24" customFormat="1" hidden="1" outlineLevel="1" x14ac:dyDescent="0.25">
      <c r="A40" s="50"/>
      <c r="B40" s="11" t="str">
        <f>CONCATENATE("          ", "5011", " - ", "PURCHASES @ COST-NO VALUE TEXT")</f>
        <v xml:space="preserve">          5011 - PURCHASES @ COST-NO VALUE TEXT</v>
      </c>
      <c r="C40" s="11"/>
      <c r="D40" s="2">
        <v>288</v>
      </c>
      <c r="E40" s="2"/>
      <c r="F40" s="22">
        <f t="shared" si="8"/>
        <v>3.7144017156408803E-3</v>
      </c>
      <c r="G40" s="2"/>
      <c r="H40" s="2">
        <v>441</v>
      </c>
      <c r="I40" s="2"/>
      <c r="J40" s="22">
        <f t="shared" si="9"/>
        <v>3.9561199021896452E-3</v>
      </c>
      <c r="K40" s="2"/>
      <c r="L40" s="2">
        <f t="shared" si="10"/>
        <v>-153</v>
      </c>
      <c r="M40" s="2"/>
      <c r="N40" s="22">
        <f t="shared" si="11"/>
        <v>-0.34693877551020408</v>
      </c>
      <c r="O40" s="11"/>
      <c r="P40" s="2">
        <v>288</v>
      </c>
      <c r="Q40" s="2"/>
      <c r="R40" s="22">
        <f t="shared" si="12"/>
        <v>3.7144017156408803E-3</v>
      </c>
      <c r="S40" s="2"/>
      <c r="T40" s="2">
        <v>441</v>
      </c>
      <c r="U40" s="2"/>
      <c r="V40" s="22">
        <f t="shared" si="13"/>
        <v>3.9561199021896452E-3</v>
      </c>
      <c r="W40" s="2"/>
      <c r="X40" s="2">
        <f t="shared" si="14"/>
        <v>-153</v>
      </c>
      <c r="Y40" s="2"/>
      <c r="Z40" s="22">
        <f t="shared" si="15"/>
        <v>-0.34693877551020408</v>
      </c>
    </row>
    <row r="41" spans="1:26" s="24" customFormat="1" hidden="1" outlineLevel="1" x14ac:dyDescent="0.25">
      <c r="A41" s="50"/>
      <c r="B41" s="11" t="str">
        <f>CONCATENATE("          ", "5013", " - ", "PURCHASES @ COST-TRADE BOOKS")</f>
        <v xml:space="preserve">          5013 - PURCHASES @ COST-TRADE BOOKS</v>
      </c>
      <c r="C41" s="11"/>
      <c r="D41" s="2">
        <v>204.9</v>
      </c>
      <c r="E41" s="2"/>
      <c r="F41" s="22">
        <f t="shared" si="8"/>
        <v>2.6426420539403346E-3</v>
      </c>
      <c r="G41" s="2"/>
      <c r="H41" s="2">
        <v>119.79</v>
      </c>
      <c r="I41" s="2"/>
      <c r="J41" s="22">
        <f t="shared" si="9"/>
        <v>1.0746113448600854E-3</v>
      </c>
      <c r="K41" s="2"/>
      <c r="L41" s="2">
        <f t="shared" si="10"/>
        <v>85.11</v>
      </c>
      <c r="M41" s="2"/>
      <c r="N41" s="22">
        <f t="shared" si="11"/>
        <v>0.71049336338592528</v>
      </c>
      <c r="O41" s="11"/>
      <c r="P41" s="2">
        <v>204.9</v>
      </c>
      <c r="Q41" s="2"/>
      <c r="R41" s="22">
        <f t="shared" si="12"/>
        <v>2.6426420539403346E-3</v>
      </c>
      <c r="S41" s="2"/>
      <c r="T41" s="2">
        <v>119.79</v>
      </c>
      <c r="U41" s="2"/>
      <c r="V41" s="22">
        <f t="shared" si="13"/>
        <v>1.0746113448600854E-3</v>
      </c>
      <c r="W41" s="2"/>
      <c r="X41" s="2">
        <f t="shared" si="14"/>
        <v>85.11</v>
      </c>
      <c r="Y41" s="2"/>
      <c r="Z41" s="22">
        <f t="shared" si="15"/>
        <v>0.71049336338592528</v>
      </c>
    </row>
    <row r="42" spans="1:26" s="24" customFormat="1" hidden="1" outlineLevel="1" x14ac:dyDescent="0.25">
      <c r="A42" s="50"/>
      <c r="B42" s="11" t="str">
        <f>CONCATENATE("          ", "5014", " - ", "PURCHASES @ COST-REMAINDERS")</f>
        <v xml:space="preserve">          5014 - PURCHASES @ COST-REMAINDERS</v>
      </c>
      <c r="C42" s="11"/>
      <c r="D42" s="2">
        <v>100.48</v>
      </c>
      <c r="E42" s="2"/>
      <c r="F42" s="22">
        <f t="shared" si="8"/>
        <v>1.2959134874569293E-3</v>
      </c>
      <c r="G42" s="2"/>
      <c r="H42" s="2">
        <v>227.6</v>
      </c>
      <c r="I42" s="2"/>
      <c r="J42" s="22">
        <f t="shared" si="9"/>
        <v>2.0417525844407332E-3</v>
      </c>
      <c r="K42" s="2"/>
      <c r="L42" s="2">
        <f t="shared" si="10"/>
        <v>-127.11999999999999</v>
      </c>
      <c r="M42" s="2"/>
      <c r="N42" s="22">
        <f t="shared" si="11"/>
        <v>-0.55852372583479781</v>
      </c>
      <c r="O42" s="11"/>
      <c r="P42" s="2">
        <v>100.48</v>
      </c>
      <c r="Q42" s="2"/>
      <c r="R42" s="22">
        <f t="shared" si="12"/>
        <v>1.2959134874569293E-3</v>
      </c>
      <c r="S42" s="2"/>
      <c r="T42" s="2">
        <v>227.6</v>
      </c>
      <c r="U42" s="2"/>
      <c r="V42" s="22">
        <f t="shared" si="13"/>
        <v>2.0417525844407332E-3</v>
      </c>
      <c r="W42" s="2"/>
      <c r="X42" s="2">
        <f t="shared" si="14"/>
        <v>-127.11999999999999</v>
      </c>
      <c r="Y42" s="2"/>
      <c r="Z42" s="22">
        <f t="shared" si="15"/>
        <v>-0.55852372583479781</v>
      </c>
    </row>
    <row r="43" spans="1:26" s="24" customFormat="1" hidden="1" outlineLevel="1" x14ac:dyDescent="0.25">
      <c r="A43" s="50"/>
      <c r="B43" s="11" t="str">
        <f>CONCATENATE("          ", "5018", " - ", "PURCHASES @ COST-STUDY GUIDES")</f>
        <v xml:space="preserve">          5018 - PURCHASES @ COST-STUDY GUIDES</v>
      </c>
      <c r="C43" s="11"/>
      <c r="D43" s="2">
        <v>503.93</v>
      </c>
      <c r="E43" s="2"/>
      <c r="F43" s="22">
        <f t="shared" si="8"/>
        <v>6.4993001963989886E-3</v>
      </c>
      <c r="G43" s="2"/>
      <c r="H43" s="2">
        <v>369.63</v>
      </c>
      <c r="I43" s="2"/>
      <c r="J43" s="22">
        <f t="shared" si="9"/>
        <v>3.3158743751618112E-3</v>
      </c>
      <c r="K43" s="2"/>
      <c r="L43" s="2">
        <f t="shared" si="10"/>
        <v>134.30000000000001</v>
      </c>
      <c r="M43" s="2"/>
      <c r="N43" s="22">
        <f t="shared" si="11"/>
        <v>0.36333630928225524</v>
      </c>
      <c r="O43" s="11"/>
      <c r="P43" s="2">
        <v>503.93</v>
      </c>
      <c r="Q43" s="2"/>
      <c r="R43" s="22">
        <f t="shared" si="12"/>
        <v>6.4993001963989886E-3</v>
      </c>
      <c r="S43" s="2"/>
      <c r="T43" s="2">
        <v>369.63</v>
      </c>
      <c r="U43" s="2"/>
      <c r="V43" s="22">
        <f t="shared" si="13"/>
        <v>3.3158743751618112E-3</v>
      </c>
      <c r="W43" s="2"/>
      <c r="X43" s="2">
        <f t="shared" si="14"/>
        <v>134.30000000000001</v>
      </c>
      <c r="Y43" s="2"/>
      <c r="Z43" s="22">
        <f t="shared" si="15"/>
        <v>0.36333630928225524</v>
      </c>
    </row>
    <row r="44" spans="1:26" s="24" customFormat="1" hidden="1" outlineLevel="1" x14ac:dyDescent="0.25">
      <c r="A44" s="50"/>
      <c r="B44" s="11" t="str">
        <f>CONCATENATE("          ", "5200", " - ", "PURCHASES OFFSET")</f>
        <v xml:space="preserve">          5200 - PURCHASES OFFSET</v>
      </c>
      <c r="C44" s="11"/>
      <c r="D44" s="2">
        <v>-616930</v>
      </c>
      <c r="E44" s="2"/>
      <c r="F44" s="22">
        <f t="shared" si="8"/>
        <v>-7.9566869806608622</v>
      </c>
      <c r="G44" s="2"/>
      <c r="H44" s="2">
        <v>-565809</v>
      </c>
      <c r="I44" s="2"/>
      <c r="J44" s="22">
        <f t="shared" si="9"/>
        <v>-5.0757556592698894</v>
      </c>
      <c r="K44" s="2"/>
      <c r="L44" s="2">
        <f t="shared" si="10"/>
        <v>-51121</v>
      </c>
      <c r="M44" s="2"/>
      <c r="N44" s="22">
        <f t="shared" si="11"/>
        <v>9.0350277213688712E-2</v>
      </c>
      <c r="O44" s="11"/>
      <c r="P44" s="2">
        <v>-616930</v>
      </c>
      <c r="Q44" s="2"/>
      <c r="R44" s="22">
        <f t="shared" si="12"/>
        <v>-7.9566869806608622</v>
      </c>
      <c r="S44" s="2"/>
      <c r="T44" s="2">
        <v>-565809</v>
      </c>
      <c r="U44" s="2"/>
      <c r="V44" s="22">
        <f t="shared" si="13"/>
        <v>-5.0757556592698894</v>
      </c>
      <c r="W44" s="2"/>
      <c r="X44" s="2">
        <f t="shared" si="14"/>
        <v>-51121</v>
      </c>
      <c r="Y44" s="2"/>
      <c r="Z44" s="22">
        <f t="shared" si="15"/>
        <v>9.0350277213688712E-2</v>
      </c>
    </row>
    <row r="45" spans="1:26" s="24" customFormat="1" hidden="1" outlineLevel="1" x14ac:dyDescent="0.25">
      <c r="A45" s="50"/>
      <c r="B45" s="11" t="str">
        <f>CONCATENATE("          ", "5300", " - ", "COG$ OFFSET")</f>
        <v xml:space="preserve">          5300 - COG$ OFFSET</v>
      </c>
      <c r="C45" s="11"/>
      <c r="D45" s="2">
        <v>63288</v>
      </c>
      <c r="E45" s="2"/>
      <c r="F45" s="22">
        <f t="shared" si="8"/>
        <v>0.81623977701208339</v>
      </c>
      <c r="G45" s="2"/>
      <c r="H45" s="2">
        <v>82246</v>
      </c>
      <c r="I45" s="2"/>
      <c r="J45" s="22">
        <f t="shared" si="9"/>
        <v>0.73781187636165435</v>
      </c>
      <c r="K45" s="2"/>
      <c r="L45" s="2">
        <f t="shared" si="10"/>
        <v>-18958</v>
      </c>
      <c r="M45" s="2"/>
      <c r="N45" s="22">
        <f t="shared" si="11"/>
        <v>-0.23050361111786591</v>
      </c>
      <c r="O45" s="11"/>
      <c r="P45" s="2">
        <v>63288</v>
      </c>
      <c r="Q45" s="2"/>
      <c r="R45" s="22">
        <f t="shared" si="12"/>
        <v>0.81623977701208339</v>
      </c>
      <c r="S45" s="2"/>
      <c r="T45" s="2">
        <v>82246</v>
      </c>
      <c r="U45" s="2"/>
      <c r="V45" s="22">
        <f t="shared" si="13"/>
        <v>0.73781187636165435</v>
      </c>
      <c r="W45" s="2"/>
      <c r="X45" s="2">
        <f t="shared" si="14"/>
        <v>-18958</v>
      </c>
      <c r="Y45" s="2"/>
      <c r="Z45" s="22">
        <f t="shared" si="15"/>
        <v>-0.23050361111786591</v>
      </c>
    </row>
    <row r="46" spans="1:26" s="24" customFormat="1" hidden="1" outlineLevel="1" x14ac:dyDescent="0.25">
      <c r="A46" s="50"/>
      <c r="B46" s="11" t="str">
        <f>CONCATENATE("          ", "5501", " - ", "FREIGHT-IN-NEW TEXT")</f>
        <v xml:space="preserve">          5501 - FREIGHT-IN-NEW TEXT</v>
      </c>
      <c r="C46" s="11"/>
      <c r="D46" s="2">
        <v>1716.08</v>
      </c>
      <c r="E46" s="2"/>
      <c r="F46" s="22">
        <f t="shared" si="8"/>
        <v>2.2132675333947922E-2</v>
      </c>
      <c r="G46" s="2"/>
      <c r="H46" s="2">
        <v>2158.9299999999998</v>
      </c>
      <c r="I46" s="2"/>
      <c r="J46" s="22">
        <f t="shared" si="9"/>
        <v>1.9367315057674129E-2</v>
      </c>
      <c r="K46" s="2"/>
      <c r="L46" s="2">
        <f t="shared" si="10"/>
        <v>-442.84999999999991</v>
      </c>
      <c r="M46" s="2"/>
      <c r="N46" s="22">
        <f t="shared" si="11"/>
        <v>-0.20512476087691586</v>
      </c>
      <c r="O46" s="11"/>
      <c r="P46" s="2">
        <v>1716.08</v>
      </c>
      <c r="Q46" s="2"/>
      <c r="R46" s="22">
        <f t="shared" si="12"/>
        <v>2.2132675333947922E-2</v>
      </c>
      <c r="S46" s="2"/>
      <c r="T46" s="2">
        <v>2158.9299999999998</v>
      </c>
      <c r="U46" s="2"/>
      <c r="V46" s="22">
        <f t="shared" si="13"/>
        <v>1.9367315057674129E-2</v>
      </c>
      <c r="W46" s="2"/>
      <c r="X46" s="2">
        <f t="shared" si="14"/>
        <v>-442.84999999999991</v>
      </c>
      <c r="Y46" s="2"/>
      <c r="Z46" s="22">
        <f t="shared" si="15"/>
        <v>-0.20512476087691586</v>
      </c>
    </row>
    <row r="47" spans="1:26" s="24" customFormat="1" hidden="1" outlineLevel="1" x14ac:dyDescent="0.25">
      <c r="A47" s="50"/>
      <c r="B47" s="11" t="str">
        <f>CONCATENATE("          ", "5502", " - ", "FREIGHT-IN-USED TEXT")</f>
        <v xml:space="preserve">          5502 - FREIGHT-IN-USED TEXT</v>
      </c>
      <c r="C47" s="11"/>
      <c r="D47" s="2">
        <v>277.49</v>
      </c>
      <c r="E47" s="2"/>
      <c r="F47" s="22">
        <f t="shared" si="8"/>
        <v>3.578851847476347E-3</v>
      </c>
      <c r="G47" s="2"/>
      <c r="H47" s="2">
        <v>286.61</v>
      </c>
      <c r="I47" s="2"/>
      <c r="J47" s="22">
        <f t="shared" si="9"/>
        <v>2.5711191046861098E-3</v>
      </c>
      <c r="K47" s="2"/>
      <c r="L47" s="2">
        <f t="shared" si="10"/>
        <v>-9.1200000000000045</v>
      </c>
      <c r="M47" s="2"/>
      <c r="N47" s="22">
        <f t="shared" si="11"/>
        <v>-3.1820243536513047E-2</v>
      </c>
      <c r="O47" s="11"/>
      <c r="P47" s="2">
        <v>277.49</v>
      </c>
      <c r="Q47" s="2"/>
      <c r="R47" s="22">
        <f t="shared" si="12"/>
        <v>3.578851847476347E-3</v>
      </c>
      <c r="S47" s="2"/>
      <c r="T47" s="2">
        <v>286.61</v>
      </c>
      <c r="U47" s="2"/>
      <c r="V47" s="22">
        <f t="shared" si="13"/>
        <v>2.5711191046861098E-3</v>
      </c>
      <c r="W47" s="2"/>
      <c r="X47" s="2">
        <f t="shared" si="14"/>
        <v>-9.1200000000000045</v>
      </c>
      <c r="Y47" s="2"/>
      <c r="Z47" s="22">
        <f t="shared" si="15"/>
        <v>-3.1820243536513047E-2</v>
      </c>
    </row>
    <row r="48" spans="1:26" s="24" customFormat="1" hidden="1" outlineLevel="1" x14ac:dyDescent="0.25">
      <c r="A48" s="50"/>
      <c r="B48" s="11" t="str">
        <f>CONCATENATE("          ", "5513", " - ", "FREIGHT-IN-TRADE BOOKS")</f>
        <v xml:space="preserve">          5513 - FREIGHT-IN-TRADE BOOKS</v>
      </c>
      <c r="C48" s="11"/>
      <c r="D48" s="2"/>
      <c r="E48" s="2"/>
      <c r="F48" s="22">
        <f t="shared" si="8"/>
        <v>0</v>
      </c>
      <c r="G48" s="2"/>
      <c r="H48" s="2">
        <v>7.27</v>
      </c>
      <c r="I48" s="2"/>
      <c r="J48" s="22">
        <f t="shared" si="9"/>
        <v>6.5217668228840638E-5</v>
      </c>
      <c r="K48" s="2"/>
      <c r="L48" s="2">
        <f t="shared" si="10"/>
        <v>-7.27</v>
      </c>
      <c r="M48" s="2"/>
      <c r="N48" s="22">
        <f t="shared" si="11"/>
        <v>-1</v>
      </c>
      <c r="O48" s="11"/>
      <c r="P48" s="2"/>
      <c r="Q48" s="2"/>
      <c r="R48" s="22">
        <f t="shared" si="12"/>
        <v>0</v>
      </c>
      <c r="S48" s="2"/>
      <c r="T48" s="2">
        <v>7.27</v>
      </c>
      <c r="U48" s="2"/>
      <c r="V48" s="22">
        <f t="shared" si="13"/>
        <v>6.5217668228840638E-5</v>
      </c>
      <c r="W48" s="2"/>
      <c r="X48" s="2">
        <f t="shared" si="14"/>
        <v>-7.27</v>
      </c>
      <c r="Y48" s="2"/>
      <c r="Z48" s="22">
        <f t="shared" si="15"/>
        <v>-1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5" t="s">
        <v>6</v>
      </c>
      <c r="C50" s="25"/>
      <c r="D50" s="21">
        <f>D12-D35</f>
        <v>14248.580000000009</v>
      </c>
      <c r="E50" s="13"/>
      <c r="F50" s="20">
        <f>IF(D$12=0,0,D50/D$12)</f>
        <v>0.18376718749113322</v>
      </c>
      <c r="G50" s="13"/>
      <c r="H50" s="21">
        <f>H12-H35</f>
        <v>29227.379999999946</v>
      </c>
      <c r="I50" s="13"/>
      <c r="J50" s="20">
        <f>IF(H$12=0,0,H50/H$12)</f>
        <v>0.2621927884509283</v>
      </c>
      <c r="K50" s="16"/>
      <c r="L50" s="21">
        <f>+D50-H50</f>
        <v>-14978.799999999937</v>
      </c>
      <c r="M50" s="16"/>
      <c r="N50" s="20">
        <f>IF(H50=0,0,L50/H50)</f>
        <v>-0.51249205368390749</v>
      </c>
      <c r="O50" s="26"/>
      <c r="P50" s="21">
        <f>P12-P35</f>
        <v>14248.580000000009</v>
      </c>
      <c r="Q50" s="13"/>
      <c r="R50" s="20">
        <f>IF(P$12=0,0,P50/P$12)</f>
        <v>0.18376718749113322</v>
      </c>
      <c r="S50" s="13"/>
      <c r="T50" s="21">
        <f>T12-T35</f>
        <v>29227.379999999946</v>
      </c>
      <c r="U50" s="13"/>
      <c r="V50" s="20">
        <f>IF(T$12=0,0,T50/T$12)</f>
        <v>0.2621927884509283</v>
      </c>
      <c r="W50" s="16"/>
      <c r="X50" s="21">
        <f>+P50-T50</f>
        <v>-14978.799999999937</v>
      </c>
      <c r="Y50" s="16"/>
      <c r="Z50" s="20">
        <f>IF(T50=0,0,X50/T50)</f>
        <v>-0.51249205368390749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6" t="s">
        <v>9</v>
      </c>
      <c r="C52" s="10"/>
      <c r="D52" s="19">
        <f>SUM(OSRRefD22x_0)</f>
        <v>42991.349999999991</v>
      </c>
      <c r="E52" s="19"/>
      <c r="F52" s="35">
        <f t="shared" ref="F52:F62" si="16">IF(D$12=0,0,D52/D$12)</f>
        <v>0.5544692506865192</v>
      </c>
      <c r="G52" s="19"/>
      <c r="H52" s="19">
        <f>SUM(OSRRefH22x_0)</f>
        <v>48748.44999999999</v>
      </c>
      <c r="I52" s="19"/>
      <c r="J52" s="35">
        <f t="shared" ref="J52:J62" si="17">IF(H$12=0,0,H52/H$12)</f>
        <v>0.43731227493400632</v>
      </c>
      <c r="K52" s="4"/>
      <c r="L52" s="19">
        <f t="shared" ref="L52:L62" si="18">+D52-H52</f>
        <v>-5757.0999999999985</v>
      </c>
      <c r="M52" s="4"/>
      <c r="N52" s="35">
        <f t="shared" ref="N52:N62" si="19">IF(H52=0,0,L52/H52)</f>
        <v>-0.11809811388874927</v>
      </c>
      <c r="O52" s="10"/>
      <c r="P52" s="19">
        <f>SUM(OSRRefP22x_0)</f>
        <v>42991.349999999991</v>
      </c>
      <c r="Q52" s="19"/>
      <c r="R52" s="35">
        <f t="shared" ref="R52:R62" si="20">IF(P$12=0,0,P52/P$12)</f>
        <v>0.5544692506865192</v>
      </c>
      <c r="S52" s="19"/>
      <c r="T52" s="19">
        <f>SUM(OSRRefT22x_0)</f>
        <v>48748.44999999999</v>
      </c>
      <c r="U52" s="19"/>
      <c r="V52" s="35">
        <f t="shared" ref="V52:V62" si="21">IF(T$12=0,0,T52/T$12)</f>
        <v>0.43731227493400632</v>
      </c>
      <c r="W52" s="4"/>
      <c r="X52" s="19">
        <f t="shared" ref="X52:X62" si="22">+P52-T52</f>
        <v>-5757.0999999999985</v>
      </c>
      <c r="Y52" s="4"/>
      <c r="Z52" s="35">
        <f t="shared" ref="Z52:Z62" si="23">IF(T52=0,0,X52/T52)</f>
        <v>-0.11809811388874927</v>
      </c>
    </row>
    <row r="53" spans="1:26" s="28" customFormat="1" outlineLevel="1" collapsed="1" x14ac:dyDescent="0.25">
      <c r="A53" s="27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11226.609999999999</v>
      </c>
      <c r="E53" s="1"/>
      <c r="F53" s="5">
        <f t="shared" si="16"/>
        <v>0.14479215085010785</v>
      </c>
      <c r="G53" s="1"/>
      <c r="H53" s="1">
        <f>SUM(OSRRefH22_0x_0)</f>
        <v>11059.17</v>
      </c>
      <c r="I53" s="1"/>
      <c r="J53" s="5">
        <f t="shared" si="17"/>
        <v>9.9209529566210125E-2</v>
      </c>
      <c r="K53" s="1"/>
      <c r="L53" s="1">
        <f t="shared" si="18"/>
        <v>167.43999999999869</v>
      </c>
      <c r="M53" s="1"/>
      <c r="N53" s="5">
        <f t="shared" si="19"/>
        <v>1.5140376719048417E-2</v>
      </c>
      <c r="O53" s="14"/>
      <c r="P53" s="1">
        <f>SUM(OSRRefP22_0x_0)</f>
        <v>11226.609999999999</v>
      </c>
      <c r="Q53" s="1"/>
      <c r="R53" s="5">
        <f t="shared" si="20"/>
        <v>0.14479215085010785</v>
      </c>
      <c r="S53" s="1"/>
      <c r="T53" s="1">
        <f>SUM(OSRRefT22_0x_0)</f>
        <v>11059.17</v>
      </c>
      <c r="U53" s="1"/>
      <c r="V53" s="5">
        <f t="shared" si="21"/>
        <v>9.9209529566210125E-2</v>
      </c>
      <c r="W53" s="1"/>
      <c r="X53" s="1">
        <f t="shared" si="22"/>
        <v>167.43999999999869</v>
      </c>
      <c r="Y53" s="1"/>
      <c r="Z53" s="5">
        <f t="shared" si="23"/>
        <v>1.5140376719048417E-2</v>
      </c>
    </row>
    <row r="54" spans="1:26" s="24" customFormat="1" hidden="1" outlineLevel="2" x14ac:dyDescent="0.25">
      <c r="A54" s="29"/>
      <c r="B54" s="11" t="str">
        <f>CONCATENATE("          ", "6111", " - ", "F.I.C.A.")</f>
        <v xml:space="preserve">          6111 - F.I.C.A.</v>
      </c>
      <c r="C54" s="11"/>
      <c r="D54" s="7">
        <v>1620.75</v>
      </c>
      <c r="E54" s="2"/>
      <c r="F54" s="6">
        <f t="shared" si="16"/>
        <v>2.0903182571614432E-2</v>
      </c>
      <c r="G54" s="2"/>
      <c r="H54" s="7">
        <v>1814.76</v>
      </c>
      <c r="I54" s="2"/>
      <c r="J54" s="6">
        <f t="shared" si="17"/>
        <v>1.6279837083214697E-2</v>
      </c>
      <c r="K54" s="2"/>
      <c r="L54" s="7">
        <f t="shared" si="18"/>
        <v>-194.01</v>
      </c>
      <c r="M54" s="2"/>
      <c r="N54" s="6">
        <f t="shared" si="19"/>
        <v>-0.10690669840640084</v>
      </c>
      <c r="O54" s="11"/>
      <c r="P54" s="7">
        <v>1620.75</v>
      </c>
      <c r="Q54" s="2"/>
      <c r="R54" s="6">
        <f t="shared" si="20"/>
        <v>2.0903182571614432E-2</v>
      </c>
      <c r="S54" s="2"/>
      <c r="T54" s="7">
        <v>1814.76</v>
      </c>
      <c r="U54" s="2"/>
      <c r="V54" s="6">
        <f t="shared" si="21"/>
        <v>1.6279837083214697E-2</v>
      </c>
      <c r="W54" s="2"/>
      <c r="X54" s="7">
        <f t="shared" si="22"/>
        <v>-194.01</v>
      </c>
      <c r="Y54" s="2"/>
      <c r="Z54" s="6">
        <f t="shared" si="23"/>
        <v>-0.10690669840640084</v>
      </c>
    </row>
    <row r="55" spans="1:26" s="24" customFormat="1" hidden="1" outlineLevel="2" x14ac:dyDescent="0.25">
      <c r="A55" s="29"/>
      <c r="B55" s="11" t="str">
        <f>CONCATENATE("          ", "6112", " - ", "COMPENSATION INSURANCE")</f>
        <v xml:space="preserve">          6112 - COMPENSATION INSURANCE</v>
      </c>
      <c r="C55" s="11"/>
      <c r="D55" s="7">
        <v>85.11</v>
      </c>
      <c r="E55" s="2"/>
      <c r="F55" s="6">
        <f t="shared" si="16"/>
        <v>1.097683090340956E-3</v>
      </c>
      <c r="G55" s="2"/>
      <c r="H55" s="7">
        <v>114.84</v>
      </c>
      <c r="I55" s="2"/>
      <c r="J55" s="6">
        <f t="shared" si="17"/>
        <v>1.030205917386528E-3</v>
      </c>
      <c r="K55" s="2"/>
      <c r="L55" s="7">
        <f t="shared" si="18"/>
        <v>-29.730000000000004</v>
      </c>
      <c r="M55" s="2"/>
      <c r="N55" s="6">
        <f t="shared" si="19"/>
        <v>-0.25888192267502613</v>
      </c>
      <c r="O55" s="11"/>
      <c r="P55" s="7">
        <v>85.11</v>
      </c>
      <c r="Q55" s="2"/>
      <c r="R55" s="6">
        <f t="shared" si="20"/>
        <v>1.097683090340956E-3</v>
      </c>
      <c r="S55" s="2"/>
      <c r="T55" s="7">
        <v>114.84</v>
      </c>
      <c r="U55" s="2"/>
      <c r="V55" s="6">
        <f t="shared" si="21"/>
        <v>1.030205917386528E-3</v>
      </c>
      <c r="W55" s="2"/>
      <c r="X55" s="7">
        <f t="shared" si="22"/>
        <v>-29.730000000000004</v>
      </c>
      <c r="Y55" s="2"/>
      <c r="Z55" s="6">
        <f t="shared" si="23"/>
        <v>-0.25888192267502613</v>
      </c>
    </row>
    <row r="56" spans="1:26" s="24" customFormat="1" hidden="1" outlineLevel="2" x14ac:dyDescent="0.25">
      <c r="A56" s="29"/>
      <c r="B56" s="11" t="str">
        <f>CONCATENATE("          ", "6113", " - ", "GROUP INSURANCE")</f>
        <v xml:space="preserve">          6113 - GROUP INSURANCE</v>
      </c>
      <c r="C56" s="11"/>
      <c r="D56" s="7">
        <v>4168.57</v>
      </c>
      <c r="E56" s="2"/>
      <c r="F56" s="6">
        <f t="shared" si="16"/>
        <v>5.3762998471420499E-2</v>
      </c>
      <c r="G56" s="2"/>
      <c r="H56" s="7">
        <v>2109.0100000000002</v>
      </c>
      <c r="I56" s="2"/>
      <c r="J56" s="6">
        <f t="shared" si="17"/>
        <v>1.891949304969838E-2</v>
      </c>
      <c r="K56" s="2"/>
      <c r="L56" s="7">
        <f t="shared" si="18"/>
        <v>2059.5599999999995</v>
      </c>
      <c r="M56" s="2"/>
      <c r="N56" s="6">
        <f t="shared" si="19"/>
        <v>0.9765529798341398</v>
      </c>
      <c r="O56" s="11"/>
      <c r="P56" s="7">
        <v>4168.57</v>
      </c>
      <c r="Q56" s="2"/>
      <c r="R56" s="6">
        <f t="shared" si="20"/>
        <v>5.3762998471420499E-2</v>
      </c>
      <c r="S56" s="2"/>
      <c r="T56" s="7">
        <v>2109.0100000000002</v>
      </c>
      <c r="U56" s="2"/>
      <c r="V56" s="6">
        <f t="shared" si="21"/>
        <v>1.891949304969838E-2</v>
      </c>
      <c r="W56" s="2"/>
      <c r="X56" s="7">
        <f t="shared" si="22"/>
        <v>2059.5599999999995</v>
      </c>
      <c r="Y56" s="2"/>
      <c r="Z56" s="6">
        <f t="shared" si="23"/>
        <v>0.9765529798341398</v>
      </c>
    </row>
    <row r="57" spans="1:26" s="24" customFormat="1" hidden="1" outlineLevel="2" x14ac:dyDescent="0.25">
      <c r="A57" s="29"/>
      <c r="B57" s="11" t="str">
        <f>CONCATENATE("          ", "6114", " - ", "STATE UNEMPLOYMENT INSURANCE")</f>
        <v xml:space="preserve">          6114 - STATE UNEMPLOYMENT INSURANCE</v>
      </c>
      <c r="C57" s="11"/>
      <c r="D57" s="7">
        <v>55.09</v>
      </c>
      <c r="E57" s="2"/>
      <c r="F57" s="6">
        <f t="shared" si="16"/>
        <v>7.1050830039811144E-4</v>
      </c>
      <c r="G57" s="2"/>
      <c r="H57" s="7">
        <v>96.31</v>
      </c>
      <c r="I57" s="2"/>
      <c r="J57" s="6">
        <f t="shared" si="17"/>
        <v>8.6397711514713102E-4</v>
      </c>
      <c r="K57" s="2"/>
      <c r="L57" s="7">
        <f t="shared" si="18"/>
        <v>-41.22</v>
      </c>
      <c r="M57" s="2"/>
      <c r="N57" s="6">
        <f t="shared" si="19"/>
        <v>-0.42799293946630668</v>
      </c>
      <c r="O57" s="11"/>
      <c r="P57" s="7">
        <v>55.09</v>
      </c>
      <c r="Q57" s="2"/>
      <c r="R57" s="6">
        <f t="shared" si="20"/>
        <v>7.1050830039811144E-4</v>
      </c>
      <c r="S57" s="2"/>
      <c r="T57" s="7">
        <v>96.31</v>
      </c>
      <c r="U57" s="2"/>
      <c r="V57" s="6">
        <f t="shared" si="21"/>
        <v>8.6397711514713102E-4</v>
      </c>
      <c r="W57" s="2"/>
      <c r="X57" s="7">
        <f t="shared" si="22"/>
        <v>-41.22</v>
      </c>
      <c r="Y57" s="2"/>
      <c r="Z57" s="6">
        <f t="shared" si="23"/>
        <v>-0.42799293946630668</v>
      </c>
    </row>
    <row r="58" spans="1:26" s="24" customFormat="1" hidden="1" outlineLevel="2" x14ac:dyDescent="0.25">
      <c r="A58" s="29"/>
      <c r="B58" s="11" t="str">
        <f>CONCATENATE("          ", "6115", " - ", "P.E.R.S.")</f>
        <v xml:space="preserve">          6115 - P.E.R.S.</v>
      </c>
      <c r="C58" s="11"/>
      <c r="D58" s="7">
        <v>1325.86</v>
      </c>
      <c r="E58" s="2"/>
      <c r="F58" s="6">
        <f t="shared" si="16"/>
        <v>1.7099918953818113E-2</v>
      </c>
      <c r="G58" s="2"/>
      <c r="H58" s="7">
        <v>1757.95</v>
      </c>
      <c r="I58" s="2"/>
      <c r="J58" s="6">
        <f t="shared" si="17"/>
        <v>1.5770206308513123E-2</v>
      </c>
      <c r="K58" s="2"/>
      <c r="L58" s="7">
        <f t="shared" si="18"/>
        <v>-432.09000000000015</v>
      </c>
      <c r="M58" s="2"/>
      <c r="N58" s="6">
        <f t="shared" si="19"/>
        <v>-0.24579197360562025</v>
      </c>
      <c r="O58" s="11"/>
      <c r="P58" s="7">
        <v>1325.86</v>
      </c>
      <c r="Q58" s="2"/>
      <c r="R58" s="6">
        <f t="shared" si="20"/>
        <v>1.7099918953818113E-2</v>
      </c>
      <c r="S58" s="2"/>
      <c r="T58" s="7">
        <v>1757.95</v>
      </c>
      <c r="U58" s="2"/>
      <c r="V58" s="6">
        <f t="shared" si="21"/>
        <v>1.5770206308513123E-2</v>
      </c>
      <c r="W58" s="2"/>
      <c r="X58" s="7">
        <f t="shared" si="22"/>
        <v>-432.09000000000015</v>
      </c>
      <c r="Y58" s="2"/>
      <c r="Z58" s="6">
        <f t="shared" si="23"/>
        <v>-0.24579197360562025</v>
      </c>
    </row>
    <row r="59" spans="1:26" s="24" customFormat="1" hidden="1" outlineLevel="2" x14ac:dyDescent="0.25">
      <c r="A59" s="29"/>
      <c r="B59" s="11" t="str">
        <f>CONCATENATE("          ", "6117", " - ", "RETIREMENT STAFF HOURLY")</f>
        <v xml:space="preserve">          6117 - RETIREMENT STAFF HOURLY</v>
      </c>
      <c r="C59" s="11"/>
      <c r="D59" s="7">
        <v>220.69</v>
      </c>
      <c r="E59" s="2"/>
      <c r="F59" s="6">
        <f t="shared" si="16"/>
        <v>2.8462892868916173E-3</v>
      </c>
      <c r="G59" s="2"/>
      <c r="H59" s="7">
        <v>232.52</v>
      </c>
      <c r="I59" s="2"/>
      <c r="J59" s="6">
        <f t="shared" si="17"/>
        <v>2.0858888881114205E-3</v>
      </c>
      <c r="K59" s="2"/>
      <c r="L59" s="7">
        <f t="shared" si="18"/>
        <v>-11.830000000000013</v>
      </c>
      <c r="M59" s="2"/>
      <c r="N59" s="6">
        <f t="shared" si="19"/>
        <v>-5.0877343884397096E-2</v>
      </c>
      <c r="O59" s="11"/>
      <c r="P59" s="7">
        <v>220.69</v>
      </c>
      <c r="Q59" s="2"/>
      <c r="R59" s="6">
        <f t="shared" si="20"/>
        <v>2.8462892868916173E-3</v>
      </c>
      <c r="S59" s="2"/>
      <c r="T59" s="7">
        <v>232.52</v>
      </c>
      <c r="U59" s="2"/>
      <c r="V59" s="6">
        <f t="shared" si="21"/>
        <v>2.0858888881114205E-3</v>
      </c>
      <c r="W59" s="2"/>
      <c r="X59" s="7">
        <f t="shared" si="22"/>
        <v>-11.830000000000013</v>
      </c>
      <c r="Y59" s="2"/>
      <c r="Z59" s="6">
        <f t="shared" si="23"/>
        <v>-5.0877343884397096E-2</v>
      </c>
    </row>
    <row r="60" spans="1:26" s="24" customFormat="1" hidden="1" outlineLevel="2" x14ac:dyDescent="0.25">
      <c r="A60" s="29"/>
      <c r="B60" s="11" t="str">
        <f>CONCATENATE("          ", "6118", " - ", "VACATION")</f>
        <v xml:space="preserve">          6118 - VACATION</v>
      </c>
      <c r="C60" s="11"/>
      <c r="D60" s="7">
        <v>1479.92</v>
      </c>
      <c r="E60" s="2"/>
      <c r="F60" s="6">
        <f t="shared" si="16"/>
        <v>1.9086865927122401E-2</v>
      </c>
      <c r="G60" s="2"/>
      <c r="H60" s="7">
        <v>2104.09</v>
      </c>
      <c r="I60" s="2"/>
      <c r="J60" s="6">
        <f t="shared" si="17"/>
        <v>1.887535674602769E-2</v>
      </c>
      <c r="K60" s="2"/>
      <c r="L60" s="7">
        <f t="shared" si="18"/>
        <v>-624.17000000000007</v>
      </c>
      <c r="M60" s="2"/>
      <c r="N60" s="6">
        <f t="shared" si="19"/>
        <v>-0.29664605601471422</v>
      </c>
      <c r="O60" s="11"/>
      <c r="P60" s="7">
        <v>1479.92</v>
      </c>
      <c r="Q60" s="2"/>
      <c r="R60" s="6">
        <f t="shared" si="20"/>
        <v>1.9086865927122401E-2</v>
      </c>
      <c r="S60" s="2"/>
      <c r="T60" s="7">
        <v>2104.09</v>
      </c>
      <c r="U60" s="2"/>
      <c r="V60" s="6">
        <f t="shared" si="21"/>
        <v>1.887535674602769E-2</v>
      </c>
      <c r="W60" s="2"/>
      <c r="X60" s="7">
        <f t="shared" si="22"/>
        <v>-624.17000000000007</v>
      </c>
      <c r="Y60" s="2"/>
      <c r="Z60" s="6">
        <f t="shared" si="23"/>
        <v>-0.29664605601471422</v>
      </c>
    </row>
    <row r="61" spans="1:26" s="24" customFormat="1" hidden="1" outlineLevel="2" x14ac:dyDescent="0.25">
      <c r="A61" s="29"/>
      <c r="B61" s="11" t="str">
        <f>CONCATENATE("          ", "6119", " - ", "SICK LEAVE")</f>
        <v xml:space="preserve">          6119 - SICK LEAVE</v>
      </c>
      <c r="C61" s="11"/>
      <c r="D61" s="7">
        <v>1710.54</v>
      </c>
      <c r="E61" s="2"/>
      <c r="F61" s="6">
        <f t="shared" si="16"/>
        <v>2.2061224689834551E-2</v>
      </c>
      <c r="G61" s="2"/>
      <c r="H61" s="7">
        <v>2118.58</v>
      </c>
      <c r="I61" s="2"/>
      <c r="J61" s="6">
        <f t="shared" si="17"/>
        <v>1.900534354281392E-2</v>
      </c>
      <c r="K61" s="2"/>
      <c r="L61" s="7">
        <f t="shared" si="18"/>
        <v>-408.03999999999996</v>
      </c>
      <c r="M61" s="2"/>
      <c r="N61" s="6">
        <f t="shared" si="19"/>
        <v>-0.19260070424529638</v>
      </c>
      <c r="O61" s="11"/>
      <c r="P61" s="7">
        <v>1710.54</v>
      </c>
      <c r="Q61" s="2"/>
      <c r="R61" s="6">
        <f t="shared" si="20"/>
        <v>2.2061224689834551E-2</v>
      </c>
      <c r="S61" s="2"/>
      <c r="T61" s="7">
        <v>2118.58</v>
      </c>
      <c r="U61" s="2"/>
      <c r="V61" s="6">
        <f t="shared" si="21"/>
        <v>1.900534354281392E-2</v>
      </c>
      <c r="W61" s="2"/>
      <c r="X61" s="7">
        <f t="shared" si="22"/>
        <v>-408.03999999999996</v>
      </c>
      <c r="Y61" s="2"/>
      <c r="Z61" s="6">
        <f t="shared" si="23"/>
        <v>-0.19260070424529638</v>
      </c>
    </row>
    <row r="62" spans="1:26" s="24" customFormat="1" hidden="1" outlineLevel="2" x14ac:dyDescent="0.25">
      <c r="A62" s="29"/>
      <c r="B62" s="11" t="str">
        <f>CONCATENATE("          ", "6156", " - ", "EMPLOYEE MEALS")</f>
        <v xml:space="preserve">          6156 - EMPLOYEE MEALS</v>
      </c>
      <c r="C62" s="11"/>
      <c r="D62" s="7">
        <v>560.08000000000004</v>
      </c>
      <c r="E62" s="2"/>
      <c r="F62" s="6">
        <f t="shared" si="16"/>
        <v>7.2234795586671677E-3</v>
      </c>
      <c r="G62" s="2"/>
      <c r="H62" s="7">
        <v>711.11</v>
      </c>
      <c r="I62" s="2"/>
      <c r="J62" s="6">
        <f t="shared" si="17"/>
        <v>6.3792209152972309E-3</v>
      </c>
      <c r="K62" s="2"/>
      <c r="L62" s="7">
        <f t="shared" si="18"/>
        <v>-151.02999999999997</v>
      </c>
      <c r="M62" s="2"/>
      <c r="N62" s="6">
        <f t="shared" si="19"/>
        <v>-0.21238626935354582</v>
      </c>
      <c r="O62" s="11"/>
      <c r="P62" s="7">
        <v>560.08000000000004</v>
      </c>
      <c r="Q62" s="2"/>
      <c r="R62" s="6">
        <f t="shared" si="20"/>
        <v>7.2234795586671677E-3</v>
      </c>
      <c r="S62" s="2"/>
      <c r="T62" s="7">
        <v>711.11</v>
      </c>
      <c r="U62" s="2"/>
      <c r="V62" s="6">
        <f t="shared" si="21"/>
        <v>6.3792209152972309E-3</v>
      </c>
      <c r="W62" s="2"/>
      <c r="X62" s="7">
        <f t="shared" si="22"/>
        <v>-151.02999999999997</v>
      </c>
      <c r="Y62" s="2"/>
      <c r="Z62" s="6">
        <f t="shared" si="23"/>
        <v>-0.21238626935354582</v>
      </c>
    </row>
    <row r="63" spans="1:26" s="28" customFormat="1" outlineLevel="1" collapsed="1" x14ac:dyDescent="0.25">
      <c r="A63" s="27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26073.31</v>
      </c>
      <c r="E63" s="1"/>
      <c r="F63" s="5">
        <f t="shared" ref="F63:F68" si="24">IF(D$12=0,0,D63/D$12)</f>
        <v>0.33627342845984903</v>
      </c>
      <c r="G63" s="1"/>
      <c r="H63" s="1">
        <f>SUM(OSRRefH22_1x_0)</f>
        <v>27984.6</v>
      </c>
      <c r="I63" s="1"/>
      <c r="J63" s="5">
        <f t="shared" ref="J63:J68" si="25">IF(H$12=0,0,H63/H$12)</f>
        <v>0.25104406579323435</v>
      </c>
      <c r="K63" s="1"/>
      <c r="L63" s="1">
        <f t="shared" ref="L63:L68" si="26">+D63-H63</f>
        <v>-1911.2899999999972</v>
      </c>
      <c r="M63" s="1"/>
      <c r="N63" s="5">
        <f t="shared" ref="N63:N68" si="27">IF(H63=0,0,L63/H63)</f>
        <v>-6.8297920999406722E-2</v>
      </c>
      <c r="O63" s="14"/>
      <c r="P63" s="1">
        <f>SUM(OSRRefP22_1x_0)</f>
        <v>26073.31</v>
      </c>
      <c r="Q63" s="1"/>
      <c r="R63" s="5">
        <f t="shared" ref="R63:R68" si="28">IF(P$12=0,0,P63/P$12)</f>
        <v>0.33627342845984903</v>
      </c>
      <c r="S63" s="1"/>
      <c r="T63" s="1">
        <f>SUM(OSRRefT22_1x_0)</f>
        <v>27984.6</v>
      </c>
      <c r="U63" s="1"/>
      <c r="V63" s="5">
        <f t="shared" ref="V63:V68" si="29">IF(T$12=0,0,T63/T$12)</f>
        <v>0.25104406579323435</v>
      </c>
      <c r="W63" s="1"/>
      <c r="X63" s="1">
        <f t="shared" ref="X63:X68" si="30">+P63-T63</f>
        <v>-1911.2899999999972</v>
      </c>
      <c r="Y63" s="1"/>
      <c r="Z63" s="5">
        <f t="shared" ref="Z63:Z68" si="31">IF(T63=0,0,X63/T63)</f>
        <v>-6.8297920999406722E-2</v>
      </c>
    </row>
    <row r="64" spans="1:26" s="24" customFormat="1" hidden="1" outlineLevel="2" x14ac:dyDescent="0.25">
      <c r="A64" s="29"/>
      <c r="B64" s="11" t="str">
        <f>CONCATENATE("          ", "6002", " - ", "STAFF SALARIES")</f>
        <v xml:space="preserve">          6002 - STAFF SALARIES</v>
      </c>
      <c r="C64" s="11"/>
      <c r="D64" s="7">
        <v>17629.36</v>
      </c>
      <c r="E64" s="2"/>
      <c r="F64" s="6">
        <f t="shared" si="24"/>
        <v>0.22736987857517607</v>
      </c>
      <c r="G64" s="2"/>
      <c r="H64" s="7">
        <v>15395.6</v>
      </c>
      <c r="I64" s="2"/>
      <c r="J64" s="6">
        <f t="shared" si="25"/>
        <v>0.13811074731553494</v>
      </c>
      <c r="K64" s="2"/>
      <c r="L64" s="7">
        <f t="shared" si="26"/>
        <v>2233.7600000000002</v>
      </c>
      <c r="M64" s="2"/>
      <c r="N64" s="6">
        <f t="shared" si="27"/>
        <v>0.14509080516511211</v>
      </c>
      <c r="O64" s="11"/>
      <c r="P64" s="7">
        <v>17629.36</v>
      </c>
      <c r="Q64" s="2"/>
      <c r="R64" s="6">
        <f t="shared" si="28"/>
        <v>0.22736987857517607</v>
      </c>
      <c r="S64" s="2"/>
      <c r="T64" s="7">
        <v>15395.6</v>
      </c>
      <c r="U64" s="2"/>
      <c r="V64" s="6">
        <f t="shared" si="29"/>
        <v>0.13811074731553494</v>
      </c>
      <c r="W64" s="2"/>
      <c r="X64" s="7">
        <f t="shared" si="30"/>
        <v>2233.7600000000002</v>
      </c>
      <c r="Y64" s="2"/>
      <c r="Z64" s="6">
        <f t="shared" si="31"/>
        <v>0.14509080516511211</v>
      </c>
    </row>
    <row r="65" spans="1:26" s="24" customFormat="1" hidden="1" outlineLevel="2" x14ac:dyDescent="0.25">
      <c r="A65" s="29"/>
      <c r="B65" s="11" t="str">
        <f>CONCATENATE("          ", "6004", " - ", "STAFF HOURLY")</f>
        <v xml:space="preserve">          6004 - STAFF HOURLY</v>
      </c>
      <c r="C65" s="11"/>
      <c r="D65" s="7">
        <v>2005.93</v>
      </c>
      <c r="E65" s="2"/>
      <c r="F65" s="6">
        <f t="shared" si="24"/>
        <v>2.5870936921720523E-2</v>
      </c>
      <c r="G65" s="2"/>
      <c r="H65" s="7">
        <v>5369.04</v>
      </c>
      <c r="I65" s="2"/>
      <c r="J65" s="6">
        <f t="shared" si="25"/>
        <v>4.8164548752046017E-2</v>
      </c>
      <c r="K65" s="2"/>
      <c r="L65" s="7">
        <f t="shared" si="26"/>
        <v>-3363.1099999999997</v>
      </c>
      <c r="M65" s="2"/>
      <c r="N65" s="6">
        <f t="shared" si="27"/>
        <v>-0.62638944764799664</v>
      </c>
      <c r="O65" s="11"/>
      <c r="P65" s="7">
        <v>2005.93</v>
      </c>
      <c r="Q65" s="2"/>
      <c r="R65" s="6">
        <f t="shared" si="28"/>
        <v>2.5870936921720523E-2</v>
      </c>
      <c r="S65" s="2"/>
      <c r="T65" s="7">
        <v>5369.04</v>
      </c>
      <c r="U65" s="2"/>
      <c r="V65" s="6">
        <f t="shared" si="29"/>
        <v>4.8164548752046017E-2</v>
      </c>
      <c r="W65" s="2"/>
      <c r="X65" s="7">
        <f t="shared" si="30"/>
        <v>-3363.1099999999997</v>
      </c>
      <c r="Y65" s="2"/>
      <c r="Z65" s="6">
        <f t="shared" si="31"/>
        <v>-0.62638944764799664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7">
        <v>1192.4000000000001</v>
      </c>
      <c r="E66" s="2"/>
      <c r="F66" s="6">
        <f t="shared" si="24"/>
        <v>1.537865488100759E-2</v>
      </c>
      <c r="G66" s="2"/>
      <c r="H66" s="7">
        <v>2412.16</v>
      </c>
      <c r="I66" s="2"/>
      <c r="J66" s="6">
        <f t="shared" si="25"/>
        <v>2.163898907770017E-2</v>
      </c>
      <c r="K66" s="2"/>
      <c r="L66" s="7">
        <f t="shared" si="26"/>
        <v>-1219.7599999999998</v>
      </c>
      <c r="M66" s="2"/>
      <c r="N66" s="6">
        <f t="shared" si="27"/>
        <v>-0.50567126558768893</v>
      </c>
      <c r="O66" s="11"/>
      <c r="P66" s="7">
        <v>1192.4000000000001</v>
      </c>
      <c r="Q66" s="2"/>
      <c r="R66" s="6">
        <f t="shared" si="28"/>
        <v>1.537865488100759E-2</v>
      </c>
      <c r="S66" s="2"/>
      <c r="T66" s="7">
        <v>2412.16</v>
      </c>
      <c r="U66" s="2"/>
      <c r="V66" s="6">
        <f t="shared" si="29"/>
        <v>2.163898907770017E-2</v>
      </c>
      <c r="W66" s="2"/>
      <c r="X66" s="7">
        <f t="shared" si="30"/>
        <v>-1219.7599999999998</v>
      </c>
      <c r="Y66" s="2"/>
      <c r="Z66" s="6">
        <f t="shared" si="31"/>
        <v>-0.50567126558768893</v>
      </c>
    </row>
    <row r="67" spans="1:26" s="24" customFormat="1" hidden="1" outlineLevel="2" x14ac:dyDescent="0.25">
      <c r="A67" s="29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4"/>
        <v>0</v>
      </c>
      <c r="G67" s="2"/>
      <c r="H67" s="7">
        <v>984.06</v>
      </c>
      <c r="I67" s="2"/>
      <c r="J67" s="6">
        <f t="shared" si="25"/>
        <v>8.8277989817431794E-3</v>
      </c>
      <c r="K67" s="2"/>
      <c r="L67" s="7">
        <f t="shared" si="26"/>
        <v>-984.06</v>
      </c>
      <c r="M67" s="2"/>
      <c r="N67" s="6">
        <f t="shared" si="27"/>
        <v>-1</v>
      </c>
      <c r="O67" s="11"/>
      <c r="P67" s="7"/>
      <c r="Q67" s="2"/>
      <c r="R67" s="6">
        <f t="shared" si="28"/>
        <v>0</v>
      </c>
      <c r="S67" s="2"/>
      <c r="T67" s="7">
        <v>984.06</v>
      </c>
      <c r="U67" s="2"/>
      <c r="V67" s="6">
        <f t="shared" si="29"/>
        <v>8.8277989817431794E-3</v>
      </c>
      <c r="W67" s="2"/>
      <c r="X67" s="7">
        <f t="shared" si="30"/>
        <v>-984.06</v>
      </c>
      <c r="Y67" s="2"/>
      <c r="Z67" s="6">
        <f t="shared" si="31"/>
        <v>-1</v>
      </c>
    </row>
    <row r="68" spans="1:26" s="24" customFormat="1" hidden="1" outlineLevel="2" x14ac:dyDescent="0.25">
      <c r="A68" s="29"/>
      <c r="B68" s="11" t="str">
        <f>CONCATENATE("          ", "6007", " - ", "STUDENT HOURLY")</f>
        <v xml:space="preserve">          6007 - STUDENT HOURLY</v>
      </c>
      <c r="C68" s="11"/>
      <c r="D68" s="7">
        <v>5245.62</v>
      </c>
      <c r="E68" s="2"/>
      <c r="F68" s="6">
        <f t="shared" si="24"/>
        <v>6.765395808194484E-2</v>
      </c>
      <c r="G68" s="2"/>
      <c r="H68" s="7">
        <v>3823.74</v>
      </c>
      <c r="I68" s="2"/>
      <c r="J68" s="6">
        <f t="shared" si="25"/>
        <v>3.4301981666210055E-2</v>
      </c>
      <c r="K68" s="2"/>
      <c r="L68" s="7">
        <f t="shared" si="26"/>
        <v>1421.88</v>
      </c>
      <c r="M68" s="2"/>
      <c r="N68" s="6">
        <f t="shared" si="27"/>
        <v>0.3718558270175274</v>
      </c>
      <c r="O68" s="11"/>
      <c r="P68" s="7">
        <v>5245.62</v>
      </c>
      <c r="Q68" s="2"/>
      <c r="R68" s="6">
        <f t="shared" si="28"/>
        <v>6.765395808194484E-2</v>
      </c>
      <c r="S68" s="2"/>
      <c r="T68" s="7">
        <v>3823.74</v>
      </c>
      <c r="U68" s="2"/>
      <c r="V68" s="6">
        <f t="shared" si="29"/>
        <v>3.4301981666210055E-2</v>
      </c>
      <c r="W68" s="2"/>
      <c r="X68" s="7">
        <f t="shared" si="30"/>
        <v>1421.88</v>
      </c>
      <c r="Y68" s="2"/>
      <c r="Z68" s="6">
        <f t="shared" si="31"/>
        <v>0.3718558270175274</v>
      </c>
    </row>
    <row r="69" spans="1:26" s="28" customFormat="1" outlineLevel="1" collapsed="1" x14ac:dyDescent="0.25">
      <c r="A69" s="27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91</v>
      </c>
      <c r="E69" s="1"/>
      <c r="F69" s="5">
        <f t="shared" ref="F69:F73" si="32">IF(D$12=0,0,D69/D$12)</f>
        <v>1.1736477643170837E-3</v>
      </c>
      <c r="G69" s="1"/>
      <c r="H69" s="1">
        <f>SUM(OSRRefH22_2x_0)</f>
        <v>481.14</v>
      </c>
      <c r="I69" s="1"/>
      <c r="J69" s="5">
        <f t="shared" ref="J69:J73" si="33">IF(H$12=0,0,H69/H$12)</f>
        <v>4.3162075504297641E-3</v>
      </c>
      <c r="K69" s="1"/>
      <c r="L69" s="1">
        <f t="shared" ref="L69:L73" si="34">+D69-H69</f>
        <v>-390.14</v>
      </c>
      <c r="M69" s="1"/>
      <c r="N69" s="5">
        <f t="shared" ref="N69:N73" si="35">IF(H69=0,0,L69/H69)</f>
        <v>-0.81086586024857632</v>
      </c>
      <c r="O69" s="14"/>
      <c r="P69" s="1">
        <f>SUM(OSRRefP22_2x_0)</f>
        <v>91</v>
      </c>
      <c r="Q69" s="1"/>
      <c r="R69" s="5">
        <f t="shared" ref="R69:R73" si="36">IF(P$12=0,0,P69/P$12)</f>
        <v>1.1736477643170837E-3</v>
      </c>
      <c r="S69" s="1"/>
      <c r="T69" s="1">
        <f>SUM(OSRRefT22_2x_0)</f>
        <v>481.14</v>
      </c>
      <c r="U69" s="1"/>
      <c r="V69" s="5">
        <f t="shared" ref="V69:V73" si="37">IF(T$12=0,0,T69/T$12)</f>
        <v>4.3162075504297641E-3</v>
      </c>
      <c r="W69" s="1"/>
      <c r="X69" s="1">
        <f t="shared" ref="X69:X73" si="38">+P69-T69</f>
        <v>-390.14</v>
      </c>
      <c r="Y69" s="1"/>
      <c r="Z69" s="5">
        <f t="shared" ref="Z69:Z73" si="39">IF(T69=0,0,X69/T69)</f>
        <v>-0.81086586024857632</v>
      </c>
    </row>
    <row r="70" spans="1:26" s="24" customFormat="1" hidden="1" outlineLevel="2" x14ac:dyDescent="0.25">
      <c r="A70" s="29"/>
      <c r="B70" s="11" t="str">
        <f>CONCATENATE("          ", "6362", " - ", "ADVERTISING EXPENSE")</f>
        <v xml:space="preserve">          6362 - ADVERTISING EXPENSE</v>
      </c>
      <c r="C70" s="11"/>
      <c r="D70" s="7">
        <v>91</v>
      </c>
      <c r="E70" s="2"/>
      <c r="F70" s="6">
        <f t="shared" si="32"/>
        <v>1.1736477643170837E-3</v>
      </c>
      <c r="G70" s="2"/>
      <c r="H70" s="7">
        <v>481.14</v>
      </c>
      <c r="I70" s="2"/>
      <c r="J70" s="6">
        <f t="shared" si="33"/>
        <v>4.3162075504297641E-3</v>
      </c>
      <c r="K70" s="2"/>
      <c r="L70" s="7">
        <f t="shared" si="34"/>
        <v>-390.14</v>
      </c>
      <c r="M70" s="2"/>
      <c r="N70" s="6">
        <f t="shared" si="35"/>
        <v>-0.81086586024857632</v>
      </c>
      <c r="O70" s="11"/>
      <c r="P70" s="7">
        <v>91</v>
      </c>
      <c r="Q70" s="2"/>
      <c r="R70" s="6">
        <f t="shared" si="36"/>
        <v>1.1736477643170837E-3</v>
      </c>
      <c r="S70" s="2"/>
      <c r="T70" s="7">
        <v>481.14</v>
      </c>
      <c r="U70" s="2"/>
      <c r="V70" s="6">
        <f t="shared" si="37"/>
        <v>4.3162075504297641E-3</v>
      </c>
      <c r="W70" s="2"/>
      <c r="X70" s="7">
        <f t="shared" si="38"/>
        <v>-390.14</v>
      </c>
      <c r="Y70" s="2"/>
      <c r="Z70" s="6">
        <f t="shared" si="39"/>
        <v>-0.81086586024857632</v>
      </c>
    </row>
    <row r="71" spans="1:26" s="28" customFormat="1" outlineLevel="1" collapsed="1" x14ac:dyDescent="0.25">
      <c r="A71" s="27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SUM(OSRRefD22_3x_0)</f>
        <v>2508.91</v>
      </c>
      <c r="E71" s="1"/>
      <c r="F71" s="5">
        <f t="shared" si="32"/>
        <v>3.235798475134917E-2</v>
      </c>
      <c r="G71" s="1"/>
      <c r="H71" s="1">
        <f>SUM(OSRRefH22_3x_0)</f>
        <v>1912.2399999999998</v>
      </c>
      <c r="I71" s="1"/>
      <c r="J71" s="5">
        <f t="shared" si="33"/>
        <v>1.7154310026673756E-2</v>
      </c>
      <c r="K71" s="1"/>
      <c r="L71" s="1">
        <f t="shared" si="34"/>
        <v>596.67000000000007</v>
      </c>
      <c r="M71" s="1"/>
      <c r="N71" s="5">
        <f t="shared" si="35"/>
        <v>0.31202673304606121</v>
      </c>
      <c r="O71" s="14"/>
      <c r="P71" s="1">
        <f>SUM(OSRRefP22_3x_0)</f>
        <v>2508.91</v>
      </c>
      <c r="Q71" s="1"/>
      <c r="R71" s="5">
        <f t="shared" si="36"/>
        <v>3.235798475134917E-2</v>
      </c>
      <c r="S71" s="1"/>
      <c r="T71" s="1">
        <f>SUM(OSRRefT22_3x_0)</f>
        <v>1912.2399999999998</v>
      </c>
      <c r="U71" s="1"/>
      <c r="V71" s="5">
        <f t="shared" si="37"/>
        <v>1.7154310026673756E-2</v>
      </c>
      <c r="W71" s="1"/>
      <c r="X71" s="1">
        <f t="shared" si="38"/>
        <v>596.67000000000007</v>
      </c>
      <c r="Y71" s="1"/>
      <c r="Z71" s="5">
        <f t="shared" si="39"/>
        <v>0.31202673304606121</v>
      </c>
    </row>
    <row r="72" spans="1:26" s="24" customFormat="1" hidden="1" outlineLevel="2" x14ac:dyDescent="0.25">
      <c r="A72" s="29"/>
      <c r="B72" s="11" t="str">
        <f>CONCATENATE("          ", "6382", " - ", "DISCOUNTS/MARK DOWNS")</f>
        <v xml:space="preserve">          6382 - DISCOUNTS/MARK DOWNS</v>
      </c>
      <c r="C72" s="11"/>
      <c r="D72" s="7">
        <v>2508.91</v>
      </c>
      <c r="E72" s="2"/>
      <c r="F72" s="6">
        <f t="shared" si="32"/>
        <v>3.235798475134917E-2</v>
      </c>
      <c r="G72" s="2"/>
      <c r="H72" s="7">
        <v>2612.6999999999998</v>
      </c>
      <c r="I72" s="2"/>
      <c r="J72" s="6">
        <f t="shared" si="33"/>
        <v>2.3437991991952123E-2</v>
      </c>
      <c r="K72" s="2"/>
      <c r="L72" s="7">
        <f t="shared" si="34"/>
        <v>-103.78999999999996</v>
      </c>
      <c r="M72" s="2"/>
      <c r="N72" s="6">
        <f t="shared" si="35"/>
        <v>-3.97251885023156E-2</v>
      </c>
      <c r="O72" s="11"/>
      <c r="P72" s="7">
        <v>2508.91</v>
      </c>
      <c r="Q72" s="2"/>
      <c r="R72" s="6">
        <f t="shared" si="36"/>
        <v>3.235798475134917E-2</v>
      </c>
      <c r="S72" s="2"/>
      <c r="T72" s="7">
        <v>2612.6999999999998</v>
      </c>
      <c r="U72" s="2"/>
      <c r="V72" s="6">
        <f t="shared" si="37"/>
        <v>2.3437991991952123E-2</v>
      </c>
      <c r="W72" s="2"/>
      <c r="X72" s="7">
        <f t="shared" si="38"/>
        <v>-103.78999999999996</v>
      </c>
      <c r="Y72" s="2"/>
      <c r="Z72" s="6">
        <f t="shared" si="39"/>
        <v>-3.97251885023156E-2</v>
      </c>
    </row>
    <row r="73" spans="1:26" s="24" customFormat="1" hidden="1" outlineLevel="2" x14ac:dyDescent="0.25">
      <c r="A73" s="29"/>
      <c r="B73" s="11" t="str">
        <f>CONCATENATE("          ", "9175", " - ", "EARNED DISCOUNTS")</f>
        <v xml:space="preserve">          9175 - EARNED DISCOUNTS</v>
      </c>
      <c r="C73" s="11"/>
      <c r="D73" s="7"/>
      <c r="E73" s="2"/>
      <c r="F73" s="6">
        <f t="shared" si="32"/>
        <v>0</v>
      </c>
      <c r="G73" s="2"/>
      <c r="H73" s="7">
        <v>-700.46</v>
      </c>
      <c r="I73" s="2"/>
      <c r="J73" s="6">
        <f t="shared" si="33"/>
        <v>-6.2836819652783661E-3</v>
      </c>
      <c r="K73" s="2"/>
      <c r="L73" s="7">
        <f t="shared" si="34"/>
        <v>700.46</v>
      </c>
      <c r="M73" s="2"/>
      <c r="N73" s="6">
        <f t="shared" si="35"/>
        <v>-1</v>
      </c>
      <c r="O73" s="11"/>
      <c r="P73" s="7"/>
      <c r="Q73" s="2"/>
      <c r="R73" s="6">
        <f t="shared" si="36"/>
        <v>0</v>
      </c>
      <c r="S73" s="2"/>
      <c r="T73" s="7">
        <v>-700.46</v>
      </c>
      <c r="U73" s="2"/>
      <c r="V73" s="6">
        <f t="shared" si="37"/>
        <v>-6.2836819652783661E-3</v>
      </c>
      <c r="W73" s="2"/>
      <c r="X73" s="7">
        <f t="shared" si="38"/>
        <v>700.46</v>
      </c>
      <c r="Y73" s="2"/>
      <c r="Z73" s="6">
        <f t="shared" si="39"/>
        <v>-1</v>
      </c>
    </row>
    <row r="74" spans="1:26" s="28" customFormat="1" outlineLevel="1" collapsed="1" x14ac:dyDescent="0.25">
      <c r="A74" s="27"/>
      <c r="B74" s="14" t="str">
        <f>CONCATENATE("     ","Equipment Rental                                  ")</f>
        <v xml:space="preserve">     Equipment Rental                                  </v>
      </c>
      <c r="C74" s="14"/>
      <c r="D74" s="1">
        <f>SUM(OSRRefD22_4x_0)</f>
        <v>91.26</v>
      </c>
      <c r="E74" s="1"/>
      <c r="F74" s="5">
        <f t="shared" ref="F74:F84" si="40">IF(D$12=0,0,D74/D$12)</f>
        <v>1.1770010436437039E-3</v>
      </c>
      <c r="G74" s="1"/>
      <c r="H74" s="1">
        <f>SUM(OSRRefH22_4x_0)</f>
        <v>91.26</v>
      </c>
      <c r="I74" s="1"/>
      <c r="J74" s="5">
        <f t="shared" ref="J74:J84" si="41">IF(H$12=0,0,H74/H$12)</f>
        <v>8.1867460833067362E-4</v>
      </c>
      <c r="K74" s="1"/>
      <c r="L74" s="1">
        <f t="shared" ref="L74:L84" si="42">+D74-H74</f>
        <v>0</v>
      </c>
      <c r="M74" s="1"/>
      <c r="N74" s="5">
        <f t="shared" ref="N74:N84" si="43">IF(H74=0,0,L74/H74)</f>
        <v>0</v>
      </c>
      <c r="O74" s="14"/>
      <c r="P74" s="1">
        <f>SUM(OSRRefP22_4x_0)</f>
        <v>91.26</v>
      </c>
      <c r="Q74" s="1"/>
      <c r="R74" s="5">
        <f t="shared" ref="R74:R84" si="44">IF(P$12=0,0,P74/P$12)</f>
        <v>1.1770010436437039E-3</v>
      </c>
      <c r="S74" s="1"/>
      <c r="T74" s="1">
        <f>SUM(OSRRefT22_4x_0)</f>
        <v>91.26</v>
      </c>
      <c r="U74" s="1"/>
      <c r="V74" s="5">
        <f t="shared" ref="V74:V84" si="45">IF(T$12=0,0,T74/T$12)</f>
        <v>8.1867460833067362E-4</v>
      </c>
      <c r="W74" s="1"/>
      <c r="X74" s="1">
        <f t="shared" ref="X74:X84" si="46">+P74-T74</f>
        <v>0</v>
      </c>
      <c r="Y74" s="1"/>
      <c r="Z74" s="5">
        <f t="shared" ref="Z74:Z84" si="47">IF(T74=0,0,X74/T74)</f>
        <v>0</v>
      </c>
    </row>
    <row r="75" spans="1:26" s="24" customFormat="1" hidden="1" outlineLevel="2" x14ac:dyDescent="0.25">
      <c r="A75" s="29"/>
      <c r="B75" s="11" t="str">
        <f>CONCATENATE("          ", "6351", " - ", "EQUIPMENT RENTAL")</f>
        <v xml:space="preserve">          6351 - EQUIPMENT RENTAL</v>
      </c>
      <c r="C75" s="11"/>
      <c r="D75" s="7">
        <v>91.26</v>
      </c>
      <c r="E75" s="2"/>
      <c r="F75" s="6">
        <f t="shared" si="40"/>
        <v>1.1770010436437039E-3</v>
      </c>
      <c r="G75" s="2"/>
      <c r="H75" s="7">
        <v>91.26</v>
      </c>
      <c r="I75" s="2"/>
      <c r="J75" s="6">
        <f t="shared" si="41"/>
        <v>8.1867460833067362E-4</v>
      </c>
      <c r="K75" s="2"/>
      <c r="L75" s="7">
        <f t="shared" si="42"/>
        <v>0</v>
      </c>
      <c r="M75" s="2"/>
      <c r="N75" s="6">
        <f t="shared" si="43"/>
        <v>0</v>
      </c>
      <c r="O75" s="11"/>
      <c r="P75" s="7">
        <v>91.26</v>
      </c>
      <c r="Q75" s="2"/>
      <c r="R75" s="6">
        <f t="shared" si="44"/>
        <v>1.1770010436437039E-3</v>
      </c>
      <c r="S75" s="2"/>
      <c r="T75" s="7">
        <v>91.26</v>
      </c>
      <c r="U75" s="2"/>
      <c r="V75" s="6">
        <f t="shared" si="45"/>
        <v>8.1867460833067362E-4</v>
      </c>
      <c r="W75" s="2"/>
      <c r="X75" s="7">
        <f t="shared" si="46"/>
        <v>0</v>
      </c>
      <c r="Y75" s="2"/>
      <c r="Z75" s="6">
        <f t="shared" si="47"/>
        <v>0</v>
      </c>
    </row>
    <row r="76" spans="1:26" s="28" customFormat="1" outlineLevel="1" collapsed="1" x14ac:dyDescent="0.25">
      <c r="A76" s="27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SUM(OSRRefD22_5x_0)</f>
        <v>364.59</v>
      </c>
      <c r="E76" s="1"/>
      <c r="F76" s="5">
        <f t="shared" si="40"/>
        <v>4.7022004218941265E-3</v>
      </c>
      <c r="G76" s="1"/>
      <c r="H76" s="1">
        <f>SUM(OSRRefH22_5x_0)</f>
        <v>380.04</v>
      </c>
      <c r="I76" s="1"/>
      <c r="J76" s="5">
        <f t="shared" si="41"/>
        <v>3.4092603347577167E-3</v>
      </c>
      <c r="K76" s="1"/>
      <c r="L76" s="1">
        <f t="shared" si="42"/>
        <v>-15.450000000000045</v>
      </c>
      <c r="M76" s="1"/>
      <c r="N76" s="5">
        <f t="shared" si="43"/>
        <v>-4.0653615408904442E-2</v>
      </c>
      <c r="O76" s="14"/>
      <c r="P76" s="1">
        <f>SUM(OSRRefP22_5x_0)</f>
        <v>364.59</v>
      </c>
      <c r="Q76" s="1"/>
      <c r="R76" s="5">
        <f t="shared" si="44"/>
        <v>4.7022004218941265E-3</v>
      </c>
      <c r="S76" s="1"/>
      <c r="T76" s="1">
        <f>SUM(OSRRefT22_5x_0)</f>
        <v>380.04</v>
      </c>
      <c r="U76" s="1"/>
      <c r="V76" s="5">
        <f t="shared" si="45"/>
        <v>3.4092603347577167E-3</v>
      </c>
      <c r="W76" s="1"/>
      <c r="X76" s="1">
        <f t="shared" si="46"/>
        <v>-15.450000000000045</v>
      </c>
      <c r="Y76" s="1"/>
      <c r="Z76" s="5">
        <f t="shared" si="47"/>
        <v>-4.0653615408904442E-2</v>
      </c>
    </row>
    <row r="77" spans="1:26" s="24" customFormat="1" hidden="1" outlineLevel="2" x14ac:dyDescent="0.25">
      <c r="A77" s="29"/>
      <c r="B77" s="11" t="str">
        <f>CONCATENATE("          ", "6305", " - ", "FREIGHT OUT")</f>
        <v xml:space="preserve">          6305 - FREIGHT OUT</v>
      </c>
      <c r="C77" s="11"/>
      <c r="D77" s="7">
        <v>364.59</v>
      </c>
      <c r="E77" s="2"/>
      <c r="F77" s="6">
        <f t="shared" si="40"/>
        <v>4.7022004218941265E-3</v>
      </c>
      <c r="G77" s="2"/>
      <c r="H77" s="7">
        <v>380.04</v>
      </c>
      <c r="I77" s="2"/>
      <c r="J77" s="6">
        <f t="shared" si="41"/>
        <v>3.4092603347577167E-3</v>
      </c>
      <c r="K77" s="2"/>
      <c r="L77" s="7">
        <f t="shared" si="42"/>
        <v>-15.450000000000045</v>
      </c>
      <c r="M77" s="2"/>
      <c r="N77" s="6">
        <f t="shared" si="43"/>
        <v>-4.0653615408904442E-2</v>
      </c>
      <c r="O77" s="11"/>
      <c r="P77" s="7">
        <v>364.59</v>
      </c>
      <c r="Q77" s="2"/>
      <c r="R77" s="6">
        <f t="shared" si="44"/>
        <v>4.7022004218941265E-3</v>
      </c>
      <c r="S77" s="2"/>
      <c r="T77" s="7">
        <v>380.04</v>
      </c>
      <c r="U77" s="2"/>
      <c r="V77" s="6">
        <f t="shared" si="45"/>
        <v>3.4092603347577167E-3</v>
      </c>
      <c r="W77" s="2"/>
      <c r="X77" s="7">
        <f t="shared" si="46"/>
        <v>-15.450000000000045</v>
      </c>
      <c r="Y77" s="2"/>
      <c r="Z77" s="6">
        <f t="shared" si="47"/>
        <v>-4.0653615408904442E-2</v>
      </c>
    </row>
    <row r="78" spans="1:26" s="28" customFormat="1" outlineLevel="1" collapsed="1" x14ac:dyDescent="0.25">
      <c r="A78" s="27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SUM(OSRRefD22_6x_0)</f>
        <v>7.84</v>
      </c>
      <c r="E78" s="1"/>
      <c r="F78" s="5">
        <f t="shared" si="40"/>
        <v>1.0111426892577952E-4</v>
      </c>
      <c r="G78" s="1"/>
      <c r="H78" s="1">
        <f>SUM(OSRRefH22_6x_0)</f>
        <v>-628.58000000000004</v>
      </c>
      <c r="I78" s="1"/>
      <c r="J78" s="5">
        <f t="shared" si="41"/>
        <v>-5.6388613336017402E-3</v>
      </c>
      <c r="K78" s="1"/>
      <c r="L78" s="1">
        <f t="shared" si="42"/>
        <v>636.42000000000007</v>
      </c>
      <c r="M78" s="1"/>
      <c r="N78" s="5">
        <f t="shared" si="43"/>
        <v>-1.012472557192402</v>
      </c>
      <c r="O78" s="14"/>
      <c r="P78" s="1">
        <f>SUM(OSRRefP22_6x_0)</f>
        <v>7.84</v>
      </c>
      <c r="Q78" s="1"/>
      <c r="R78" s="5">
        <f t="shared" si="44"/>
        <v>1.0111426892577952E-4</v>
      </c>
      <c r="S78" s="1"/>
      <c r="T78" s="1">
        <f>SUM(OSRRefT22_6x_0)</f>
        <v>-628.58000000000004</v>
      </c>
      <c r="U78" s="1"/>
      <c r="V78" s="5">
        <f t="shared" si="45"/>
        <v>-5.6388613336017402E-3</v>
      </c>
      <c r="W78" s="1"/>
      <c r="X78" s="1">
        <f t="shared" si="46"/>
        <v>636.42000000000007</v>
      </c>
      <c r="Y78" s="1"/>
      <c r="Z78" s="5">
        <f t="shared" si="47"/>
        <v>-1.012472557192402</v>
      </c>
    </row>
    <row r="79" spans="1:26" s="24" customFormat="1" hidden="1" outlineLevel="2" x14ac:dyDescent="0.25">
      <c r="A79" s="29"/>
      <c r="B79" s="11" t="str">
        <f>CONCATENATE("          ", "6279", " - ", "GENERAL EXPENSE")</f>
        <v xml:space="preserve">          6279 - GENERAL EXPENSE</v>
      </c>
      <c r="C79" s="11"/>
      <c r="D79" s="7">
        <v>7.84</v>
      </c>
      <c r="E79" s="2"/>
      <c r="F79" s="6">
        <f t="shared" si="40"/>
        <v>1.0111426892577952E-4</v>
      </c>
      <c r="G79" s="2"/>
      <c r="H79" s="7">
        <v>-628.58000000000004</v>
      </c>
      <c r="I79" s="2"/>
      <c r="J79" s="6">
        <f t="shared" si="41"/>
        <v>-5.6388613336017402E-3</v>
      </c>
      <c r="K79" s="2"/>
      <c r="L79" s="7">
        <f t="shared" si="42"/>
        <v>636.42000000000007</v>
      </c>
      <c r="M79" s="2"/>
      <c r="N79" s="6">
        <f t="shared" si="43"/>
        <v>-1.012472557192402</v>
      </c>
      <c r="O79" s="11"/>
      <c r="P79" s="7">
        <v>7.84</v>
      </c>
      <c r="Q79" s="2"/>
      <c r="R79" s="6">
        <f t="shared" si="44"/>
        <v>1.0111426892577952E-4</v>
      </c>
      <c r="S79" s="2"/>
      <c r="T79" s="7">
        <v>-628.58000000000004</v>
      </c>
      <c r="U79" s="2"/>
      <c r="V79" s="6">
        <f t="shared" si="45"/>
        <v>-5.6388613336017402E-3</v>
      </c>
      <c r="W79" s="2"/>
      <c r="X79" s="7">
        <f t="shared" si="46"/>
        <v>636.42000000000007</v>
      </c>
      <c r="Y79" s="2"/>
      <c r="Z79" s="6">
        <f t="shared" si="47"/>
        <v>-1.012472557192402</v>
      </c>
    </row>
    <row r="80" spans="1:26" s="28" customFormat="1" outlineLevel="1" collapsed="1" x14ac:dyDescent="0.25">
      <c r="A80" s="27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1000</v>
      </c>
      <c r="E80" s="1"/>
      <c r="F80" s="5">
        <f t="shared" si="40"/>
        <v>1.2897228179308612E-2</v>
      </c>
      <c r="G80" s="1"/>
      <c r="H80" s="1">
        <f>SUM(OSRRefH22_7x_0)</f>
        <v>6950</v>
      </c>
      <c r="I80" s="1"/>
      <c r="J80" s="5">
        <f t="shared" si="41"/>
        <v>6.2347014331560174E-2</v>
      </c>
      <c r="K80" s="1"/>
      <c r="L80" s="1">
        <f t="shared" si="42"/>
        <v>-5950</v>
      </c>
      <c r="M80" s="1"/>
      <c r="N80" s="5">
        <f t="shared" si="43"/>
        <v>-0.85611510791366907</v>
      </c>
      <c r="O80" s="14"/>
      <c r="P80" s="1">
        <f>SUM(OSRRefP22_7x_0)</f>
        <v>1000</v>
      </c>
      <c r="Q80" s="1"/>
      <c r="R80" s="5">
        <f t="shared" si="44"/>
        <v>1.2897228179308612E-2</v>
      </c>
      <c r="S80" s="1"/>
      <c r="T80" s="1">
        <f>SUM(OSRRefT22_7x_0)</f>
        <v>6950</v>
      </c>
      <c r="U80" s="1"/>
      <c r="V80" s="5">
        <f t="shared" si="45"/>
        <v>6.2347014331560174E-2</v>
      </c>
      <c r="W80" s="1"/>
      <c r="X80" s="1">
        <f t="shared" si="46"/>
        <v>-5950</v>
      </c>
      <c r="Y80" s="1"/>
      <c r="Z80" s="5">
        <f t="shared" si="47"/>
        <v>-0.85611510791366907</v>
      </c>
    </row>
    <row r="81" spans="1:26" s="24" customFormat="1" hidden="1" outlineLevel="2" x14ac:dyDescent="0.25">
      <c r="A81" s="29"/>
      <c r="B81" s="11" t="str">
        <f>CONCATENATE("          ", "6408", " - ", "INVENTORY ADJUSTMENT")</f>
        <v xml:space="preserve">          6408 - INVENTORY ADJUSTMENT</v>
      </c>
      <c r="C81" s="11"/>
      <c r="D81" s="7">
        <v>1000</v>
      </c>
      <c r="E81" s="2"/>
      <c r="F81" s="6">
        <f t="shared" si="40"/>
        <v>1.2897228179308612E-2</v>
      </c>
      <c r="G81" s="2"/>
      <c r="H81" s="7">
        <v>6950</v>
      </c>
      <c r="I81" s="2"/>
      <c r="J81" s="6">
        <f t="shared" si="41"/>
        <v>6.2347014331560174E-2</v>
      </c>
      <c r="K81" s="2"/>
      <c r="L81" s="7">
        <f t="shared" si="42"/>
        <v>-5950</v>
      </c>
      <c r="M81" s="2"/>
      <c r="N81" s="6">
        <f t="shared" si="43"/>
        <v>-0.85611510791366907</v>
      </c>
      <c r="O81" s="11"/>
      <c r="P81" s="7">
        <v>1000</v>
      </c>
      <c r="Q81" s="2"/>
      <c r="R81" s="6">
        <f t="shared" si="44"/>
        <v>1.2897228179308612E-2</v>
      </c>
      <c r="S81" s="2"/>
      <c r="T81" s="7">
        <v>6950</v>
      </c>
      <c r="U81" s="2"/>
      <c r="V81" s="6">
        <f t="shared" si="45"/>
        <v>6.2347014331560174E-2</v>
      </c>
      <c r="W81" s="2"/>
      <c r="X81" s="7">
        <f t="shared" si="46"/>
        <v>-5950</v>
      </c>
      <c r="Y81" s="2"/>
      <c r="Z81" s="6">
        <f t="shared" si="47"/>
        <v>-0.85611510791366907</v>
      </c>
    </row>
    <row r="82" spans="1:26" s="28" customFormat="1" outlineLevel="1" collapsed="1" x14ac:dyDescent="0.25">
      <c r="A82" s="27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SUM(OSRRefD22_8x_0)</f>
        <v>20.46</v>
      </c>
      <c r="E82" s="1"/>
      <c r="F82" s="5">
        <f t="shared" si="40"/>
        <v>2.6387728854865419E-4</v>
      </c>
      <c r="G82" s="1"/>
      <c r="H82" s="1">
        <f>SUM(OSRRefH22_8x_0)</f>
        <v>117.08</v>
      </c>
      <c r="I82" s="1"/>
      <c r="J82" s="5">
        <f t="shared" si="41"/>
        <v>1.0503004946674913E-3</v>
      </c>
      <c r="K82" s="1"/>
      <c r="L82" s="1">
        <f t="shared" si="42"/>
        <v>-96.62</v>
      </c>
      <c r="M82" s="1"/>
      <c r="N82" s="5">
        <f t="shared" si="43"/>
        <v>-0.82524769388452346</v>
      </c>
      <c r="O82" s="14"/>
      <c r="P82" s="1">
        <f>SUM(OSRRefP22_8x_0)</f>
        <v>20.46</v>
      </c>
      <c r="Q82" s="1"/>
      <c r="R82" s="5">
        <f t="shared" si="44"/>
        <v>2.6387728854865419E-4</v>
      </c>
      <c r="S82" s="1"/>
      <c r="T82" s="1">
        <f>SUM(OSRRefT22_8x_0)</f>
        <v>117.08</v>
      </c>
      <c r="U82" s="1"/>
      <c r="V82" s="5">
        <f t="shared" si="45"/>
        <v>1.0503004946674913E-3</v>
      </c>
      <c r="W82" s="1"/>
      <c r="X82" s="1">
        <f t="shared" si="46"/>
        <v>-96.62</v>
      </c>
      <c r="Y82" s="1"/>
      <c r="Z82" s="5">
        <f t="shared" si="47"/>
        <v>-0.82524769388452346</v>
      </c>
    </row>
    <row r="83" spans="1:26" s="24" customFormat="1" hidden="1" outlineLevel="2" x14ac:dyDescent="0.25">
      <c r="A83" s="29"/>
      <c r="B83" s="11" t="str">
        <f>CONCATENATE("          ", "6373", " - ", "MAINTENANCE CONTRACTS")</f>
        <v xml:space="preserve">          6373 - MAINTENANCE CONTRACTS</v>
      </c>
      <c r="C83" s="11"/>
      <c r="D83" s="7">
        <v>20.46</v>
      </c>
      <c r="E83" s="2"/>
      <c r="F83" s="6">
        <f t="shared" si="40"/>
        <v>2.6387728854865419E-4</v>
      </c>
      <c r="G83" s="2"/>
      <c r="H83" s="7">
        <v>39.08</v>
      </c>
      <c r="I83" s="2"/>
      <c r="J83" s="6">
        <f t="shared" si="41"/>
        <v>3.5057860720537717E-4</v>
      </c>
      <c r="K83" s="2"/>
      <c r="L83" s="7">
        <f t="shared" si="42"/>
        <v>-18.619999999999997</v>
      </c>
      <c r="M83" s="2"/>
      <c r="N83" s="6">
        <f t="shared" si="43"/>
        <v>-0.47645854657113607</v>
      </c>
      <c r="O83" s="11"/>
      <c r="P83" s="7">
        <v>20.46</v>
      </c>
      <c r="Q83" s="2"/>
      <c r="R83" s="6">
        <f t="shared" si="44"/>
        <v>2.6387728854865419E-4</v>
      </c>
      <c r="S83" s="2"/>
      <c r="T83" s="7">
        <v>39.08</v>
      </c>
      <c r="U83" s="2"/>
      <c r="V83" s="6">
        <f t="shared" si="45"/>
        <v>3.5057860720537717E-4</v>
      </c>
      <c r="W83" s="2"/>
      <c r="X83" s="7">
        <f t="shared" si="46"/>
        <v>-18.619999999999997</v>
      </c>
      <c r="Y83" s="2"/>
      <c r="Z83" s="6">
        <f t="shared" si="47"/>
        <v>-0.47645854657113607</v>
      </c>
    </row>
    <row r="84" spans="1:26" s="24" customFormat="1" hidden="1" outlineLevel="2" x14ac:dyDescent="0.25">
      <c r="A84" s="29"/>
      <c r="B84" s="11" t="str">
        <f>CONCATENATE("          ", "6375", " - ", "OUTSIDE REPAIRS &amp; MAINTENANCE")</f>
        <v xml:space="preserve">          6375 - OUTSIDE REPAIRS &amp; MAINTENANCE</v>
      </c>
      <c r="C84" s="11"/>
      <c r="D84" s="7"/>
      <c r="E84" s="2"/>
      <c r="F84" s="6">
        <f t="shared" si="40"/>
        <v>0</v>
      </c>
      <c r="G84" s="2"/>
      <c r="H84" s="7">
        <v>78</v>
      </c>
      <c r="I84" s="2"/>
      <c r="J84" s="6">
        <f t="shared" si="41"/>
        <v>6.9972188746211415E-4</v>
      </c>
      <c r="K84" s="2"/>
      <c r="L84" s="7">
        <f t="shared" si="42"/>
        <v>-78</v>
      </c>
      <c r="M84" s="2"/>
      <c r="N84" s="6">
        <f t="shared" si="43"/>
        <v>-1</v>
      </c>
      <c r="O84" s="11"/>
      <c r="P84" s="7"/>
      <c r="Q84" s="2"/>
      <c r="R84" s="6">
        <f t="shared" si="44"/>
        <v>0</v>
      </c>
      <c r="S84" s="2"/>
      <c r="T84" s="7">
        <v>78</v>
      </c>
      <c r="U84" s="2"/>
      <c r="V84" s="6">
        <f t="shared" si="45"/>
        <v>6.9972188746211415E-4</v>
      </c>
      <c r="W84" s="2"/>
      <c r="X84" s="7">
        <f t="shared" si="46"/>
        <v>-78</v>
      </c>
      <c r="Y84" s="2"/>
      <c r="Z84" s="6">
        <f t="shared" si="47"/>
        <v>-1</v>
      </c>
    </row>
    <row r="85" spans="1:26" s="28" customFormat="1" outlineLevel="1" collapsed="1" x14ac:dyDescent="0.25">
      <c r="A85" s="27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SUM(OSRRefD22_9x_0)</f>
        <v>288.85000000000002</v>
      </c>
      <c r="E85" s="1"/>
      <c r="F85" s="5">
        <f t="shared" ref="F85:F90" si="48">IF(D$12=0,0,D85/D$12)</f>
        <v>3.7253643595932927E-3</v>
      </c>
      <c r="G85" s="1"/>
      <c r="H85" s="1">
        <f>SUM(OSRRefH22_9x_0)</f>
        <v>250</v>
      </c>
      <c r="I85" s="1"/>
      <c r="J85" s="5">
        <f t="shared" ref="J85:J90" si="49">IF(H$12=0,0,H85/H$12)</f>
        <v>2.242698357250366E-3</v>
      </c>
      <c r="K85" s="1"/>
      <c r="L85" s="1">
        <f t="shared" ref="L85:L90" si="50">+D85-H85</f>
        <v>38.850000000000023</v>
      </c>
      <c r="M85" s="1"/>
      <c r="N85" s="5">
        <f t="shared" ref="N85:N90" si="51">IF(H85=0,0,L85/H85)</f>
        <v>0.15540000000000009</v>
      </c>
      <c r="O85" s="14"/>
      <c r="P85" s="1">
        <f>SUM(OSRRefP22_9x_0)</f>
        <v>288.85000000000002</v>
      </c>
      <c r="Q85" s="1"/>
      <c r="R85" s="5">
        <f t="shared" ref="R85:R90" si="52">IF(P$12=0,0,P85/P$12)</f>
        <v>3.7253643595932927E-3</v>
      </c>
      <c r="S85" s="1"/>
      <c r="T85" s="1">
        <f>SUM(OSRRefT22_9x_0)</f>
        <v>250</v>
      </c>
      <c r="U85" s="1"/>
      <c r="V85" s="5">
        <f t="shared" ref="V85:V90" si="53">IF(T$12=0,0,T85/T$12)</f>
        <v>2.242698357250366E-3</v>
      </c>
      <c r="W85" s="1"/>
      <c r="X85" s="1">
        <f t="shared" ref="X85:X90" si="54">+P85-T85</f>
        <v>38.850000000000023</v>
      </c>
      <c r="Y85" s="1"/>
      <c r="Z85" s="5">
        <f t="shared" ref="Z85:Z90" si="55">IF(T85=0,0,X85/T85)</f>
        <v>0.15540000000000009</v>
      </c>
    </row>
    <row r="86" spans="1:26" s="24" customFormat="1" hidden="1" outlineLevel="2" x14ac:dyDescent="0.25">
      <c r="A86" s="29"/>
      <c r="B86" s="11" t="str">
        <f>CONCATENATE("          ", "6258", " - ", "MEMBERSHIP DUES")</f>
        <v xml:space="preserve">          6258 - MEMBERSHIP DUES</v>
      </c>
      <c r="C86" s="11"/>
      <c r="D86" s="7">
        <v>288.85000000000002</v>
      </c>
      <c r="E86" s="2"/>
      <c r="F86" s="6">
        <f t="shared" si="48"/>
        <v>3.7253643595932927E-3</v>
      </c>
      <c r="G86" s="2"/>
      <c r="H86" s="7">
        <v>250</v>
      </c>
      <c r="I86" s="2"/>
      <c r="J86" s="6">
        <f t="shared" si="49"/>
        <v>2.242698357250366E-3</v>
      </c>
      <c r="K86" s="2"/>
      <c r="L86" s="7">
        <f t="shared" si="50"/>
        <v>38.850000000000023</v>
      </c>
      <c r="M86" s="2"/>
      <c r="N86" s="6">
        <f t="shared" si="51"/>
        <v>0.15540000000000009</v>
      </c>
      <c r="O86" s="11"/>
      <c r="P86" s="7">
        <v>288.85000000000002</v>
      </c>
      <c r="Q86" s="2"/>
      <c r="R86" s="6">
        <f t="shared" si="52"/>
        <v>3.7253643595932927E-3</v>
      </c>
      <c r="S86" s="2"/>
      <c r="T86" s="7">
        <v>250</v>
      </c>
      <c r="U86" s="2"/>
      <c r="V86" s="6">
        <f t="shared" si="53"/>
        <v>2.242698357250366E-3</v>
      </c>
      <c r="W86" s="2"/>
      <c r="X86" s="7">
        <f t="shared" si="54"/>
        <v>38.850000000000023</v>
      </c>
      <c r="Y86" s="2"/>
      <c r="Z86" s="6">
        <f t="shared" si="55"/>
        <v>0.15540000000000009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277.56</v>
      </c>
      <c r="E87" s="1"/>
      <c r="F87" s="5">
        <f t="shared" si="48"/>
        <v>3.5797546534488984E-3</v>
      </c>
      <c r="G87" s="1"/>
      <c r="H87" s="1">
        <f>SUM(OSRRefH22_10x_0)</f>
        <v>1172.71</v>
      </c>
      <c r="I87" s="1"/>
      <c r="J87" s="5">
        <f t="shared" si="49"/>
        <v>1.0520139162124307E-2</v>
      </c>
      <c r="K87" s="1"/>
      <c r="L87" s="1">
        <f t="shared" si="50"/>
        <v>-895.15000000000009</v>
      </c>
      <c r="M87" s="1"/>
      <c r="N87" s="5">
        <f t="shared" si="51"/>
        <v>-0.76331744421041869</v>
      </c>
      <c r="O87" s="14"/>
      <c r="P87" s="1">
        <f>SUM(OSRRefP22_10x_0)</f>
        <v>277.56</v>
      </c>
      <c r="Q87" s="1"/>
      <c r="R87" s="5">
        <f t="shared" si="52"/>
        <v>3.5797546534488984E-3</v>
      </c>
      <c r="S87" s="1"/>
      <c r="T87" s="1">
        <f>SUM(OSRRefT22_10x_0)</f>
        <v>1172.71</v>
      </c>
      <c r="U87" s="1"/>
      <c r="V87" s="5">
        <f t="shared" si="53"/>
        <v>1.0520139162124307E-2</v>
      </c>
      <c r="W87" s="1"/>
      <c r="X87" s="1">
        <f t="shared" si="54"/>
        <v>-895.15000000000009</v>
      </c>
      <c r="Y87" s="1"/>
      <c r="Z87" s="5">
        <f t="shared" si="55"/>
        <v>-0.76331744421041869</v>
      </c>
    </row>
    <row r="88" spans="1:26" s="24" customFormat="1" hidden="1" outlineLevel="2" x14ac:dyDescent="0.25">
      <c r="A88" s="29"/>
      <c r="B88" s="11" t="str">
        <f>CONCATENATE("          ", "6241", " - ", "OFFICE EXPENSE")</f>
        <v xml:space="preserve">          6241 - OFFICE EXPENSE</v>
      </c>
      <c r="C88" s="11"/>
      <c r="D88" s="7">
        <v>261.17</v>
      </c>
      <c r="E88" s="2"/>
      <c r="F88" s="6">
        <f t="shared" si="48"/>
        <v>3.3683690835900303E-3</v>
      </c>
      <c r="G88" s="2"/>
      <c r="H88" s="7">
        <v>229.61</v>
      </c>
      <c r="I88" s="2"/>
      <c r="J88" s="6">
        <f t="shared" si="49"/>
        <v>2.0597838792330262E-3</v>
      </c>
      <c r="K88" s="2"/>
      <c r="L88" s="7">
        <f t="shared" si="50"/>
        <v>31.560000000000002</v>
      </c>
      <c r="M88" s="2"/>
      <c r="N88" s="6">
        <f t="shared" si="51"/>
        <v>0.13745045947476156</v>
      </c>
      <c r="O88" s="11"/>
      <c r="P88" s="7">
        <v>261.17</v>
      </c>
      <c r="Q88" s="2"/>
      <c r="R88" s="6">
        <f t="shared" si="52"/>
        <v>3.3683690835900303E-3</v>
      </c>
      <c r="S88" s="2"/>
      <c r="T88" s="7">
        <v>229.61</v>
      </c>
      <c r="U88" s="2"/>
      <c r="V88" s="6">
        <f t="shared" si="53"/>
        <v>2.0597838792330262E-3</v>
      </c>
      <c r="W88" s="2"/>
      <c r="X88" s="7">
        <f t="shared" si="54"/>
        <v>31.560000000000002</v>
      </c>
      <c r="Y88" s="2"/>
      <c r="Z88" s="6">
        <f t="shared" si="55"/>
        <v>0.13745045947476156</v>
      </c>
    </row>
    <row r="89" spans="1:26" s="24" customFormat="1" hidden="1" outlineLevel="2" x14ac:dyDescent="0.25">
      <c r="A89" s="29"/>
      <c r="B89" s="11" t="str">
        <f>CONCATENATE("          ", "6245", " - ", "PRINTING")</f>
        <v xml:space="preserve">          6245 - PRINTING</v>
      </c>
      <c r="C89" s="11"/>
      <c r="D89" s="7"/>
      <c r="E89" s="2"/>
      <c r="F89" s="6">
        <f t="shared" si="48"/>
        <v>0</v>
      </c>
      <c r="G89" s="2"/>
      <c r="H89" s="7">
        <v>7.28</v>
      </c>
      <c r="I89" s="2"/>
      <c r="J89" s="6">
        <f t="shared" si="49"/>
        <v>6.5307376163130663E-5</v>
      </c>
      <c r="K89" s="2"/>
      <c r="L89" s="7">
        <f t="shared" si="50"/>
        <v>-7.28</v>
      </c>
      <c r="M89" s="2"/>
      <c r="N89" s="6">
        <f t="shared" si="51"/>
        <v>-1</v>
      </c>
      <c r="O89" s="11"/>
      <c r="P89" s="7"/>
      <c r="Q89" s="2"/>
      <c r="R89" s="6">
        <f t="shared" si="52"/>
        <v>0</v>
      </c>
      <c r="S89" s="2"/>
      <c r="T89" s="7">
        <v>7.28</v>
      </c>
      <c r="U89" s="2"/>
      <c r="V89" s="6">
        <f t="shared" si="53"/>
        <v>6.5307376163130663E-5</v>
      </c>
      <c r="W89" s="2"/>
      <c r="X89" s="7">
        <f t="shared" si="54"/>
        <v>-7.28</v>
      </c>
      <c r="Y89" s="2"/>
      <c r="Z89" s="6">
        <f t="shared" si="55"/>
        <v>-1</v>
      </c>
    </row>
    <row r="90" spans="1:26" s="24" customFormat="1" hidden="1" outlineLevel="2" x14ac:dyDescent="0.25">
      <c r="A90" s="29"/>
      <c r="B90" s="11" t="str">
        <f>CONCATENATE("          ", "6247", " - ", "STORE SUPPLIES")</f>
        <v xml:space="preserve">          6247 - STORE SUPPLIES</v>
      </c>
      <c r="C90" s="11"/>
      <c r="D90" s="7">
        <v>16.39</v>
      </c>
      <c r="E90" s="2"/>
      <c r="F90" s="6">
        <f t="shared" si="48"/>
        <v>2.1138556985886815E-4</v>
      </c>
      <c r="G90" s="2"/>
      <c r="H90" s="7">
        <v>935.82</v>
      </c>
      <c r="I90" s="2"/>
      <c r="J90" s="6">
        <f t="shared" si="49"/>
        <v>8.3950479067281501E-3</v>
      </c>
      <c r="K90" s="2"/>
      <c r="L90" s="7">
        <f t="shared" si="50"/>
        <v>-919.43000000000006</v>
      </c>
      <c r="M90" s="2"/>
      <c r="N90" s="6">
        <f t="shared" si="51"/>
        <v>-0.98248594815242252</v>
      </c>
      <c r="O90" s="11"/>
      <c r="P90" s="7">
        <v>16.39</v>
      </c>
      <c r="Q90" s="2"/>
      <c r="R90" s="6">
        <f t="shared" si="52"/>
        <v>2.1138556985886815E-4</v>
      </c>
      <c r="S90" s="2"/>
      <c r="T90" s="7">
        <v>935.82</v>
      </c>
      <c r="U90" s="2"/>
      <c r="V90" s="6">
        <f t="shared" si="53"/>
        <v>8.3950479067281501E-3</v>
      </c>
      <c r="W90" s="2"/>
      <c r="X90" s="7">
        <f t="shared" si="54"/>
        <v>-919.43000000000006</v>
      </c>
      <c r="Y90" s="2"/>
      <c r="Z90" s="6">
        <f t="shared" si="55"/>
        <v>-0.98248594815242252</v>
      </c>
    </row>
    <row r="91" spans="1:26" s="28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524.35</v>
      </c>
      <c r="E91" s="1"/>
      <c r="F91" s="5">
        <f t="shared" ref="F91:F93" si="56">IF(D$12=0,0,D91/D$12)</f>
        <v>6.7626615958204708E-3</v>
      </c>
      <c r="G91" s="1"/>
      <c r="H91" s="1">
        <f>SUM(OSRRefH22_11x_0)</f>
        <v>244.45</v>
      </c>
      <c r="I91" s="1"/>
      <c r="J91" s="5">
        <f t="shared" ref="J91:J93" si="57">IF(H$12=0,0,H91/H$12)</f>
        <v>2.1929104537194077E-3</v>
      </c>
      <c r="K91" s="1"/>
      <c r="L91" s="1">
        <f t="shared" ref="L91:L93" si="58">+D91-H91</f>
        <v>279.90000000000003</v>
      </c>
      <c r="M91" s="1"/>
      <c r="N91" s="5">
        <f t="shared" ref="N91:N93" si="59">IF(H91=0,0,L91/H91)</f>
        <v>1.1450194313765598</v>
      </c>
      <c r="O91" s="14"/>
      <c r="P91" s="1">
        <f>SUM(OSRRefP22_11x_0)</f>
        <v>524.35</v>
      </c>
      <c r="Q91" s="1"/>
      <c r="R91" s="5">
        <f t="shared" ref="R91:R93" si="60">IF(P$12=0,0,P91/P$12)</f>
        <v>6.7626615958204708E-3</v>
      </c>
      <c r="S91" s="1"/>
      <c r="T91" s="1">
        <f>SUM(OSRRefT22_11x_0)</f>
        <v>244.45</v>
      </c>
      <c r="U91" s="1"/>
      <c r="V91" s="5">
        <f t="shared" ref="V91:V93" si="61">IF(T$12=0,0,T91/T$12)</f>
        <v>2.1929104537194077E-3</v>
      </c>
      <c r="W91" s="1"/>
      <c r="X91" s="1">
        <f t="shared" ref="X91:X93" si="62">+P91-T91</f>
        <v>279.90000000000003</v>
      </c>
      <c r="Y91" s="1"/>
      <c r="Z91" s="5">
        <f t="shared" ref="Z91:Z93" si="63">IF(T91=0,0,X91/T91)</f>
        <v>1.1450194313765598</v>
      </c>
    </row>
    <row r="92" spans="1:26" s="24" customFormat="1" hidden="1" outlineLevel="2" x14ac:dyDescent="0.25">
      <c r="A92" s="29"/>
      <c r="B92" s="11" t="str">
        <f>CONCATENATE("          ", "6303", " - ", "DATA PHONE LINES")</f>
        <v xml:space="preserve">          6303 - DATA PHONE LINES</v>
      </c>
      <c r="C92" s="11"/>
      <c r="D92" s="7">
        <v>295</v>
      </c>
      <c r="E92" s="2"/>
      <c r="F92" s="6">
        <f t="shared" si="56"/>
        <v>3.8046823128960404E-3</v>
      </c>
      <c r="G92" s="2"/>
      <c r="H92" s="7"/>
      <c r="I92" s="2"/>
      <c r="J92" s="6">
        <f t="shared" si="57"/>
        <v>0</v>
      </c>
      <c r="K92" s="2"/>
      <c r="L92" s="7">
        <f t="shared" si="58"/>
        <v>295</v>
      </c>
      <c r="M92" s="2"/>
      <c r="N92" s="6">
        <f t="shared" si="59"/>
        <v>0</v>
      </c>
      <c r="O92" s="11"/>
      <c r="P92" s="7">
        <v>295</v>
      </c>
      <c r="Q92" s="2"/>
      <c r="R92" s="6">
        <f t="shared" si="60"/>
        <v>3.8046823128960404E-3</v>
      </c>
      <c r="S92" s="2"/>
      <c r="T92" s="7"/>
      <c r="U92" s="2"/>
      <c r="V92" s="6">
        <f t="shared" si="61"/>
        <v>0</v>
      </c>
      <c r="W92" s="2"/>
      <c r="X92" s="7">
        <f t="shared" si="62"/>
        <v>295</v>
      </c>
      <c r="Y92" s="2"/>
      <c r="Z92" s="6">
        <f t="shared" si="63"/>
        <v>0</v>
      </c>
    </row>
    <row r="93" spans="1:26" s="24" customFormat="1" hidden="1" outlineLevel="2" x14ac:dyDescent="0.25">
      <c r="A93" s="29"/>
      <c r="B93" s="11" t="str">
        <f>CONCATENATE("          ", "6309", " - ", "TELEPHONE")</f>
        <v xml:space="preserve">          6309 - TELEPHONE</v>
      </c>
      <c r="C93" s="11"/>
      <c r="D93" s="7">
        <v>229.35</v>
      </c>
      <c r="E93" s="2"/>
      <c r="F93" s="6">
        <f t="shared" si="56"/>
        <v>2.9579792829244299E-3</v>
      </c>
      <c r="G93" s="2"/>
      <c r="H93" s="7">
        <v>244.45</v>
      </c>
      <c r="I93" s="2"/>
      <c r="J93" s="6">
        <f t="shared" si="57"/>
        <v>2.1929104537194077E-3</v>
      </c>
      <c r="K93" s="2"/>
      <c r="L93" s="7">
        <f t="shared" si="58"/>
        <v>-15.099999999999994</v>
      </c>
      <c r="M93" s="2"/>
      <c r="N93" s="6">
        <f t="shared" si="59"/>
        <v>-6.1771323379014094E-2</v>
      </c>
      <c r="O93" s="11"/>
      <c r="P93" s="7">
        <v>229.35</v>
      </c>
      <c r="Q93" s="2"/>
      <c r="R93" s="6">
        <f t="shared" si="60"/>
        <v>2.9579792829244299E-3</v>
      </c>
      <c r="S93" s="2"/>
      <c r="T93" s="7">
        <v>244.45</v>
      </c>
      <c r="U93" s="2"/>
      <c r="V93" s="6">
        <f t="shared" si="61"/>
        <v>2.1929104537194077E-3</v>
      </c>
      <c r="W93" s="2"/>
      <c r="X93" s="7">
        <f t="shared" si="62"/>
        <v>-15.099999999999994</v>
      </c>
      <c r="Y93" s="2"/>
      <c r="Z93" s="6">
        <f t="shared" si="63"/>
        <v>-6.1771323379014094E-2</v>
      </c>
    </row>
    <row r="94" spans="1:26" s="28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516.61</v>
      </c>
      <c r="E94" s="1"/>
      <c r="F94" s="5">
        <f t="shared" ref="F94:F95" si="64">IF(D$12=0,0,D94/D$12)</f>
        <v>6.6628370497126225E-3</v>
      </c>
      <c r="G94" s="1"/>
      <c r="H94" s="1">
        <f>SUM(OSRRefH22_12x_0)</f>
        <v>-1265.6600000000001</v>
      </c>
      <c r="I94" s="1"/>
      <c r="J94" s="5">
        <f t="shared" ref="J94:J95" si="65">IF(H$12=0,0,H94/H$12)</f>
        <v>-1.1353974411349993E-2</v>
      </c>
      <c r="K94" s="1"/>
      <c r="L94" s="1">
        <f t="shared" ref="L94:L95" si="66">+D94-H94</f>
        <v>1782.27</v>
      </c>
      <c r="M94" s="1"/>
      <c r="N94" s="5">
        <f t="shared" ref="N94:N95" si="67">IF(H94=0,0,L94/H94)</f>
        <v>-1.4081743912267117</v>
      </c>
      <c r="O94" s="14"/>
      <c r="P94" s="1">
        <f>SUM(OSRRefP22_12x_0)</f>
        <v>516.61</v>
      </c>
      <c r="Q94" s="1"/>
      <c r="R94" s="5">
        <f t="shared" ref="R94:R95" si="68">IF(P$12=0,0,P94/P$12)</f>
        <v>6.6628370497126225E-3</v>
      </c>
      <c r="S94" s="1"/>
      <c r="T94" s="1">
        <f>SUM(OSRRefT22_12x_0)</f>
        <v>-1265.6600000000001</v>
      </c>
      <c r="U94" s="1"/>
      <c r="V94" s="5">
        <f t="shared" ref="V94:V95" si="69">IF(T$12=0,0,T94/T$12)</f>
        <v>-1.1353974411349993E-2</v>
      </c>
      <c r="W94" s="1"/>
      <c r="X94" s="1">
        <f t="shared" ref="X94:X95" si="70">+P94-T94</f>
        <v>1782.27</v>
      </c>
      <c r="Y94" s="1"/>
      <c r="Z94" s="5">
        <f t="shared" ref="Z94:Z95" si="71">IF(T94=0,0,X94/T94)</f>
        <v>-1.4081743912267117</v>
      </c>
    </row>
    <row r="95" spans="1:26" s="24" customFormat="1" hidden="1" outlineLevel="2" x14ac:dyDescent="0.25">
      <c r="A95" s="29"/>
      <c r="B95" s="11" t="str">
        <f>CONCATENATE("          ", "6376", " - ", "TRAINING")</f>
        <v xml:space="preserve">          6376 - TRAINING</v>
      </c>
      <c r="C95" s="11"/>
      <c r="D95" s="7">
        <v>516.61</v>
      </c>
      <c r="E95" s="2"/>
      <c r="F95" s="6">
        <f t="shared" si="64"/>
        <v>6.6628370497126225E-3</v>
      </c>
      <c r="G95" s="2"/>
      <c r="H95" s="7">
        <v>-1265.6600000000001</v>
      </c>
      <c r="I95" s="2"/>
      <c r="J95" s="6">
        <f t="shared" si="65"/>
        <v>-1.1353974411349993E-2</v>
      </c>
      <c r="K95" s="2"/>
      <c r="L95" s="7">
        <f t="shared" si="66"/>
        <v>1782.27</v>
      </c>
      <c r="M95" s="2"/>
      <c r="N95" s="6">
        <f t="shared" si="67"/>
        <v>-1.4081743912267117</v>
      </c>
      <c r="O95" s="11"/>
      <c r="P95" s="7">
        <v>516.61</v>
      </c>
      <c r="Q95" s="2"/>
      <c r="R95" s="6">
        <f t="shared" si="68"/>
        <v>6.6628370497126225E-3</v>
      </c>
      <c r="S95" s="2"/>
      <c r="T95" s="7">
        <v>-1265.6600000000001</v>
      </c>
      <c r="U95" s="2"/>
      <c r="V95" s="6">
        <f t="shared" si="69"/>
        <v>-1.1353974411349993E-2</v>
      </c>
      <c r="W95" s="2"/>
      <c r="X95" s="7">
        <f t="shared" si="70"/>
        <v>1782.27</v>
      </c>
      <c r="Y95" s="2"/>
      <c r="Z95" s="6">
        <f t="shared" si="71"/>
        <v>-1.4081743912267117</v>
      </c>
    </row>
    <row r="96" spans="1:26" s="54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426.76</v>
      </c>
      <c r="E97" s="4"/>
      <c r="F97" s="12">
        <f t="shared" ref="F97:F99" si="72">IF(D$12=0,0,D97/D$12)</f>
        <v>5.5040210978017428E-3</v>
      </c>
      <c r="G97" s="4"/>
      <c r="H97" s="4">
        <f>SUM(OSRRefH25x_0)</f>
        <v>1301.99</v>
      </c>
      <c r="I97" s="4"/>
      <c r="J97" s="12">
        <f t="shared" ref="J97:J99" si="73">IF(H$12=0,0,H97/H$12)</f>
        <v>1.1679883336625617E-2</v>
      </c>
      <c r="K97" s="4"/>
      <c r="L97" s="4">
        <f t="shared" ref="L97:L99" si="74">+D97-H97</f>
        <v>-875.23</v>
      </c>
      <c r="M97" s="4"/>
      <c r="N97" s="12">
        <f t="shared" ref="N97:N99" si="75">IF(H97=0,0,L97/H97)</f>
        <v>-0.67222482507546144</v>
      </c>
      <c r="O97" s="10"/>
      <c r="P97" s="4">
        <f>SUM(OSRRefP25x_0)</f>
        <v>426.76</v>
      </c>
      <c r="Q97" s="4"/>
      <c r="R97" s="12">
        <f t="shared" ref="R97:R99" si="76">IF(P$12=0,0,P97/P$12)</f>
        <v>5.5040210978017428E-3</v>
      </c>
      <c r="S97" s="4"/>
      <c r="T97" s="4">
        <f>SUM(OSRRefT25x_0)</f>
        <v>1301.99</v>
      </c>
      <c r="U97" s="4"/>
      <c r="V97" s="12">
        <f t="shared" ref="V97:V99" si="77">IF(T$12=0,0,T97/T$12)</f>
        <v>1.1679883336625617E-2</v>
      </c>
      <c r="W97" s="4"/>
      <c r="X97" s="4">
        <f t="shared" ref="X97:X99" si="78">+P97-T97</f>
        <v>-875.23</v>
      </c>
      <c r="Y97" s="4"/>
      <c r="Z97" s="12">
        <f t="shared" ref="Z97:Z99" si="79">IF(T97=0,0,X97/T97)</f>
        <v>-0.67222482507546144</v>
      </c>
    </row>
    <row r="98" spans="1:26" s="24" customFormat="1" hidden="1" outlineLevel="1" x14ac:dyDescent="0.25">
      <c r="A98" s="50"/>
      <c r="B98" s="11" t="str">
        <f>CONCATENATE("          ", "9150", " - ", "MISC. INCOME")</f>
        <v xml:space="preserve">          9150 - MISC. INCOME</v>
      </c>
      <c r="C98" s="11"/>
      <c r="D98" s="2">
        <f>--426.76</f>
        <v>426.76</v>
      </c>
      <c r="E98" s="2"/>
      <c r="F98" s="22">
        <f t="shared" si="72"/>
        <v>5.5040210978017428E-3</v>
      </c>
      <c r="G98" s="2"/>
      <c r="H98" s="2">
        <f>--529.65</f>
        <v>529.65</v>
      </c>
      <c r="I98" s="2"/>
      <c r="J98" s="22">
        <f t="shared" si="73"/>
        <v>4.7513807396706255E-3</v>
      </c>
      <c r="K98" s="2"/>
      <c r="L98" s="2">
        <f t="shared" si="74"/>
        <v>-102.88999999999999</v>
      </c>
      <c r="M98" s="2"/>
      <c r="N98" s="22">
        <f t="shared" si="75"/>
        <v>-0.19426036061550078</v>
      </c>
      <c r="O98" s="11"/>
      <c r="P98" s="2">
        <f>--426.76</f>
        <v>426.76</v>
      </c>
      <c r="Q98" s="2"/>
      <c r="R98" s="22">
        <f t="shared" si="76"/>
        <v>5.5040210978017428E-3</v>
      </c>
      <c r="S98" s="2"/>
      <c r="T98" s="2">
        <f>--529.65</f>
        <v>529.65</v>
      </c>
      <c r="U98" s="2"/>
      <c r="V98" s="22">
        <f t="shared" si="77"/>
        <v>4.7513807396706255E-3</v>
      </c>
      <c r="W98" s="2"/>
      <c r="X98" s="2">
        <f t="shared" si="78"/>
        <v>-102.88999999999999</v>
      </c>
      <c r="Y98" s="2"/>
      <c r="Z98" s="22">
        <f t="shared" si="79"/>
        <v>-0.19426036061550078</v>
      </c>
    </row>
    <row r="99" spans="1:26" s="24" customFormat="1" hidden="1" outlineLevel="1" x14ac:dyDescent="0.25">
      <c r="A99" s="50"/>
      <c r="B99" s="11" t="str">
        <f>CONCATENATE("          ", "9152", " - ", "MISC. INCOME")</f>
        <v xml:space="preserve">          9152 - MISC. INCOME</v>
      </c>
      <c r="C99" s="11"/>
      <c r="D99" s="2">
        <f>0</f>
        <v>0</v>
      </c>
      <c r="E99" s="2"/>
      <c r="F99" s="22">
        <f t="shared" si="72"/>
        <v>0</v>
      </c>
      <c r="G99" s="2"/>
      <c r="H99" s="2">
        <f>--772.34</f>
        <v>772.34</v>
      </c>
      <c r="I99" s="2"/>
      <c r="J99" s="22">
        <f t="shared" si="73"/>
        <v>6.9285025969549911E-3</v>
      </c>
      <c r="K99" s="2"/>
      <c r="L99" s="2">
        <f t="shared" si="74"/>
        <v>-772.34</v>
      </c>
      <c r="M99" s="2"/>
      <c r="N99" s="22">
        <f t="shared" si="75"/>
        <v>-1</v>
      </c>
      <c r="O99" s="11"/>
      <c r="P99" s="2">
        <f>0</f>
        <v>0</v>
      </c>
      <c r="Q99" s="2"/>
      <c r="R99" s="22">
        <f t="shared" si="76"/>
        <v>0</v>
      </c>
      <c r="S99" s="2"/>
      <c r="T99" s="2">
        <f>--772.34</f>
        <v>772.34</v>
      </c>
      <c r="U99" s="2"/>
      <c r="V99" s="22">
        <f t="shared" si="77"/>
        <v>6.9285025969549911E-3</v>
      </c>
      <c r="W99" s="2"/>
      <c r="X99" s="2">
        <f t="shared" si="78"/>
        <v>-772.34</v>
      </c>
      <c r="Y99" s="2"/>
      <c r="Z99" s="22">
        <f t="shared" si="79"/>
        <v>-1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21">
        <f>+D50-D52+D97</f>
        <v>-28316.009999999984</v>
      </c>
      <c r="E101" s="13"/>
      <c r="F101" s="20">
        <f>IF(D$12=0,0,D101/D$12)</f>
        <v>-0.36519804209758422</v>
      </c>
      <c r="G101" s="13"/>
      <c r="H101" s="21">
        <f>+H50-H52+H97</f>
        <v>-18219.080000000042</v>
      </c>
      <c r="I101" s="13"/>
      <c r="J101" s="20">
        <f>IF(H$12=0,0,H101/H$12)</f>
        <v>-0.16343960314645237</v>
      </c>
      <c r="K101" s="16"/>
      <c r="L101" s="21">
        <f>+D101-H101</f>
        <v>-10096.929999999942</v>
      </c>
      <c r="M101" s="16"/>
      <c r="N101" s="20">
        <f>IF(H101=0,0,L101/H101)</f>
        <v>0.55419538198415719</v>
      </c>
      <c r="O101" s="26"/>
      <c r="P101" s="21">
        <f>+P50-P52+P97</f>
        <v>-28316.009999999984</v>
      </c>
      <c r="Q101" s="13"/>
      <c r="R101" s="20">
        <f>IF(P$12=0,0,P101/P$12)</f>
        <v>-0.36519804209758422</v>
      </c>
      <c r="S101" s="13"/>
      <c r="T101" s="21">
        <f>+T50-T52+T97</f>
        <v>-18219.080000000042</v>
      </c>
      <c r="U101" s="13"/>
      <c r="V101" s="20">
        <f>IF(T$12=0,0,T101/T$12)</f>
        <v>-0.16343960314645237</v>
      </c>
      <c r="W101" s="16"/>
      <c r="X101" s="21">
        <f>+P101-T101</f>
        <v>-10096.929999999942</v>
      </c>
      <c r="Y101" s="16"/>
      <c r="Z101" s="20">
        <f>IF(T101=0,0,X101/T101)</f>
        <v>0.55419538198415719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1"/>
      <c r="B103" s="10" t="s">
        <v>13</v>
      </c>
      <c r="C103" s="10"/>
      <c r="D103" s="4">
        <v>16122.030000000002</v>
      </c>
      <c r="E103" s="4"/>
      <c r="F103" s="12">
        <f>IF(D$12=0,0,D103/D$12)</f>
        <v>0.20792949962365886</v>
      </c>
      <c r="G103" s="4"/>
      <c r="H103" s="4">
        <v>22885.449999999997</v>
      </c>
      <c r="I103" s="4"/>
      <c r="J103" s="12">
        <f>IF(H$12=0,0,H103/H$12)</f>
        <v>0.20530064447974153</v>
      </c>
      <c r="K103" s="4"/>
      <c r="L103" s="4">
        <f>+D103-H103</f>
        <v>-6763.4199999999946</v>
      </c>
      <c r="M103" s="4"/>
      <c r="N103" s="12">
        <f>IF(H103=0,0,L103/H103)</f>
        <v>-0.29553362507619452</v>
      </c>
      <c r="O103" s="10"/>
      <c r="P103" s="4">
        <v>16122.030000000002</v>
      </c>
      <c r="Q103" s="4"/>
      <c r="R103" s="12">
        <f>IF(P$12=0,0,P103/P$12)</f>
        <v>0.20792949962365886</v>
      </c>
      <c r="S103" s="4"/>
      <c r="T103" s="4">
        <v>22885.449999999997</v>
      </c>
      <c r="U103" s="4"/>
      <c r="V103" s="12">
        <f>IF(T$12=0,0,T103/T$12)</f>
        <v>0.20530064447974153</v>
      </c>
      <c r="W103" s="4"/>
      <c r="X103" s="4">
        <f>+P103-T103</f>
        <v>-6763.4199999999946</v>
      </c>
      <c r="Y103" s="4"/>
      <c r="Z103" s="12">
        <f>IF(T103=0,0,X103/T103)</f>
        <v>-0.29553362507619452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3">
        <f>+D101-D103</f>
        <v>-44438.039999999986</v>
      </c>
      <c r="E105" s="13"/>
      <c r="F105" s="34">
        <f>IF(D$12=0,0,D105/D$12)</f>
        <v>-0.57312754172124314</v>
      </c>
      <c r="G105" s="13"/>
      <c r="H105" s="33">
        <f>+H101-H103</f>
        <v>-41104.530000000042</v>
      </c>
      <c r="I105" s="13"/>
      <c r="J105" s="34">
        <f>IF(H$12=0,0,H105/H$12)</f>
        <v>-0.36874024762619395</v>
      </c>
      <c r="K105" s="16"/>
      <c r="L105" s="33">
        <f>D105-H105</f>
        <v>-3333.5099999999438</v>
      </c>
      <c r="M105" s="16"/>
      <c r="N105" s="34">
        <f>IF(H105=0,0,L105/H105)</f>
        <v>8.1098360691630345E-2</v>
      </c>
      <c r="O105" s="26"/>
      <c r="P105" s="33">
        <f>+P101-P103</f>
        <v>-44438.039999999986</v>
      </c>
      <c r="Q105" s="13"/>
      <c r="R105" s="34">
        <f>IF(P$12=0,0,P105/P$12)</f>
        <v>-0.57312754172124314</v>
      </c>
      <c r="S105" s="13"/>
      <c r="T105" s="33">
        <f>+T101-T103</f>
        <v>-41104.530000000042</v>
      </c>
      <c r="U105" s="13"/>
      <c r="V105" s="34">
        <f>IF(T$12=0,0,T105/T$12)</f>
        <v>-0.36874024762619395</v>
      </c>
      <c r="W105" s="16"/>
      <c r="X105" s="33">
        <f>P105-T105</f>
        <v>-3333.5099999999438</v>
      </c>
      <c r="Y105" s="16"/>
      <c r="Z105" s="34">
        <f>IF(T105=0,0,X105/T105)</f>
        <v>8.1098360691630345E-2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1">
        <f>SUM(D105:D107)</f>
        <v>-44438.039999999986</v>
      </c>
      <c r="E108" s="13"/>
      <c r="F108" s="30">
        <f>IF(D$12=0,0,D108/D$12)</f>
        <v>-0.57312754172124314</v>
      </c>
      <c r="G108" s="13"/>
      <c r="H108" s="31">
        <f>SUM(H105:H107)</f>
        <v>-41104.530000000042</v>
      </c>
      <c r="I108" s="13"/>
      <c r="J108" s="30">
        <f>IF(H$12=0,0,H108/H$12)</f>
        <v>-0.36874024762619395</v>
      </c>
      <c r="K108" s="16"/>
      <c r="L108" s="31">
        <f>+D108-H108</f>
        <v>-3333.5099999999438</v>
      </c>
      <c r="M108" s="16"/>
      <c r="N108" s="30">
        <f>IF(H108=0,0,L108/H108)</f>
        <v>8.1098360691630345E-2</v>
      </c>
      <c r="O108" s="26"/>
      <c r="P108" s="31">
        <f>SUM(P105:P107)</f>
        <v>-44438.039999999986</v>
      </c>
      <c r="Q108" s="13"/>
      <c r="R108" s="30">
        <f>IF(P$12=0,0,P108/P$12)</f>
        <v>-0.57312754172124314</v>
      </c>
      <c r="S108" s="13"/>
      <c r="T108" s="31">
        <f>SUM(T105:T107)</f>
        <v>-41104.530000000042</v>
      </c>
      <c r="U108" s="13"/>
      <c r="V108" s="30">
        <f>IF(T$12=0,0,T108/T$12)</f>
        <v>-0.36874024762619395</v>
      </c>
      <c r="W108" s="16"/>
      <c r="X108" s="31">
        <f>+P108-T108</f>
        <v>-3333.5099999999438</v>
      </c>
      <c r="Y108" s="16"/>
      <c r="Z108" s="30">
        <f>IF(T108=0,0,X108/T108)</f>
        <v>8.1098360691630345E-2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6">
        <v>43726.681857870368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3" t="s">
        <v>313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9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14597.16</v>
      </c>
      <c r="E12" s="4"/>
      <c r="F12" s="12"/>
      <c r="G12" s="4"/>
      <c r="H12" s="4">
        <f>SUM(OSRRefH13x_0)</f>
        <v>26903.38</v>
      </c>
      <c r="I12" s="4"/>
      <c r="J12" s="12"/>
      <c r="K12" s="4"/>
      <c r="L12" s="4">
        <f t="shared" ref="L12:L15" si="0">+D12-H12</f>
        <v>-12306.220000000001</v>
      </c>
      <c r="M12" s="4"/>
      <c r="N12" s="12">
        <f t="shared" ref="N12:N15" si="1">IF(H12=0,0,L12/H12)</f>
        <v>-0.45742282196512113</v>
      </c>
      <c r="O12" s="10"/>
      <c r="P12" s="4">
        <f>SUM(OSRRefP13x_0)</f>
        <v>14597.16</v>
      </c>
      <c r="Q12" s="4"/>
      <c r="R12" s="12"/>
      <c r="S12" s="4"/>
      <c r="T12" s="4">
        <f>SUM(OSRRefT13x_0)</f>
        <v>26903.38</v>
      </c>
      <c r="U12" s="4"/>
      <c r="V12" s="12"/>
      <c r="W12" s="4"/>
      <c r="X12" s="4">
        <f t="shared" ref="X12:X15" si="2">+P12-T12</f>
        <v>-12306.220000000001</v>
      </c>
      <c r="Y12" s="4"/>
      <c r="Z12" s="12">
        <f t="shared" ref="Z12:Z15" si="3">IF(T12=0,0,X12/T12)</f>
        <v>-0.45742282196512113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--2374.1</f>
        <v>2374.1</v>
      </c>
      <c r="E13" s="2"/>
      <c r="F13" s="22"/>
      <c r="G13" s="2"/>
      <c r="H13" s="2">
        <f>--4270.85</f>
        <v>4270.8500000000004</v>
      </c>
      <c r="I13" s="2"/>
      <c r="J13" s="22"/>
      <c r="K13" s="2"/>
      <c r="L13" s="2">
        <f t="shared" si="0"/>
        <v>-1896.7500000000005</v>
      </c>
      <c r="M13" s="2"/>
      <c r="N13" s="22">
        <f t="shared" si="1"/>
        <v>-0.44411534003769748</v>
      </c>
      <c r="O13" s="11"/>
      <c r="P13" s="2">
        <f>--2374.1</f>
        <v>2374.1</v>
      </c>
      <c r="Q13" s="2"/>
      <c r="R13" s="22"/>
      <c r="S13" s="2"/>
      <c r="T13" s="2">
        <f>--4270.85</f>
        <v>4270.8500000000004</v>
      </c>
      <c r="U13" s="2"/>
      <c r="V13" s="22"/>
      <c r="W13" s="2"/>
      <c r="X13" s="2">
        <f t="shared" si="2"/>
        <v>-1896.7500000000005</v>
      </c>
      <c r="Y13" s="2"/>
      <c r="Z13" s="22">
        <f t="shared" si="3"/>
        <v>-0.44411534003769748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--7960.86</f>
        <v>7960.86</v>
      </c>
      <c r="E14" s="2"/>
      <c r="F14" s="22"/>
      <c r="G14" s="2"/>
      <c r="H14" s="2">
        <f>--11771.68</f>
        <v>11771.68</v>
      </c>
      <c r="I14" s="2"/>
      <c r="J14" s="22"/>
      <c r="K14" s="2"/>
      <c r="L14" s="2">
        <f t="shared" si="0"/>
        <v>-3810.8200000000006</v>
      </c>
      <c r="M14" s="2"/>
      <c r="N14" s="22">
        <f t="shared" si="1"/>
        <v>-0.32372779416361985</v>
      </c>
      <c r="O14" s="11"/>
      <c r="P14" s="2">
        <f>--7960.86</f>
        <v>7960.86</v>
      </c>
      <c r="Q14" s="2"/>
      <c r="R14" s="22"/>
      <c r="S14" s="2"/>
      <c r="T14" s="2">
        <f>--11771.68</f>
        <v>11771.68</v>
      </c>
      <c r="U14" s="2"/>
      <c r="V14" s="22"/>
      <c r="W14" s="2"/>
      <c r="X14" s="2">
        <f t="shared" si="2"/>
        <v>-3810.8200000000006</v>
      </c>
      <c r="Y14" s="2"/>
      <c r="Z14" s="22">
        <f t="shared" si="3"/>
        <v>-0.32372779416361985</v>
      </c>
    </row>
    <row r="15" spans="1:26" s="24" customFormat="1" hidden="1" outlineLevel="1" x14ac:dyDescent="0.25">
      <c r="A15" s="50"/>
      <c r="B15" s="11" t="str">
        <f>CONCATENATE("          ", "4100", " - ", "NON-TAXABLE SALES")</f>
        <v xml:space="preserve">          4100 - NON-TAXABLE SALES</v>
      </c>
      <c r="C15" s="11"/>
      <c r="D15" s="2">
        <f>--4262.2</f>
        <v>4262.2</v>
      </c>
      <c r="E15" s="2"/>
      <c r="F15" s="22"/>
      <c r="G15" s="2"/>
      <c r="H15" s="2">
        <f>--10860.85</f>
        <v>10860.85</v>
      </c>
      <c r="I15" s="2"/>
      <c r="J15" s="22"/>
      <c r="K15" s="2"/>
      <c r="L15" s="2">
        <f t="shared" si="0"/>
        <v>-6598.6500000000005</v>
      </c>
      <c r="M15" s="2"/>
      <c r="N15" s="22">
        <f t="shared" si="1"/>
        <v>-0.60756294396847399</v>
      </c>
      <c r="O15" s="11"/>
      <c r="P15" s="2">
        <f>--4262.2</f>
        <v>4262.2</v>
      </c>
      <c r="Q15" s="2"/>
      <c r="R15" s="22"/>
      <c r="S15" s="2"/>
      <c r="T15" s="2">
        <f>--10860.85</f>
        <v>10860.85</v>
      </c>
      <c r="U15" s="2"/>
      <c r="V15" s="22"/>
      <c r="W15" s="2"/>
      <c r="X15" s="2">
        <f t="shared" si="2"/>
        <v>-6598.6500000000005</v>
      </c>
      <c r="Y15" s="2"/>
      <c r="Z15" s="22">
        <f t="shared" si="3"/>
        <v>-0.60756294396847399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12703.6</v>
      </c>
      <c r="E17" s="4"/>
      <c r="F17" s="12">
        <f t="shared" ref="F17:F19" si="4">IF(D$12=0,0,D17/D$12)</f>
        <v>0.8702788761649527</v>
      </c>
      <c r="G17" s="4"/>
      <c r="H17" s="4">
        <f>SUM(OSRRefH16x_0)</f>
        <v>19932</v>
      </c>
      <c r="I17" s="4"/>
      <c r="J17" s="12">
        <f t="shared" ref="J17:J19" si="5">IF(H$12=0,0,H17/H$12)</f>
        <v>0.74087345158861073</v>
      </c>
      <c r="K17" s="4"/>
      <c r="L17" s="4">
        <f t="shared" ref="L17:L19" si="6">+D17-H17</f>
        <v>-7228.4</v>
      </c>
      <c r="M17" s="4"/>
      <c r="N17" s="12">
        <f t="shared" ref="N17:N19" si="7">IF(H17=0,0,L17/H17)</f>
        <v>-0.36265302026891427</v>
      </c>
      <c r="O17" s="10"/>
      <c r="P17" s="4">
        <f>SUM(OSRRefP16x_0)</f>
        <v>12703.6</v>
      </c>
      <c r="Q17" s="4"/>
      <c r="R17" s="12">
        <f t="shared" ref="R17:R19" si="8">IF(P$12=0,0,P17/P$12)</f>
        <v>0.8702788761649527</v>
      </c>
      <c r="S17" s="4"/>
      <c r="T17" s="4">
        <f>SUM(OSRRefT16x_0)</f>
        <v>19932</v>
      </c>
      <c r="U17" s="4"/>
      <c r="V17" s="12">
        <f t="shared" ref="V17:V19" si="9">IF(T$12=0,0,T17/T$12)</f>
        <v>0.74087345158861073</v>
      </c>
      <c r="W17" s="4"/>
      <c r="X17" s="4">
        <f t="shared" ref="X17:X19" si="10">+P17-T17</f>
        <v>-7228.4</v>
      </c>
      <c r="Y17" s="4"/>
      <c r="Z17" s="12">
        <f t="shared" ref="Z17:Z19" si="11">IF(T17=0,0,X17/T17)</f>
        <v>-0.36265302026891427</v>
      </c>
    </row>
    <row r="18" spans="1:26" s="24" customFormat="1" hidden="1" outlineLevel="1" x14ac:dyDescent="0.25">
      <c r="A18" s="50"/>
      <c r="B18" s="11" t="str">
        <f>CONCATENATE("          ", "5001", " - ", "PURCHASES @ COST-NEW TEXT")</f>
        <v xml:space="preserve">          5001 - PURCHASES @ COST-NEW TEXT</v>
      </c>
      <c r="C18" s="11"/>
      <c r="D18" s="2">
        <v>2794.51</v>
      </c>
      <c r="E18" s="2"/>
      <c r="F18" s="22">
        <f t="shared" si="4"/>
        <v>0.19144203392988776</v>
      </c>
      <c r="G18" s="2"/>
      <c r="H18" s="2">
        <v>5699.85</v>
      </c>
      <c r="I18" s="2"/>
      <c r="J18" s="22">
        <f t="shared" si="5"/>
        <v>0.2118637137787148</v>
      </c>
      <c r="K18" s="2"/>
      <c r="L18" s="2">
        <f t="shared" si="6"/>
        <v>-2905.34</v>
      </c>
      <c r="M18" s="2"/>
      <c r="N18" s="22">
        <f t="shared" si="7"/>
        <v>-0.50972218567155281</v>
      </c>
      <c r="O18" s="11"/>
      <c r="P18" s="2">
        <v>2794.51</v>
      </c>
      <c r="Q18" s="2"/>
      <c r="R18" s="22">
        <f t="shared" si="8"/>
        <v>0.19144203392988776</v>
      </c>
      <c r="S18" s="2"/>
      <c r="T18" s="2">
        <v>5699.85</v>
      </c>
      <c r="U18" s="2"/>
      <c r="V18" s="22">
        <f t="shared" si="9"/>
        <v>0.2118637137787148</v>
      </c>
      <c r="W18" s="2"/>
      <c r="X18" s="2">
        <f t="shared" si="10"/>
        <v>-2905.34</v>
      </c>
      <c r="Y18" s="2"/>
      <c r="Z18" s="22">
        <f t="shared" si="11"/>
        <v>-0.50972218567155281</v>
      </c>
    </row>
    <row r="19" spans="1:26" s="24" customFormat="1" hidden="1" outlineLevel="1" x14ac:dyDescent="0.25">
      <c r="A19" s="50"/>
      <c r="B19" s="11" t="str">
        <f>CONCATENATE("          ", "5002", " - ", "PURCHASES @ COST-USED TEXT")</f>
        <v xml:space="preserve">          5002 - PURCHASES @ COST-USED TEXT</v>
      </c>
      <c r="C19" s="11"/>
      <c r="D19" s="2">
        <v>9909.09</v>
      </c>
      <c r="E19" s="2"/>
      <c r="F19" s="22">
        <f t="shared" si="4"/>
        <v>0.67883684223506491</v>
      </c>
      <c r="G19" s="2"/>
      <c r="H19" s="2">
        <v>14232.15</v>
      </c>
      <c r="I19" s="2"/>
      <c r="J19" s="22">
        <f t="shared" si="5"/>
        <v>0.52900973780989602</v>
      </c>
      <c r="K19" s="2"/>
      <c r="L19" s="2">
        <f t="shared" si="6"/>
        <v>-4323.0599999999995</v>
      </c>
      <c r="M19" s="2"/>
      <c r="N19" s="22">
        <f t="shared" si="7"/>
        <v>-0.30375312233218449</v>
      </c>
      <c r="O19" s="11"/>
      <c r="P19" s="2">
        <v>9909.09</v>
      </c>
      <c r="Q19" s="2"/>
      <c r="R19" s="22">
        <f t="shared" si="8"/>
        <v>0.67883684223506491</v>
      </c>
      <c r="S19" s="2"/>
      <c r="T19" s="2">
        <v>14232.15</v>
      </c>
      <c r="U19" s="2"/>
      <c r="V19" s="22">
        <f t="shared" si="9"/>
        <v>0.52900973780989602</v>
      </c>
      <c r="W19" s="2"/>
      <c r="X19" s="2">
        <f t="shared" si="10"/>
        <v>-4323.0599999999995</v>
      </c>
      <c r="Y19" s="2"/>
      <c r="Z19" s="22">
        <f t="shared" si="11"/>
        <v>-0.30375312233218449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D12-D17</f>
        <v>1893.5599999999995</v>
      </c>
      <c r="E21" s="13"/>
      <c r="F21" s="20">
        <f>IF(D$12=0,0,D21/D$12)</f>
        <v>0.12972112383504733</v>
      </c>
      <c r="G21" s="13"/>
      <c r="H21" s="21">
        <f>H12-H17</f>
        <v>6971.380000000001</v>
      </c>
      <c r="I21" s="13"/>
      <c r="J21" s="20">
        <f>IF(H$12=0,0,H21/H$12)</f>
        <v>0.25912654841138921</v>
      </c>
      <c r="K21" s="16"/>
      <c r="L21" s="21">
        <f>+D21-H21</f>
        <v>-5077.8200000000015</v>
      </c>
      <c r="M21" s="16"/>
      <c r="N21" s="20">
        <f>IF(H21=0,0,L21/H21)</f>
        <v>-0.72838089445705168</v>
      </c>
      <c r="O21" s="26"/>
      <c r="P21" s="21">
        <f>P12-P17</f>
        <v>1893.5599999999995</v>
      </c>
      <c r="Q21" s="13"/>
      <c r="R21" s="20">
        <f>IF(P$12=0,0,P21/P$12)</f>
        <v>0.12972112383504733</v>
      </c>
      <c r="S21" s="13"/>
      <c r="T21" s="21">
        <f>T12-T17</f>
        <v>6971.380000000001</v>
      </c>
      <c r="U21" s="13"/>
      <c r="V21" s="20">
        <f>IF(T$12=0,0,T21/T$12)</f>
        <v>0.25912654841138921</v>
      </c>
      <c r="W21" s="16"/>
      <c r="X21" s="21">
        <f>+P21-T21</f>
        <v>-5077.8200000000015</v>
      </c>
      <c r="Y21" s="16"/>
      <c r="Z21" s="20">
        <f>IF(T21=0,0,X21/T21)</f>
        <v>-0.72838089445705168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19">
        <f>SUM(0)</f>
        <v>0</v>
      </c>
      <c r="E23" s="19"/>
      <c r="F23" s="35">
        <f>IF(D$12=0,0,D23/D$12)</f>
        <v>0</v>
      </c>
      <c r="G23" s="19"/>
      <c r="H23" s="19">
        <f>SUM(0)</f>
        <v>0</v>
      </c>
      <c r="I23" s="19"/>
      <c r="J23" s="35">
        <f>IF(H$12=0,0,H23/H$12)</f>
        <v>0</v>
      </c>
      <c r="K23" s="4"/>
      <c r="L23" s="19">
        <f>+D23-H23</f>
        <v>0</v>
      </c>
      <c r="M23" s="4"/>
      <c r="N23" s="35">
        <f>IF(H23=0,0,L23/H23)</f>
        <v>0</v>
      </c>
      <c r="O23" s="10"/>
      <c r="P23" s="19">
        <f>SUM(0)</f>
        <v>0</v>
      </c>
      <c r="Q23" s="19"/>
      <c r="R23" s="35">
        <f>IF(P$12=0,0,P23/P$12)</f>
        <v>0</v>
      </c>
      <c r="S23" s="19"/>
      <c r="T23" s="19">
        <f>SUM(0)</f>
        <v>0</v>
      </c>
      <c r="U23" s="19"/>
      <c r="V23" s="35">
        <f>IF(T$12=0,0,T23/T$12)</f>
        <v>0</v>
      </c>
      <c r="W23" s="4"/>
      <c r="X23" s="19">
        <f>+P23-T23</f>
        <v>0</v>
      </c>
      <c r="Y23" s="4"/>
      <c r="Z23" s="35">
        <f>IF(T23=0,0,X23/T23)</f>
        <v>0</v>
      </c>
    </row>
    <row r="24" spans="1:26" s="54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>
        <f>+D21-D23+D25</f>
        <v>1893.5599999999995</v>
      </c>
      <c r="E27" s="13"/>
      <c r="F27" s="20">
        <f>IF(D$12=0,0,D27/D$12)</f>
        <v>0.12972112383504733</v>
      </c>
      <c r="G27" s="13"/>
      <c r="H27" s="21">
        <f>+H21-H23+H25</f>
        <v>6971.380000000001</v>
      </c>
      <c r="I27" s="13"/>
      <c r="J27" s="20">
        <f>IF(H$12=0,0,H27/H$12)</f>
        <v>0.25912654841138921</v>
      </c>
      <c r="K27" s="16"/>
      <c r="L27" s="21">
        <f>+D27-H27</f>
        <v>-5077.8200000000015</v>
      </c>
      <c r="M27" s="16"/>
      <c r="N27" s="20">
        <f>IF(H27=0,0,L27/H27)</f>
        <v>-0.72838089445705168</v>
      </c>
      <c r="O27" s="26"/>
      <c r="P27" s="21">
        <f>+P21-P23+P25</f>
        <v>1893.5599999999995</v>
      </c>
      <c r="Q27" s="13"/>
      <c r="R27" s="20">
        <f>IF(P$12=0,0,P27/P$12)</f>
        <v>0.12972112383504733</v>
      </c>
      <c r="S27" s="13"/>
      <c r="T27" s="21">
        <f>+T21-T23+T25</f>
        <v>6971.380000000001</v>
      </c>
      <c r="U27" s="13"/>
      <c r="V27" s="20">
        <f>IF(T$12=0,0,T27/T$12)</f>
        <v>0.25912654841138921</v>
      </c>
      <c r="W27" s="16"/>
      <c r="X27" s="21">
        <f>+P27-T27</f>
        <v>-5077.8200000000015</v>
      </c>
      <c r="Y27" s="16"/>
      <c r="Z27" s="20">
        <f>IF(T27=0,0,X27/T27)</f>
        <v>-0.72838089445705168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3035.18</v>
      </c>
      <c r="E29" s="4"/>
      <c r="F29" s="12">
        <f>IF(D$12=0,0,D29/D$12)</f>
        <v>0.20792948765376279</v>
      </c>
      <c r="G29" s="4"/>
      <c r="H29" s="4">
        <v>5523.28</v>
      </c>
      <c r="I29" s="4"/>
      <c r="J29" s="12">
        <f>IF(H$12=0,0,H29/H$12)</f>
        <v>0.20530059791743638</v>
      </c>
      <c r="K29" s="4"/>
      <c r="L29" s="4">
        <f>+D29-H29</f>
        <v>-2488.1</v>
      </c>
      <c r="M29" s="4"/>
      <c r="N29" s="12">
        <f>IF(H29=0,0,L29/H29)</f>
        <v>-0.45047508002491271</v>
      </c>
      <c r="O29" s="10"/>
      <c r="P29" s="4">
        <v>3035.18</v>
      </c>
      <c r="Q29" s="4"/>
      <c r="R29" s="12">
        <f>IF(P$12=0,0,P29/P$12)</f>
        <v>0.20792948765376279</v>
      </c>
      <c r="S29" s="4"/>
      <c r="T29" s="4">
        <v>5523.28</v>
      </c>
      <c r="U29" s="4"/>
      <c r="V29" s="12">
        <f>IF(T$12=0,0,T29/T$12)</f>
        <v>0.20530059791743638</v>
      </c>
      <c r="W29" s="4"/>
      <c r="X29" s="4">
        <f>+P29-T29</f>
        <v>-2488.1</v>
      </c>
      <c r="Y29" s="4"/>
      <c r="Z29" s="12">
        <f>IF(T29=0,0,X29/T29)</f>
        <v>-0.45047508002491271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>
        <f>+D27-D29</f>
        <v>-1141.6200000000003</v>
      </c>
      <c r="E31" s="13"/>
      <c r="F31" s="34">
        <f>IF(D$12=0,0,D31/D$12)</f>
        <v>-7.8208363818715446E-2</v>
      </c>
      <c r="G31" s="13"/>
      <c r="H31" s="33">
        <f>+H27-H29</f>
        <v>1448.1000000000013</v>
      </c>
      <c r="I31" s="13"/>
      <c r="J31" s="34">
        <f>IF(H$12=0,0,H31/H$12)</f>
        <v>5.3825950493952848E-2</v>
      </c>
      <c r="K31" s="16"/>
      <c r="L31" s="33">
        <f>D31-H31</f>
        <v>-2589.7200000000016</v>
      </c>
      <c r="M31" s="16"/>
      <c r="N31" s="34">
        <f>IF(H31=0,0,L31/H31)</f>
        <v>-1.7883571576548576</v>
      </c>
      <c r="O31" s="26"/>
      <c r="P31" s="33">
        <f>+P27-P29</f>
        <v>-1141.6200000000003</v>
      </c>
      <c r="Q31" s="13"/>
      <c r="R31" s="34">
        <f>IF(P$12=0,0,P31/P$12)</f>
        <v>-7.8208363818715446E-2</v>
      </c>
      <c r="S31" s="13"/>
      <c r="T31" s="33">
        <f>+T27-T29</f>
        <v>1448.1000000000013</v>
      </c>
      <c r="U31" s="13"/>
      <c r="V31" s="34">
        <f>IF(T$12=0,0,T31/T$12)</f>
        <v>5.3825950493952848E-2</v>
      </c>
      <c r="W31" s="16"/>
      <c r="X31" s="33">
        <f>P31-T31</f>
        <v>-2589.7200000000016</v>
      </c>
      <c r="Y31" s="16"/>
      <c r="Z31" s="34">
        <f>IF(T31=0,0,X31/T31)</f>
        <v>-1.7883571576548576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5</v>
      </c>
      <c r="C34" s="25"/>
      <c r="D34" s="31">
        <f>SUM(D31:D33)</f>
        <v>-1141.6200000000003</v>
      </c>
      <c r="E34" s="13"/>
      <c r="F34" s="30">
        <f>IF(D$12=0,0,D34/D$12)</f>
        <v>-7.8208363818715446E-2</v>
      </c>
      <c r="G34" s="13"/>
      <c r="H34" s="31">
        <f>SUM(H31:H33)</f>
        <v>1448.1000000000013</v>
      </c>
      <c r="I34" s="13"/>
      <c r="J34" s="30">
        <f>IF(H$12=0,0,H34/H$12)</f>
        <v>5.3825950493952848E-2</v>
      </c>
      <c r="K34" s="16"/>
      <c r="L34" s="31">
        <f>+D34-H34</f>
        <v>-2589.7200000000016</v>
      </c>
      <c r="M34" s="16"/>
      <c r="N34" s="30">
        <f>IF(H34=0,0,L34/H34)</f>
        <v>-1.7883571576548576</v>
      </c>
      <c r="O34" s="26"/>
      <c r="P34" s="31">
        <f>SUM(P31:P33)</f>
        <v>-1141.6200000000003</v>
      </c>
      <c r="Q34" s="13"/>
      <c r="R34" s="30">
        <f>IF(P$12=0,0,P34/P$12)</f>
        <v>-7.8208363818715446E-2</v>
      </c>
      <c r="S34" s="13"/>
      <c r="T34" s="31">
        <f>SUM(T31:T33)</f>
        <v>1448.1000000000013</v>
      </c>
      <c r="U34" s="13"/>
      <c r="V34" s="30">
        <f>IF(T$12=0,0,T34/T$12)</f>
        <v>5.3825950493952848E-2</v>
      </c>
      <c r="W34" s="16"/>
      <c r="X34" s="31">
        <f>+P34-T34</f>
        <v>-2589.7200000000016</v>
      </c>
      <c r="Y34" s="16"/>
      <c r="Z34" s="30">
        <f>IF(T34=0,0,X34/T34)</f>
        <v>-1.7883571576548576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>
        <v>43726.682050578704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3" t="s">
        <v>313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302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232127.31000000003</v>
      </c>
      <c r="E12" s="4"/>
      <c r="F12" s="12"/>
      <c r="G12" s="4"/>
      <c r="H12" s="4">
        <f>SUM(OSRRefH13x_0)</f>
        <v>210775.10000000003</v>
      </c>
      <c r="I12" s="4"/>
      <c r="J12" s="12"/>
      <c r="K12" s="4"/>
      <c r="L12" s="4">
        <f t="shared" ref="L12:L34" si="0">+D12-H12</f>
        <v>21352.209999999992</v>
      </c>
      <c r="M12" s="4"/>
      <c r="N12" s="12">
        <f t="shared" ref="N12:N34" si="1">IF(H12=0,0,L12/H12)</f>
        <v>0.10130328487568023</v>
      </c>
      <c r="O12" s="10"/>
      <c r="P12" s="4">
        <f>SUM(OSRRefP13x_0)</f>
        <v>232127.31000000003</v>
      </c>
      <c r="Q12" s="4"/>
      <c r="R12" s="12"/>
      <c r="S12" s="4"/>
      <c r="T12" s="4">
        <f>SUM(OSRRefT13x_0)</f>
        <v>210775.10000000003</v>
      </c>
      <c r="U12" s="4"/>
      <c r="V12" s="12"/>
      <c r="W12" s="4"/>
      <c r="X12" s="4">
        <f t="shared" ref="X12:X34" si="2">+P12-T12</f>
        <v>21352.209999999992</v>
      </c>
      <c r="Y12" s="4"/>
      <c r="Z12" s="12">
        <f t="shared" ref="Z12:Z34" si="3">IF(T12=0,0,X12/T12)</f>
        <v>0.10130328487568023</v>
      </c>
    </row>
    <row r="13" spans="1:26" s="24" customFormat="1" hidden="1" outlineLevel="1" x14ac:dyDescent="0.25">
      <c r="A13" s="50"/>
      <c r="B13" s="11" t="str">
        <f>CONCATENATE("          ", "4026", " - ", "TAXABLE SALES-WRITING INSTRUME")</f>
        <v xml:space="preserve">          4026 - TAXABLE SALES-WRITING INSTRUME</v>
      </c>
      <c r="C13" s="11"/>
      <c r="D13" s="2">
        <f>--38.56</f>
        <v>38.56</v>
      </c>
      <c r="E13" s="2"/>
      <c r="F13" s="22"/>
      <c r="G13" s="2"/>
      <c r="H13" s="2">
        <f>--31.83</f>
        <v>31.83</v>
      </c>
      <c r="I13" s="2"/>
      <c r="J13" s="22"/>
      <c r="K13" s="2"/>
      <c r="L13" s="2">
        <f t="shared" si="0"/>
        <v>6.730000000000004</v>
      </c>
      <c r="M13" s="2"/>
      <c r="N13" s="22">
        <f t="shared" si="1"/>
        <v>0.21143575243481005</v>
      </c>
      <c r="O13" s="11"/>
      <c r="P13" s="2">
        <f>--38.56</f>
        <v>38.56</v>
      </c>
      <c r="Q13" s="2"/>
      <c r="R13" s="22"/>
      <c r="S13" s="2"/>
      <c r="T13" s="2">
        <f>--31.83</f>
        <v>31.83</v>
      </c>
      <c r="U13" s="2"/>
      <c r="V13" s="22"/>
      <c r="W13" s="2"/>
      <c r="X13" s="2">
        <f t="shared" si="2"/>
        <v>6.730000000000004</v>
      </c>
      <c r="Y13" s="2"/>
      <c r="Z13" s="22">
        <f t="shared" si="3"/>
        <v>0.21143575243481005</v>
      </c>
    </row>
    <row r="14" spans="1:26" s="24" customFormat="1" hidden="1" outlineLevel="1" x14ac:dyDescent="0.25">
      <c r="A14" s="50"/>
      <c r="B14" s="11" t="str">
        <f>CONCATENATE("          ", "4027", " - ", "TAXABLE SALES-SCHOOL SUPPLIES")</f>
        <v xml:space="preserve">          4027 - TAXABLE SALES-SCHOOL SUPPLIES</v>
      </c>
      <c r="C14" s="11"/>
      <c r="D14" s="2">
        <f t="shared" ref="D14:D15" si="4">0</f>
        <v>0</v>
      </c>
      <c r="E14" s="2"/>
      <c r="F14" s="22"/>
      <c r="G14" s="2"/>
      <c r="H14" s="2">
        <f>--16.37</f>
        <v>16.37</v>
      </c>
      <c r="I14" s="2"/>
      <c r="J14" s="22"/>
      <c r="K14" s="2"/>
      <c r="L14" s="2">
        <f t="shared" si="0"/>
        <v>-16.37</v>
      </c>
      <c r="M14" s="2"/>
      <c r="N14" s="22">
        <f t="shared" si="1"/>
        <v>-1</v>
      </c>
      <c r="O14" s="11"/>
      <c r="P14" s="2">
        <f t="shared" ref="P14:P15" si="5">0</f>
        <v>0</v>
      </c>
      <c r="Q14" s="2"/>
      <c r="R14" s="22"/>
      <c r="S14" s="2"/>
      <c r="T14" s="2">
        <f>--16.37</f>
        <v>16.37</v>
      </c>
      <c r="U14" s="2"/>
      <c r="V14" s="22"/>
      <c r="W14" s="2"/>
      <c r="X14" s="2">
        <f t="shared" si="2"/>
        <v>-16.37</v>
      </c>
      <c r="Y14" s="2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22"/>
      <c r="G15" s="2"/>
      <c r="H15" s="2">
        <f>--10.5</f>
        <v>10.5</v>
      </c>
      <c r="I15" s="2"/>
      <c r="J15" s="22"/>
      <c r="K15" s="2"/>
      <c r="L15" s="2">
        <f t="shared" si="0"/>
        <v>-10.5</v>
      </c>
      <c r="M15" s="2"/>
      <c r="N15" s="22">
        <f t="shared" si="1"/>
        <v>-1</v>
      </c>
      <c r="O15" s="11"/>
      <c r="P15" s="2">
        <f t="shared" si="5"/>
        <v>0</v>
      </c>
      <c r="Q15" s="2"/>
      <c r="R15" s="22"/>
      <c r="S15" s="2"/>
      <c r="T15" s="2">
        <f>--10.5</f>
        <v>10.5</v>
      </c>
      <c r="U15" s="2"/>
      <c r="V15" s="22"/>
      <c r="W15" s="2"/>
      <c r="X15" s="2">
        <f t="shared" si="2"/>
        <v>-10.5</v>
      </c>
      <c r="Y15" s="2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--170312.02</f>
        <v>170312.02</v>
      </c>
      <c r="E16" s="2"/>
      <c r="F16" s="22"/>
      <c r="G16" s="2"/>
      <c r="H16" s="2">
        <f>--145971.66</f>
        <v>145971.66</v>
      </c>
      <c r="I16" s="2"/>
      <c r="J16" s="22"/>
      <c r="K16" s="2"/>
      <c r="L16" s="2">
        <f t="shared" si="0"/>
        <v>24340.359999999986</v>
      </c>
      <c r="M16" s="2"/>
      <c r="N16" s="22">
        <f t="shared" si="1"/>
        <v>0.16674716174358767</v>
      </c>
      <c r="O16" s="11"/>
      <c r="P16" s="2">
        <f>--170312.02</f>
        <v>170312.02</v>
      </c>
      <c r="Q16" s="2"/>
      <c r="R16" s="22"/>
      <c r="S16" s="2"/>
      <c r="T16" s="2">
        <f>--145971.66</f>
        <v>145971.66</v>
      </c>
      <c r="U16" s="2"/>
      <c r="V16" s="22"/>
      <c r="W16" s="2"/>
      <c r="X16" s="2">
        <f t="shared" si="2"/>
        <v>24340.359999999986</v>
      </c>
      <c r="Y16" s="2"/>
      <c r="Z16" s="22">
        <f t="shared" si="3"/>
        <v>0.16674716174358767</v>
      </c>
    </row>
    <row r="17" spans="1:26" s="24" customFormat="1" hidden="1" outlineLevel="1" x14ac:dyDescent="0.25">
      <c r="A17" s="50"/>
      <c r="B17" s="11" t="str">
        <f>CONCATENATE("          ", "4041", " - ", "TAXABLE SALES-LOGO GIFTS")</f>
        <v xml:space="preserve">          4041 - TAXABLE SALES-LOGO GIFTS</v>
      </c>
      <c r="C17" s="11"/>
      <c r="D17" s="2">
        <f>--30577.89</f>
        <v>30577.89</v>
      </c>
      <c r="E17" s="2"/>
      <c r="F17" s="22"/>
      <c r="G17" s="2"/>
      <c r="H17" s="2">
        <f>--30300.48</f>
        <v>30300.48</v>
      </c>
      <c r="I17" s="2"/>
      <c r="J17" s="22"/>
      <c r="K17" s="2"/>
      <c r="L17" s="2">
        <f t="shared" si="0"/>
        <v>277.40999999999985</v>
      </c>
      <c r="M17" s="2"/>
      <c r="N17" s="22">
        <f t="shared" si="1"/>
        <v>9.1553005100909243E-3</v>
      </c>
      <c r="O17" s="11"/>
      <c r="P17" s="2">
        <f>--30577.89</f>
        <v>30577.89</v>
      </c>
      <c r="Q17" s="2"/>
      <c r="R17" s="22"/>
      <c r="S17" s="2"/>
      <c r="T17" s="2">
        <f>--30300.48</f>
        <v>30300.48</v>
      </c>
      <c r="U17" s="2"/>
      <c r="V17" s="22"/>
      <c r="W17" s="2"/>
      <c r="X17" s="2">
        <f t="shared" si="2"/>
        <v>277.40999999999985</v>
      </c>
      <c r="Y17" s="2"/>
      <c r="Z17" s="22">
        <f t="shared" si="3"/>
        <v>9.1553005100909243E-3</v>
      </c>
    </row>
    <row r="18" spans="1:26" s="24" customFormat="1" hidden="1" outlineLevel="1" x14ac:dyDescent="0.25">
      <c r="A18" s="50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--11533.13</f>
        <v>11533.13</v>
      </c>
      <c r="E18" s="2"/>
      <c r="F18" s="22"/>
      <c r="G18" s="2"/>
      <c r="H18" s="2">
        <f>--9144.84</f>
        <v>9144.84</v>
      </c>
      <c r="I18" s="2"/>
      <c r="J18" s="22"/>
      <c r="K18" s="2"/>
      <c r="L18" s="2">
        <f t="shared" si="0"/>
        <v>2388.2899999999991</v>
      </c>
      <c r="M18" s="2"/>
      <c r="N18" s="22">
        <f t="shared" si="1"/>
        <v>0.26116257911565416</v>
      </c>
      <c r="O18" s="11"/>
      <c r="P18" s="2">
        <f>--11533.13</f>
        <v>11533.13</v>
      </c>
      <c r="Q18" s="2"/>
      <c r="R18" s="22"/>
      <c r="S18" s="2"/>
      <c r="T18" s="2">
        <f>--9144.84</f>
        <v>9144.84</v>
      </c>
      <c r="U18" s="2"/>
      <c r="V18" s="22"/>
      <c r="W18" s="2"/>
      <c r="X18" s="2">
        <f t="shared" si="2"/>
        <v>2388.2899999999991</v>
      </c>
      <c r="Y18" s="2"/>
      <c r="Z18" s="22">
        <f t="shared" si="3"/>
        <v>0.26116257911565416</v>
      </c>
    </row>
    <row r="19" spans="1:26" s="24" customFormat="1" hidden="1" outlineLevel="1" x14ac:dyDescent="0.25">
      <c r="A19" s="50"/>
      <c r="B19" s="11" t="str">
        <f>CONCATENATE("          ", "4043", " - ", "TAXABLE SALES-CARDS")</f>
        <v xml:space="preserve">          4043 - TAXABLE SALES-CARDS</v>
      </c>
      <c r="C19" s="11"/>
      <c r="D19" s="2">
        <f>--40.85</f>
        <v>40.85</v>
      </c>
      <c r="E19" s="2"/>
      <c r="F19" s="22"/>
      <c r="G19" s="2"/>
      <c r="H19" s="2">
        <f>--123.22</f>
        <v>123.22</v>
      </c>
      <c r="I19" s="2"/>
      <c r="J19" s="22"/>
      <c r="K19" s="2"/>
      <c r="L19" s="2">
        <f t="shared" si="0"/>
        <v>-82.37</v>
      </c>
      <c r="M19" s="2"/>
      <c r="N19" s="22">
        <f t="shared" si="1"/>
        <v>-0.66847914299626687</v>
      </c>
      <c r="O19" s="11"/>
      <c r="P19" s="2">
        <f>--40.85</f>
        <v>40.85</v>
      </c>
      <c r="Q19" s="2"/>
      <c r="R19" s="22"/>
      <c r="S19" s="2"/>
      <c r="T19" s="2">
        <f>--123.22</f>
        <v>123.22</v>
      </c>
      <c r="U19" s="2"/>
      <c r="V19" s="22"/>
      <c r="W19" s="2"/>
      <c r="X19" s="2">
        <f t="shared" si="2"/>
        <v>-82.37</v>
      </c>
      <c r="Y19" s="2"/>
      <c r="Z19" s="22">
        <f t="shared" si="3"/>
        <v>-0.66847914299626687</v>
      </c>
    </row>
    <row r="20" spans="1:26" s="24" customFormat="1" hidden="1" outlineLevel="1" x14ac:dyDescent="0.25">
      <c r="A20" s="50"/>
      <c r="B20" s="11" t="str">
        <f>CONCATENATE("          ", "4044", " - ", "TAXABLE SALES-ACCESSORIES")</f>
        <v xml:space="preserve">          4044 - TAXABLE SALES-ACCESSORIES</v>
      </c>
      <c r="C20" s="11"/>
      <c r="D20" s="2">
        <f>--2342.65</f>
        <v>2342.65</v>
      </c>
      <c r="E20" s="2"/>
      <c r="F20" s="22"/>
      <c r="G20" s="2"/>
      <c r="H20" s="2">
        <f>--3757.84</f>
        <v>3757.84</v>
      </c>
      <c r="I20" s="2"/>
      <c r="J20" s="22"/>
      <c r="K20" s="2"/>
      <c r="L20" s="2">
        <f t="shared" si="0"/>
        <v>-1415.19</v>
      </c>
      <c r="M20" s="2"/>
      <c r="N20" s="22">
        <f t="shared" si="1"/>
        <v>-0.37659666191216229</v>
      </c>
      <c r="O20" s="11"/>
      <c r="P20" s="2">
        <f>--2342.65</f>
        <v>2342.65</v>
      </c>
      <c r="Q20" s="2"/>
      <c r="R20" s="22"/>
      <c r="S20" s="2"/>
      <c r="T20" s="2">
        <f>--3757.84</f>
        <v>3757.84</v>
      </c>
      <c r="U20" s="2"/>
      <c r="V20" s="22"/>
      <c r="W20" s="2"/>
      <c r="X20" s="2">
        <f t="shared" si="2"/>
        <v>-1415.19</v>
      </c>
      <c r="Y20" s="2"/>
      <c r="Z20" s="22">
        <f t="shared" si="3"/>
        <v>-0.37659666191216229</v>
      </c>
    </row>
    <row r="21" spans="1:26" s="24" customFormat="1" hidden="1" outlineLevel="1" x14ac:dyDescent="0.25">
      <c r="A21" s="50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--19420.72</f>
        <v>19420.72</v>
      </c>
      <c r="E21" s="2"/>
      <c r="F21" s="22"/>
      <c r="G21" s="2"/>
      <c r="H21" s="2">
        <f>--25309.57</f>
        <v>25309.57</v>
      </c>
      <c r="I21" s="2"/>
      <c r="J21" s="22"/>
      <c r="K21" s="2"/>
      <c r="L21" s="2">
        <f t="shared" si="0"/>
        <v>-5888.8499999999985</v>
      </c>
      <c r="M21" s="2"/>
      <c r="N21" s="22">
        <f t="shared" si="1"/>
        <v>-0.23267285852742653</v>
      </c>
      <c r="O21" s="11"/>
      <c r="P21" s="2">
        <f>--19420.72</f>
        <v>19420.72</v>
      </c>
      <c r="Q21" s="2"/>
      <c r="R21" s="22"/>
      <c r="S21" s="2"/>
      <c r="T21" s="2">
        <f>--25309.57</f>
        <v>25309.57</v>
      </c>
      <c r="U21" s="2"/>
      <c r="V21" s="22"/>
      <c r="W21" s="2"/>
      <c r="X21" s="2">
        <f t="shared" si="2"/>
        <v>-5888.8499999999985</v>
      </c>
      <c r="Y21" s="2"/>
      <c r="Z21" s="22">
        <f t="shared" si="3"/>
        <v>-0.23267285852742653</v>
      </c>
    </row>
    <row r="22" spans="1:26" s="24" customFormat="1" hidden="1" outlineLevel="1" x14ac:dyDescent="0.25">
      <c r="A22" s="50"/>
      <c r="B22" s="11" t="str">
        <f>CONCATENATE("          ", "4095", " - ", "TAXABLE SALES-CUSTOMER SERVICE")</f>
        <v xml:space="preserve">          4095 - TAXABLE SALES-CUSTOMER SERVICE</v>
      </c>
      <c r="C22" s="11"/>
      <c r="D22" s="2">
        <f>--10.89</f>
        <v>10.89</v>
      </c>
      <c r="E22" s="2"/>
      <c r="F22" s="22"/>
      <c r="G22" s="2"/>
      <c r="H22" s="2">
        <f>--5.94</f>
        <v>5.94</v>
      </c>
      <c r="I22" s="2"/>
      <c r="J22" s="22"/>
      <c r="K22" s="2"/>
      <c r="L22" s="2">
        <f t="shared" si="0"/>
        <v>4.95</v>
      </c>
      <c r="M22" s="2"/>
      <c r="N22" s="22">
        <f t="shared" si="1"/>
        <v>0.83333333333333326</v>
      </c>
      <c r="O22" s="11"/>
      <c r="P22" s="2">
        <f>--10.89</f>
        <v>10.89</v>
      </c>
      <c r="Q22" s="2"/>
      <c r="R22" s="22"/>
      <c r="S22" s="2"/>
      <c r="T22" s="2">
        <f>--5.94</f>
        <v>5.94</v>
      </c>
      <c r="U22" s="2"/>
      <c r="V22" s="22"/>
      <c r="W22" s="2"/>
      <c r="X22" s="2">
        <f t="shared" si="2"/>
        <v>4.95</v>
      </c>
      <c r="Y22" s="2"/>
      <c r="Z22" s="22">
        <f t="shared" si="3"/>
        <v>0.83333333333333326</v>
      </c>
    </row>
    <row r="23" spans="1:26" s="24" customFormat="1" hidden="1" outlineLevel="1" x14ac:dyDescent="0.25">
      <c r="A23" s="50"/>
      <c r="B23" s="11" t="str">
        <f>CONCATENATE("          ", "4137", " - ", "NON-TAXABLE SALES-WATER")</f>
        <v xml:space="preserve">          4137 - NON-TAXABLE SALES-WATER</v>
      </c>
      <c r="C23" s="11"/>
      <c r="D23" s="2">
        <f>--22.5</f>
        <v>22.5</v>
      </c>
      <c r="E23" s="2"/>
      <c r="F23" s="22"/>
      <c r="G23" s="2"/>
      <c r="H23" s="2">
        <f>--22.5</f>
        <v>22.5</v>
      </c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--22.5</f>
        <v>22.5</v>
      </c>
      <c r="Q23" s="2"/>
      <c r="R23" s="22"/>
      <c r="S23" s="2"/>
      <c r="T23" s="2">
        <f>--22.5</f>
        <v>22.5</v>
      </c>
      <c r="U23" s="2"/>
      <c r="V23" s="22"/>
      <c r="W23" s="2"/>
      <c r="X23" s="2">
        <f t="shared" si="2"/>
        <v>0</v>
      </c>
      <c r="Y23" s="2"/>
      <c r="Z23" s="22">
        <f t="shared" si="3"/>
        <v>0</v>
      </c>
    </row>
    <row r="24" spans="1:26" s="24" customFormat="1" hidden="1" outlineLevel="1" x14ac:dyDescent="0.25">
      <c r="A24" s="50"/>
      <c r="B24" s="11" t="str">
        <f>CONCATENATE("          ", "4140", " - ", "NON-TAXABLE SALES-LOGO CLOTHIN")</f>
        <v xml:space="preserve">          4140 - NON-TAXABLE SALES-LOGO CLOTHIN</v>
      </c>
      <c r="C24" s="11"/>
      <c r="D24" s="2">
        <f>--3163.67</f>
        <v>3163.67</v>
      </c>
      <c r="E24" s="2"/>
      <c r="F24" s="22"/>
      <c r="G24" s="2"/>
      <c r="H24" s="2">
        <f>--1813.55</f>
        <v>1813.55</v>
      </c>
      <c r="I24" s="2"/>
      <c r="J24" s="22"/>
      <c r="K24" s="2"/>
      <c r="L24" s="2">
        <f t="shared" si="0"/>
        <v>1350.1200000000001</v>
      </c>
      <c r="M24" s="2"/>
      <c r="N24" s="22">
        <f t="shared" si="1"/>
        <v>0.74446251826528087</v>
      </c>
      <c r="O24" s="11"/>
      <c r="P24" s="2">
        <f>--3163.67</f>
        <v>3163.67</v>
      </c>
      <c r="Q24" s="2"/>
      <c r="R24" s="22"/>
      <c r="S24" s="2"/>
      <c r="T24" s="2">
        <f>--1813.55</f>
        <v>1813.55</v>
      </c>
      <c r="U24" s="2"/>
      <c r="V24" s="22"/>
      <c r="W24" s="2"/>
      <c r="X24" s="2">
        <f t="shared" si="2"/>
        <v>1350.1200000000001</v>
      </c>
      <c r="Y24" s="2"/>
      <c r="Z24" s="22">
        <f t="shared" si="3"/>
        <v>0.74446251826528087</v>
      </c>
    </row>
    <row r="25" spans="1:26" s="24" customFormat="1" hidden="1" outlineLevel="1" x14ac:dyDescent="0.25">
      <c r="A25" s="50"/>
      <c r="B25" s="11" t="str">
        <f>CONCATENATE("          ", "4141", " - ", "NON-TAXABLE SALES-LOGO GIFTS")</f>
        <v xml:space="preserve">          4141 - NON-TAXABLE SALES-LOGO GIFTS</v>
      </c>
      <c r="C25" s="11"/>
      <c r="D25" s="2">
        <f>--254.2</f>
        <v>254.2</v>
      </c>
      <c r="E25" s="2"/>
      <c r="F25" s="22"/>
      <c r="G25" s="2"/>
      <c r="H25" s="2">
        <f>--185.65</f>
        <v>185.65</v>
      </c>
      <c r="I25" s="2"/>
      <c r="J25" s="22"/>
      <c r="K25" s="2"/>
      <c r="L25" s="2">
        <f t="shared" si="0"/>
        <v>68.549999999999983</v>
      </c>
      <c r="M25" s="2"/>
      <c r="N25" s="22">
        <f t="shared" si="1"/>
        <v>0.36924319956908153</v>
      </c>
      <c r="O25" s="11"/>
      <c r="P25" s="2">
        <f>--254.2</f>
        <v>254.2</v>
      </c>
      <c r="Q25" s="2"/>
      <c r="R25" s="22"/>
      <c r="S25" s="2"/>
      <c r="T25" s="2">
        <f>--185.65</f>
        <v>185.65</v>
      </c>
      <c r="U25" s="2"/>
      <c r="V25" s="22"/>
      <c r="W25" s="2"/>
      <c r="X25" s="2">
        <f t="shared" si="2"/>
        <v>68.549999999999983</v>
      </c>
      <c r="Y25" s="2"/>
      <c r="Z25" s="22">
        <f t="shared" si="3"/>
        <v>0.36924319956908153</v>
      </c>
    </row>
    <row r="26" spans="1:26" s="24" customFormat="1" hidden="1" outlineLevel="1" x14ac:dyDescent="0.25">
      <c r="A26" s="50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--231.44</f>
        <v>231.44</v>
      </c>
      <c r="E26" s="2"/>
      <c r="F26" s="22"/>
      <c r="G26" s="2"/>
      <c r="H26" s="2">
        <f>--6.95</f>
        <v>6.95</v>
      </c>
      <c r="I26" s="2"/>
      <c r="J26" s="22"/>
      <c r="K26" s="2"/>
      <c r="L26" s="2">
        <f t="shared" si="0"/>
        <v>224.49</v>
      </c>
      <c r="M26" s="2"/>
      <c r="N26" s="22">
        <f t="shared" si="1"/>
        <v>32.300719424460432</v>
      </c>
      <c r="O26" s="11"/>
      <c r="P26" s="2">
        <f>--231.44</f>
        <v>231.44</v>
      </c>
      <c r="Q26" s="2"/>
      <c r="R26" s="22"/>
      <c r="S26" s="2"/>
      <c r="T26" s="2">
        <f>--6.95</f>
        <v>6.95</v>
      </c>
      <c r="U26" s="2"/>
      <c r="V26" s="22"/>
      <c r="W26" s="2"/>
      <c r="X26" s="2">
        <f t="shared" si="2"/>
        <v>224.49</v>
      </c>
      <c r="Y26" s="2"/>
      <c r="Z26" s="22">
        <f t="shared" si="3"/>
        <v>32.300719424460432</v>
      </c>
    </row>
    <row r="27" spans="1:26" s="24" customFormat="1" hidden="1" outlineLevel="1" x14ac:dyDescent="0.25">
      <c r="A27" s="50"/>
      <c r="B27" s="11" t="str">
        <f>CONCATENATE("          ", "4144", " - ", "NON-TAXABLE SALES-ACCESSORIES")</f>
        <v xml:space="preserve">          4144 - NON-TAXABLE SALES-ACCESSORIES</v>
      </c>
      <c r="C27" s="11"/>
      <c r="D27" s="2">
        <f>--21.9</f>
        <v>21.9</v>
      </c>
      <c r="E27" s="2"/>
      <c r="F27" s="22"/>
      <c r="G27" s="2"/>
      <c r="H27" s="2">
        <f>--44.95</f>
        <v>44.95</v>
      </c>
      <c r="I27" s="2"/>
      <c r="J27" s="22"/>
      <c r="K27" s="2"/>
      <c r="L27" s="2">
        <f t="shared" si="0"/>
        <v>-23.050000000000004</v>
      </c>
      <c r="M27" s="2"/>
      <c r="N27" s="22">
        <f t="shared" si="1"/>
        <v>-0.51279199110122364</v>
      </c>
      <c r="O27" s="11"/>
      <c r="P27" s="2">
        <f>--21.9</f>
        <v>21.9</v>
      </c>
      <c r="Q27" s="2"/>
      <c r="R27" s="22"/>
      <c r="S27" s="2"/>
      <c r="T27" s="2">
        <f>--44.95</f>
        <v>44.95</v>
      </c>
      <c r="U27" s="2"/>
      <c r="V27" s="22"/>
      <c r="W27" s="2"/>
      <c r="X27" s="2">
        <f t="shared" si="2"/>
        <v>-23.050000000000004</v>
      </c>
      <c r="Y27" s="2"/>
      <c r="Z27" s="22">
        <f t="shared" si="3"/>
        <v>-0.51279199110122364</v>
      </c>
    </row>
    <row r="28" spans="1:26" s="24" customFormat="1" hidden="1" outlineLevel="1" x14ac:dyDescent="0.25">
      <c r="A28" s="50"/>
      <c r="B28" s="11" t="str">
        <f>CONCATENATE("          ", "4145", " - ", "NON-TAXABLE SALES-SPECIAL ORDE")</f>
        <v xml:space="preserve">          4145 - NON-TAXABLE SALES-SPECIAL ORDE</v>
      </c>
      <c r="C28" s="11"/>
      <c r="D28" s="2">
        <f>0</f>
        <v>0</v>
      </c>
      <c r="E28" s="2"/>
      <c r="F28" s="22"/>
      <c r="G28" s="2"/>
      <c r="H28" s="2">
        <f>--59.85</f>
        <v>59.85</v>
      </c>
      <c r="I28" s="2"/>
      <c r="J28" s="22"/>
      <c r="K28" s="2"/>
      <c r="L28" s="2">
        <f t="shared" si="0"/>
        <v>-59.85</v>
      </c>
      <c r="M28" s="2"/>
      <c r="N28" s="22">
        <f t="shared" si="1"/>
        <v>-1</v>
      </c>
      <c r="O28" s="11"/>
      <c r="P28" s="2">
        <f>0</f>
        <v>0</v>
      </c>
      <c r="Q28" s="2"/>
      <c r="R28" s="22"/>
      <c r="S28" s="2"/>
      <c r="T28" s="2">
        <f>--59.85</f>
        <v>59.85</v>
      </c>
      <c r="U28" s="2"/>
      <c r="V28" s="22"/>
      <c r="W28" s="2"/>
      <c r="X28" s="2">
        <f t="shared" si="2"/>
        <v>-59.85</v>
      </c>
      <c r="Y28" s="2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-4446.84</f>
        <v>-4446.84</v>
      </c>
      <c r="E29" s="2"/>
      <c r="F29" s="22"/>
      <c r="G29" s="2"/>
      <c r="H29" s="2">
        <f>-5229.95</f>
        <v>-5229.95</v>
      </c>
      <c r="I29" s="2"/>
      <c r="J29" s="22"/>
      <c r="K29" s="2"/>
      <c r="L29" s="2">
        <f t="shared" si="0"/>
        <v>783.10999999999967</v>
      </c>
      <c r="M29" s="2"/>
      <c r="N29" s="22">
        <f t="shared" si="1"/>
        <v>-0.14973565712865319</v>
      </c>
      <c r="O29" s="11"/>
      <c r="P29" s="2">
        <f>-4446.84</f>
        <v>-4446.84</v>
      </c>
      <c r="Q29" s="2"/>
      <c r="R29" s="22"/>
      <c r="S29" s="2"/>
      <c r="T29" s="2">
        <f>-5229.95</f>
        <v>-5229.95</v>
      </c>
      <c r="U29" s="2"/>
      <c r="V29" s="22"/>
      <c r="W29" s="2"/>
      <c r="X29" s="2">
        <f t="shared" si="2"/>
        <v>783.10999999999967</v>
      </c>
      <c r="Y29" s="2"/>
      <c r="Z29" s="22">
        <f t="shared" si="3"/>
        <v>-0.14973565712865319</v>
      </c>
    </row>
    <row r="30" spans="1:26" s="24" customFormat="1" hidden="1" outlineLevel="1" x14ac:dyDescent="0.25">
      <c r="A30" s="50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-708.15</f>
        <v>-708.15</v>
      </c>
      <c r="E30" s="2"/>
      <c r="F30" s="22"/>
      <c r="G30" s="2"/>
      <c r="H30" s="2">
        <f>-475.06</f>
        <v>-475.06</v>
      </c>
      <c r="I30" s="2"/>
      <c r="J30" s="22"/>
      <c r="K30" s="2"/>
      <c r="L30" s="2">
        <f t="shared" si="0"/>
        <v>-233.08999999999997</v>
      </c>
      <c r="M30" s="2"/>
      <c r="N30" s="22">
        <f t="shared" si="1"/>
        <v>0.49065381215004417</v>
      </c>
      <c r="O30" s="11"/>
      <c r="P30" s="2">
        <f>-708.15</f>
        <v>-708.15</v>
      </c>
      <c r="Q30" s="2"/>
      <c r="R30" s="22"/>
      <c r="S30" s="2"/>
      <c r="T30" s="2">
        <f>-475.06</f>
        <v>-475.06</v>
      </c>
      <c r="U30" s="2"/>
      <c r="V30" s="22"/>
      <c r="W30" s="2"/>
      <c r="X30" s="2">
        <f t="shared" si="2"/>
        <v>-233.08999999999997</v>
      </c>
      <c r="Y30" s="2"/>
      <c r="Z30" s="22">
        <f t="shared" si="3"/>
        <v>0.49065381215004417</v>
      </c>
    </row>
    <row r="31" spans="1:26" s="24" customFormat="1" hidden="1" outlineLevel="1" x14ac:dyDescent="0.25">
      <c r="A31" s="50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-357.78</f>
        <v>-357.78</v>
      </c>
      <c r="E31" s="2"/>
      <c r="F31" s="22"/>
      <c r="G31" s="2"/>
      <c r="H31" s="2">
        <f>-160.74</f>
        <v>-160.74</v>
      </c>
      <c r="I31" s="2"/>
      <c r="J31" s="22"/>
      <c r="K31" s="2"/>
      <c r="L31" s="2">
        <f t="shared" si="0"/>
        <v>-197.03999999999996</v>
      </c>
      <c r="M31" s="2"/>
      <c r="N31" s="22">
        <f t="shared" si="1"/>
        <v>1.2258305337812614</v>
      </c>
      <c r="O31" s="11"/>
      <c r="P31" s="2">
        <f>-357.78</f>
        <v>-357.78</v>
      </c>
      <c r="Q31" s="2"/>
      <c r="R31" s="22"/>
      <c r="S31" s="2"/>
      <c r="T31" s="2">
        <f>-160.74</f>
        <v>-160.74</v>
      </c>
      <c r="U31" s="2"/>
      <c r="V31" s="22"/>
      <c r="W31" s="2"/>
      <c r="X31" s="2">
        <f t="shared" si="2"/>
        <v>-197.03999999999996</v>
      </c>
      <c r="Y31" s="2"/>
      <c r="Z31" s="22">
        <f t="shared" si="3"/>
        <v>1.2258305337812614</v>
      </c>
    </row>
    <row r="32" spans="1:26" s="24" customFormat="1" hidden="1" outlineLevel="1" x14ac:dyDescent="0.25">
      <c r="A32" s="50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>-106.79</f>
        <v>-106.79</v>
      </c>
      <c r="E32" s="2"/>
      <c r="F32" s="22"/>
      <c r="G32" s="2"/>
      <c r="H32" s="2">
        <f>-144.9</f>
        <v>-144.9</v>
      </c>
      <c r="I32" s="2"/>
      <c r="J32" s="22"/>
      <c r="K32" s="2"/>
      <c r="L32" s="2">
        <f t="shared" si="0"/>
        <v>38.11</v>
      </c>
      <c r="M32" s="2"/>
      <c r="N32" s="22">
        <f t="shared" si="1"/>
        <v>-0.26300897170462384</v>
      </c>
      <c r="O32" s="11"/>
      <c r="P32" s="2">
        <f>-106.79</f>
        <v>-106.79</v>
      </c>
      <c r="Q32" s="2"/>
      <c r="R32" s="22"/>
      <c r="S32" s="2"/>
      <c r="T32" s="2">
        <f>-144.9</f>
        <v>-144.9</v>
      </c>
      <c r="U32" s="2"/>
      <c r="V32" s="22"/>
      <c r="W32" s="2"/>
      <c r="X32" s="2">
        <f t="shared" si="2"/>
        <v>38.11</v>
      </c>
      <c r="Y32" s="2"/>
      <c r="Z32" s="22">
        <f t="shared" si="3"/>
        <v>-0.26300897170462384</v>
      </c>
    </row>
    <row r="33" spans="1:26" s="24" customFormat="1" hidden="1" outlineLevel="1" x14ac:dyDescent="0.25">
      <c r="A33" s="50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>0</f>
        <v>0</v>
      </c>
      <c r="E33" s="2"/>
      <c r="F33" s="22"/>
      <c r="G33" s="2"/>
      <c r="H33" s="2">
        <f>-19.95</f>
        <v>-19.95</v>
      </c>
      <c r="I33" s="2"/>
      <c r="J33" s="22"/>
      <c r="K33" s="2"/>
      <c r="L33" s="2">
        <f t="shared" si="0"/>
        <v>19.95</v>
      </c>
      <c r="M33" s="2"/>
      <c r="N33" s="22">
        <f t="shared" si="1"/>
        <v>-1</v>
      </c>
      <c r="O33" s="11"/>
      <c r="P33" s="2">
        <f>0</f>
        <v>0</v>
      </c>
      <c r="Q33" s="2"/>
      <c r="R33" s="22"/>
      <c r="S33" s="2"/>
      <c r="T33" s="2">
        <f>-19.95</f>
        <v>-19.95</v>
      </c>
      <c r="U33" s="2"/>
      <c r="V33" s="22"/>
      <c r="W33" s="2"/>
      <c r="X33" s="2">
        <f t="shared" si="2"/>
        <v>19.95</v>
      </c>
      <c r="Y33" s="2"/>
      <c r="Z33" s="22">
        <f t="shared" si="3"/>
        <v>-1</v>
      </c>
    </row>
    <row r="34" spans="1:26" s="24" customFormat="1" hidden="1" outlineLevel="1" x14ac:dyDescent="0.25">
      <c r="A34" s="50"/>
      <c r="B34" s="11" t="str">
        <f>CONCATENATE("          ", "4340", " - ", "SALES RETURN NON TAXABLE-LOGO")</f>
        <v xml:space="preserve">          4340 - SALES RETURN NON TAXABLE-LOGO</v>
      </c>
      <c r="C34" s="11"/>
      <c r="D34" s="2">
        <f>-223.55</f>
        <v>-223.55</v>
      </c>
      <c r="E34" s="2"/>
      <c r="F34" s="22"/>
      <c r="G34" s="2"/>
      <c r="H34" s="2">
        <f>0</f>
        <v>0</v>
      </c>
      <c r="I34" s="2"/>
      <c r="J34" s="22"/>
      <c r="K34" s="2"/>
      <c r="L34" s="2">
        <f t="shared" si="0"/>
        <v>-223.55</v>
      </c>
      <c r="M34" s="2"/>
      <c r="N34" s="22">
        <f t="shared" si="1"/>
        <v>0</v>
      </c>
      <c r="O34" s="11"/>
      <c r="P34" s="2">
        <f>-223.55</f>
        <v>-223.55</v>
      </c>
      <c r="Q34" s="2"/>
      <c r="R34" s="22"/>
      <c r="S34" s="2"/>
      <c r="T34" s="2">
        <f>0</f>
        <v>0</v>
      </c>
      <c r="U34" s="2"/>
      <c r="V34" s="22"/>
      <c r="W34" s="2"/>
      <c r="X34" s="2">
        <f t="shared" si="2"/>
        <v>-223.55</v>
      </c>
      <c r="Y34" s="2"/>
      <c r="Z34" s="22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6" t="s">
        <v>8</v>
      </c>
      <c r="C36" s="10"/>
      <c r="D36" s="4">
        <f>SUM(OSRRefD16x_0)</f>
        <v>107373.34000000001</v>
      </c>
      <c r="E36" s="4"/>
      <c r="F36" s="12">
        <f t="shared" ref="F36:F55" si="6">IF(D$12=0,0,D36/D$12)</f>
        <v>0.46256228963321894</v>
      </c>
      <c r="G36" s="4"/>
      <c r="H36" s="4">
        <f>SUM(OSRRefH16x_0)</f>
        <v>99141.829999999987</v>
      </c>
      <c r="I36" s="4"/>
      <c r="J36" s="12">
        <f t="shared" ref="J36:J55" si="7">IF(H$12=0,0,H36/H$12)</f>
        <v>0.4703678470559377</v>
      </c>
      <c r="K36" s="4"/>
      <c r="L36" s="4">
        <f t="shared" ref="L36:L55" si="8">+D36-H36</f>
        <v>8231.5100000000239</v>
      </c>
      <c r="M36" s="4"/>
      <c r="N36" s="12">
        <f t="shared" ref="N36:N55" si="9">IF(H36=0,0,L36/H36)</f>
        <v>8.3027618110337736E-2</v>
      </c>
      <c r="O36" s="10"/>
      <c r="P36" s="4">
        <f>SUM(OSRRefP16x_0)</f>
        <v>107373.34000000001</v>
      </c>
      <c r="Q36" s="4"/>
      <c r="R36" s="12">
        <f t="shared" ref="R36:R55" si="10">IF(P$12=0,0,P36/P$12)</f>
        <v>0.46256228963321894</v>
      </c>
      <c r="S36" s="4"/>
      <c r="T36" s="4">
        <f>SUM(OSRRefT16x_0)</f>
        <v>99141.829999999987</v>
      </c>
      <c r="U36" s="4"/>
      <c r="V36" s="12">
        <f t="shared" ref="V36:V55" si="11">IF(T$12=0,0,T36/T$12)</f>
        <v>0.4703678470559377</v>
      </c>
      <c r="W36" s="4"/>
      <c r="X36" s="4">
        <f t="shared" ref="X36:X55" si="12">+P36-T36</f>
        <v>8231.5100000000239</v>
      </c>
      <c r="Y36" s="4"/>
      <c r="Z36" s="12">
        <f t="shared" ref="Z36:Z55" si="13">IF(T36=0,0,X36/T36)</f>
        <v>8.3027618110337736E-2</v>
      </c>
    </row>
    <row r="37" spans="1:26" s="24" customFormat="1" hidden="1" outlineLevel="1" x14ac:dyDescent="0.25">
      <c r="A37" s="50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22">
        <f t="shared" si="6"/>
        <v>0</v>
      </c>
      <c r="G37" s="2"/>
      <c r="H37" s="2">
        <v>15</v>
      </c>
      <c r="I37" s="2"/>
      <c r="J37" s="22">
        <f t="shared" si="7"/>
        <v>7.1165901475079345E-5</v>
      </c>
      <c r="K37" s="2"/>
      <c r="L37" s="2">
        <f t="shared" si="8"/>
        <v>-15</v>
      </c>
      <c r="M37" s="2"/>
      <c r="N37" s="22">
        <f t="shared" si="9"/>
        <v>-1</v>
      </c>
      <c r="O37" s="11"/>
      <c r="P37" s="2"/>
      <c r="Q37" s="2"/>
      <c r="R37" s="22">
        <f t="shared" si="10"/>
        <v>0</v>
      </c>
      <c r="S37" s="2"/>
      <c r="T37" s="2">
        <v>15</v>
      </c>
      <c r="U37" s="2"/>
      <c r="V37" s="22">
        <f t="shared" si="11"/>
        <v>7.1165901475079345E-5</v>
      </c>
      <c r="W37" s="2"/>
      <c r="X37" s="2">
        <f t="shared" si="12"/>
        <v>-15</v>
      </c>
      <c r="Y37" s="2"/>
      <c r="Z37" s="22">
        <f t="shared" si="13"/>
        <v>-1</v>
      </c>
    </row>
    <row r="38" spans="1:26" s="24" customFormat="1" hidden="1" outlineLevel="1" x14ac:dyDescent="0.25">
      <c r="A38" s="50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-74.72</v>
      </c>
      <c r="E38" s="2"/>
      <c r="F38" s="22">
        <f t="shared" si="6"/>
        <v>-3.2189232710274371E-4</v>
      </c>
      <c r="G38" s="2"/>
      <c r="H38" s="2">
        <v>170.46</v>
      </c>
      <c r="I38" s="2"/>
      <c r="J38" s="22">
        <f t="shared" si="7"/>
        <v>8.0872930436280178E-4</v>
      </c>
      <c r="K38" s="2"/>
      <c r="L38" s="2">
        <f t="shared" si="8"/>
        <v>-245.18</v>
      </c>
      <c r="M38" s="2"/>
      <c r="N38" s="22">
        <f t="shared" si="9"/>
        <v>-1.4383433063475302</v>
      </c>
      <c r="O38" s="11"/>
      <c r="P38" s="2">
        <v>-74.72</v>
      </c>
      <c r="Q38" s="2"/>
      <c r="R38" s="22">
        <f t="shared" si="10"/>
        <v>-3.2189232710274371E-4</v>
      </c>
      <c r="S38" s="2"/>
      <c r="T38" s="2">
        <v>170.46</v>
      </c>
      <c r="U38" s="2"/>
      <c r="V38" s="22">
        <f t="shared" si="11"/>
        <v>8.0872930436280178E-4</v>
      </c>
      <c r="W38" s="2"/>
      <c r="X38" s="2">
        <f t="shared" si="12"/>
        <v>-245.18</v>
      </c>
      <c r="Y38" s="2"/>
      <c r="Z38" s="22">
        <f t="shared" si="13"/>
        <v>-1.4383433063475302</v>
      </c>
    </row>
    <row r="39" spans="1:26" s="24" customFormat="1" hidden="1" outlineLevel="1" x14ac:dyDescent="0.25">
      <c r="A39" s="50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1.32</v>
      </c>
      <c r="E39" s="2"/>
      <c r="F39" s="22">
        <f t="shared" si="6"/>
        <v>5.6865346865045736E-6</v>
      </c>
      <c r="G39" s="2"/>
      <c r="H39" s="2">
        <v>349.54</v>
      </c>
      <c r="I39" s="2"/>
      <c r="J39" s="22">
        <f t="shared" si="7"/>
        <v>1.6583552801066159E-3</v>
      </c>
      <c r="K39" s="2"/>
      <c r="L39" s="2">
        <f t="shared" si="8"/>
        <v>-348.22</v>
      </c>
      <c r="M39" s="2"/>
      <c r="N39" s="22">
        <f t="shared" si="9"/>
        <v>-0.99622360817073874</v>
      </c>
      <c r="O39" s="11"/>
      <c r="P39" s="2">
        <v>1.32</v>
      </c>
      <c r="Q39" s="2"/>
      <c r="R39" s="22">
        <f t="shared" si="10"/>
        <v>5.6865346865045736E-6</v>
      </c>
      <c r="S39" s="2"/>
      <c r="T39" s="2">
        <v>349.54</v>
      </c>
      <c r="U39" s="2"/>
      <c r="V39" s="22">
        <f t="shared" si="11"/>
        <v>1.6583552801066159E-3</v>
      </c>
      <c r="W39" s="2"/>
      <c r="X39" s="2">
        <f t="shared" si="12"/>
        <v>-348.22</v>
      </c>
      <c r="Y39" s="2"/>
      <c r="Z39" s="22">
        <f t="shared" si="13"/>
        <v>-0.99622360817073874</v>
      </c>
    </row>
    <row r="40" spans="1:26" s="24" customFormat="1" hidden="1" outlineLevel="1" x14ac:dyDescent="0.25">
      <c r="A40" s="50"/>
      <c r="B40" s="11" t="str">
        <f>CONCATENATE("          ", "5034", " - ", "PURCHASES @ COST-SODA")</f>
        <v xml:space="preserve">          5034 - PURCHASES @ COST-SODA</v>
      </c>
      <c r="C40" s="11"/>
      <c r="D40" s="2"/>
      <c r="E40" s="2"/>
      <c r="F40" s="22">
        <f t="shared" si="6"/>
        <v>0</v>
      </c>
      <c r="G40" s="2"/>
      <c r="H40" s="2">
        <v>-9.24</v>
      </c>
      <c r="I40" s="2"/>
      <c r="J40" s="22">
        <f t="shared" si="7"/>
        <v>-4.3838195308648882E-5</v>
      </c>
      <c r="K40" s="2"/>
      <c r="L40" s="2">
        <f t="shared" si="8"/>
        <v>9.24</v>
      </c>
      <c r="M40" s="2"/>
      <c r="N40" s="22">
        <f t="shared" si="9"/>
        <v>-1</v>
      </c>
      <c r="O40" s="11"/>
      <c r="P40" s="2"/>
      <c r="Q40" s="2"/>
      <c r="R40" s="22">
        <f t="shared" si="10"/>
        <v>0</v>
      </c>
      <c r="S40" s="2"/>
      <c r="T40" s="2">
        <v>-9.24</v>
      </c>
      <c r="U40" s="2"/>
      <c r="V40" s="22">
        <f t="shared" si="11"/>
        <v>-4.3838195308648882E-5</v>
      </c>
      <c r="W40" s="2"/>
      <c r="X40" s="2">
        <f t="shared" si="12"/>
        <v>9.24</v>
      </c>
      <c r="Y40" s="2"/>
      <c r="Z40" s="22">
        <f t="shared" si="13"/>
        <v>-1</v>
      </c>
    </row>
    <row r="41" spans="1:26" s="24" customFormat="1" hidden="1" outlineLevel="1" x14ac:dyDescent="0.25">
      <c r="A41" s="50"/>
      <c r="B41" s="11" t="str">
        <f>CONCATENATE("          ", "5037", " - ", "PURCHASES @ COST-WATER")</f>
        <v xml:space="preserve">          5037 - PURCHASES @ COST-WATER</v>
      </c>
      <c r="C41" s="11"/>
      <c r="D41" s="2">
        <v>17.04</v>
      </c>
      <c r="E41" s="2"/>
      <c r="F41" s="22">
        <f t="shared" si="6"/>
        <v>7.3407993225786309E-5</v>
      </c>
      <c r="G41" s="2"/>
      <c r="H41" s="2"/>
      <c r="I41" s="2"/>
      <c r="J41" s="22">
        <f t="shared" si="7"/>
        <v>0</v>
      </c>
      <c r="K41" s="2"/>
      <c r="L41" s="2">
        <f t="shared" si="8"/>
        <v>17.04</v>
      </c>
      <c r="M41" s="2"/>
      <c r="N41" s="22">
        <f t="shared" si="9"/>
        <v>0</v>
      </c>
      <c r="O41" s="11"/>
      <c r="P41" s="2">
        <v>17.04</v>
      </c>
      <c r="Q41" s="2"/>
      <c r="R41" s="22">
        <f t="shared" si="10"/>
        <v>7.3407993225786309E-5</v>
      </c>
      <c r="S41" s="2"/>
      <c r="T41" s="2"/>
      <c r="U41" s="2"/>
      <c r="V41" s="22">
        <f t="shared" si="11"/>
        <v>0</v>
      </c>
      <c r="W41" s="2"/>
      <c r="X41" s="2">
        <f t="shared" si="12"/>
        <v>17.04</v>
      </c>
      <c r="Y41" s="2"/>
      <c r="Z41" s="22">
        <f t="shared" si="13"/>
        <v>0</v>
      </c>
    </row>
    <row r="42" spans="1:26" s="24" customFormat="1" hidden="1" outlineLevel="1" x14ac:dyDescent="0.25">
      <c r="A42" s="50"/>
      <c r="B42" s="11" t="str">
        <f>CONCATENATE("          ", "5040", " - ", "PURCHASES @ COST-LOGO CLOTHING")</f>
        <v xml:space="preserve">          5040 - PURCHASES @ COST-LOGO CLOTHING</v>
      </c>
      <c r="C42" s="11"/>
      <c r="D42" s="2">
        <v>78921.570000000007</v>
      </c>
      <c r="E42" s="2"/>
      <c r="F42" s="22">
        <f t="shared" si="6"/>
        <v>0.339992610089696</v>
      </c>
      <c r="G42" s="2"/>
      <c r="H42" s="2">
        <v>79500.37000000001</v>
      </c>
      <c r="I42" s="2"/>
      <c r="J42" s="22">
        <f t="shared" si="7"/>
        <v>0.37718103324349034</v>
      </c>
      <c r="K42" s="2"/>
      <c r="L42" s="2">
        <f t="shared" si="8"/>
        <v>-578.80000000000291</v>
      </c>
      <c r="M42" s="2"/>
      <c r="N42" s="22">
        <f t="shared" si="9"/>
        <v>-7.2804692607091369E-3</v>
      </c>
      <c r="O42" s="11"/>
      <c r="P42" s="2">
        <v>78921.570000000007</v>
      </c>
      <c r="Q42" s="2"/>
      <c r="R42" s="22">
        <f t="shared" si="10"/>
        <v>0.339992610089696</v>
      </c>
      <c r="S42" s="2"/>
      <c r="T42" s="2">
        <v>79500.37000000001</v>
      </c>
      <c r="U42" s="2"/>
      <c r="V42" s="22">
        <f t="shared" si="11"/>
        <v>0.37718103324349034</v>
      </c>
      <c r="W42" s="2"/>
      <c r="X42" s="2">
        <f t="shared" si="12"/>
        <v>-578.80000000000291</v>
      </c>
      <c r="Y42" s="2"/>
      <c r="Z42" s="22">
        <f t="shared" si="13"/>
        <v>-7.2804692607091369E-3</v>
      </c>
    </row>
    <row r="43" spans="1:26" s="24" customFormat="1" hidden="1" outlineLevel="1" x14ac:dyDescent="0.25">
      <c r="A43" s="50"/>
      <c r="B43" s="11" t="str">
        <f>CONCATENATE("          ", "5041", " - ", "PURCHASES @ COST-LOGO GIFTS")</f>
        <v xml:space="preserve">          5041 - PURCHASES @ COST-LOGO GIFTS</v>
      </c>
      <c r="C43" s="11"/>
      <c r="D43" s="2">
        <v>11950.27</v>
      </c>
      <c r="E43" s="2"/>
      <c r="F43" s="22">
        <f t="shared" si="6"/>
        <v>5.1481533990981064E-2</v>
      </c>
      <c r="G43" s="2"/>
      <c r="H43" s="2">
        <v>22095.94</v>
      </c>
      <c r="I43" s="2"/>
      <c r="J43" s="22">
        <f t="shared" si="7"/>
        <v>0.10483183260261765</v>
      </c>
      <c r="K43" s="2"/>
      <c r="L43" s="2">
        <f t="shared" si="8"/>
        <v>-10145.669999999998</v>
      </c>
      <c r="M43" s="2"/>
      <c r="N43" s="22">
        <f t="shared" si="9"/>
        <v>-0.45916444378469523</v>
      </c>
      <c r="O43" s="11"/>
      <c r="P43" s="2">
        <v>11950.27</v>
      </c>
      <c r="Q43" s="2"/>
      <c r="R43" s="22">
        <f t="shared" si="10"/>
        <v>5.1481533990981064E-2</v>
      </c>
      <c r="S43" s="2"/>
      <c r="T43" s="2">
        <v>22095.94</v>
      </c>
      <c r="U43" s="2"/>
      <c r="V43" s="22">
        <f t="shared" si="11"/>
        <v>0.10483183260261765</v>
      </c>
      <c r="W43" s="2"/>
      <c r="X43" s="2">
        <f t="shared" si="12"/>
        <v>-10145.669999999998</v>
      </c>
      <c r="Y43" s="2"/>
      <c r="Z43" s="22">
        <f t="shared" si="13"/>
        <v>-0.45916444378469523</v>
      </c>
    </row>
    <row r="44" spans="1:26" s="24" customFormat="1" hidden="1" outlineLevel="1" x14ac:dyDescent="0.25">
      <c r="A44" s="50"/>
      <c r="B44" s="11" t="str">
        <f>CONCATENATE("          ", "5042", " - ", "PURCHASES @ COST-EVERYDAY GIFT")</f>
        <v xml:space="preserve">          5042 - PURCHASES @ COST-EVERYDAY GIFT</v>
      </c>
      <c r="C44" s="11"/>
      <c r="D44" s="2">
        <v>7752.36</v>
      </c>
      <c r="E44" s="2"/>
      <c r="F44" s="22">
        <f t="shared" si="6"/>
        <v>3.3397018213841355E-2</v>
      </c>
      <c r="G44" s="2"/>
      <c r="H44" s="2">
        <v>4700.42</v>
      </c>
      <c r="I44" s="2"/>
      <c r="J44" s="22">
        <f t="shared" si="7"/>
        <v>2.2300641774099499E-2</v>
      </c>
      <c r="K44" s="2"/>
      <c r="L44" s="2">
        <f t="shared" si="8"/>
        <v>3051.9399999999996</v>
      </c>
      <c r="M44" s="2"/>
      <c r="N44" s="22">
        <f t="shared" si="9"/>
        <v>0.64929091442892328</v>
      </c>
      <c r="O44" s="11"/>
      <c r="P44" s="2">
        <v>7752.36</v>
      </c>
      <c r="Q44" s="2"/>
      <c r="R44" s="22">
        <f t="shared" si="10"/>
        <v>3.3397018213841355E-2</v>
      </c>
      <c r="S44" s="2"/>
      <c r="T44" s="2">
        <v>4700.42</v>
      </c>
      <c r="U44" s="2"/>
      <c r="V44" s="22">
        <f t="shared" si="11"/>
        <v>2.2300641774099499E-2</v>
      </c>
      <c r="W44" s="2"/>
      <c r="X44" s="2">
        <f t="shared" si="12"/>
        <v>3051.9399999999996</v>
      </c>
      <c r="Y44" s="2"/>
      <c r="Z44" s="22">
        <f t="shared" si="13"/>
        <v>0.64929091442892328</v>
      </c>
    </row>
    <row r="45" spans="1:26" s="24" customFormat="1" hidden="1" outlineLevel="1" x14ac:dyDescent="0.25">
      <c r="A45" s="50"/>
      <c r="B45" s="11" t="str">
        <f>CONCATENATE("          ", "5043", " - ", "PURCHASES @ COST-CARDS")</f>
        <v xml:space="preserve">          5043 - PURCHASES @ COST-CARDS</v>
      </c>
      <c r="C45" s="11"/>
      <c r="D45" s="2">
        <v>498.26</v>
      </c>
      <c r="E45" s="2"/>
      <c r="F45" s="22">
        <f t="shared" si="6"/>
        <v>2.1464945249225517E-3</v>
      </c>
      <c r="G45" s="2"/>
      <c r="H45" s="2">
        <v>470.73</v>
      </c>
      <c r="I45" s="2"/>
      <c r="J45" s="22">
        <f t="shared" si="7"/>
        <v>2.2333283200909404E-3</v>
      </c>
      <c r="K45" s="2"/>
      <c r="L45" s="2">
        <f t="shared" si="8"/>
        <v>27.529999999999973</v>
      </c>
      <c r="M45" s="2"/>
      <c r="N45" s="22">
        <f t="shared" si="9"/>
        <v>5.848363180591841E-2</v>
      </c>
      <c r="O45" s="11"/>
      <c r="P45" s="2">
        <v>498.26</v>
      </c>
      <c r="Q45" s="2"/>
      <c r="R45" s="22">
        <f t="shared" si="10"/>
        <v>2.1464945249225517E-3</v>
      </c>
      <c r="S45" s="2"/>
      <c r="T45" s="2">
        <v>470.73</v>
      </c>
      <c r="U45" s="2"/>
      <c r="V45" s="22">
        <f t="shared" si="11"/>
        <v>2.2333283200909404E-3</v>
      </c>
      <c r="W45" s="2"/>
      <c r="X45" s="2">
        <f t="shared" si="12"/>
        <v>27.529999999999973</v>
      </c>
      <c r="Y45" s="2"/>
      <c r="Z45" s="22">
        <f t="shared" si="13"/>
        <v>5.848363180591841E-2</v>
      </c>
    </row>
    <row r="46" spans="1:26" s="24" customFormat="1" hidden="1" outlineLevel="1" x14ac:dyDescent="0.25">
      <c r="A46" s="50"/>
      <c r="B46" s="11" t="str">
        <f>CONCATENATE("          ", "5044", " - ", "PURCHASES @ COST-ACCESSORIES")</f>
        <v xml:space="preserve">          5044 - PURCHASES @ COST-ACCESSORIES</v>
      </c>
      <c r="C46" s="11"/>
      <c r="D46" s="2">
        <v>4839</v>
      </c>
      <c r="E46" s="2"/>
      <c r="F46" s="22">
        <f t="shared" si="6"/>
        <v>2.0846319203026993E-2</v>
      </c>
      <c r="G46" s="2"/>
      <c r="H46" s="2">
        <v>6063</v>
      </c>
      <c r="I46" s="2"/>
      <c r="J46" s="22">
        <f t="shared" si="7"/>
        <v>2.8765257376227073E-2</v>
      </c>
      <c r="K46" s="2"/>
      <c r="L46" s="2">
        <f t="shared" si="8"/>
        <v>-1224</v>
      </c>
      <c r="M46" s="2"/>
      <c r="N46" s="22">
        <f t="shared" si="9"/>
        <v>-0.20188025729836714</v>
      </c>
      <c r="O46" s="11"/>
      <c r="P46" s="2">
        <v>4839</v>
      </c>
      <c r="Q46" s="2"/>
      <c r="R46" s="22">
        <f t="shared" si="10"/>
        <v>2.0846319203026993E-2</v>
      </c>
      <c r="S46" s="2"/>
      <c r="T46" s="2">
        <v>6063</v>
      </c>
      <c r="U46" s="2"/>
      <c r="V46" s="22">
        <f t="shared" si="11"/>
        <v>2.8765257376227073E-2</v>
      </c>
      <c r="W46" s="2"/>
      <c r="X46" s="2">
        <f t="shared" si="12"/>
        <v>-1224</v>
      </c>
      <c r="Y46" s="2"/>
      <c r="Z46" s="22">
        <f t="shared" si="13"/>
        <v>-0.20188025729836714</v>
      </c>
    </row>
    <row r="47" spans="1:26" s="24" customFormat="1" hidden="1" outlineLevel="1" x14ac:dyDescent="0.25">
      <c r="A47" s="50"/>
      <c r="B47" s="11" t="str">
        <f>CONCATENATE("          ", "5045", " - ", "PURCHASES @ COST-SPECIAL ORDER")</f>
        <v xml:space="preserve">          5045 - PURCHASES @ COST-SPECIAL ORDER</v>
      </c>
      <c r="C47" s="11"/>
      <c r="D47" s="2">
        <v>15992.849999999999</v>
      </c>
      <c r="E47" s="2"/>
      <c r="F47" s="22">
        <f t="shared" si="6"/>
        <v>6.8896891106867156E-2</v>
      </c>
      <c r="G47" s="2"/>
      <c r="H47" s="2">
        <v>18624.310000000001</v>
      </c>
      <c r="I47" s="2"/>
      <c r="J47" s="22">
        <f t="shared" si="7"/>
        <v>8.8361054033422343E-2</v>
      </c>
      <c r="K47" s="2"/>
      <c r="L47" s="2">
        <f t="shared" si="8"/>
        <v>-2631.4600000000028</v>
      </c>
      <c r="M47" s="2"/>
      <c r="N47" s="22">
        <f t="shared" si="9"/>
        <v>-0.14129167738294748</v>
      </c>
      <c r="O47" s="11"/>
      <c r="P47" s="2">
        <v>15992.849999999999</v>
      </c>
      <c r="Q47" s="2"/>
      <c r="R47" s="22">
        <f t="shared" si="10"/>
        <v>6.8896891106867156E-2</v>
      </c>
      <c r="S47" s="2"/>
      <c r="T47" s="2">
        <v>18624.310000000001</v>
      </c>
      <c r="U47" s="2"/>
      <c r="V47" s="22">
        <f t="shared" si="11"/>
        <v>8.8361054033422343E-2</v>
      </c>
      <c r="W47" s="2"/>
      <c r="X47" s="2">
        <f t="shared" si="12"/>
        <v>-2631.4600000000028</v>
      </c>
      <c r="Y47" s="2"/>
      <c r="Z47" s="22">
        <f t="shared" si="13"/>
        <v>-0.14129167738294748</v>
      </c>
    </row>
    <row r="48" spans="1:26" s="24" customFormat="1" hidden="1" outlineLevel="1" x14ac:dyDescent="0.25">
      <c r="A48" s="50"/>
      <c r="B48" s="11" t="str">
        <f>CONCATENATE("          ", "5095", " - ", "PURCHASES @ COST-CUSTOMER SERV")</f>
        <v xml:space="preserve">          5095 - PURCHASES @ COST-CUSTOMER SERV</v>
      </c>
      <c r="C48" s="11"/>
      <c r="D48" s="2">
        <v>-11.85</v>
      </c>
      <c r="E48" s="2"/>
      <c r="F48" s="22">
        <f t="shared" si="6"/>
        <v>-5.1049572753847868E-5</v>
      </c>
      <c r="G48" s="2"/>
      <c r="H48" s="2"/>
      <c r="I48" s="2"/>
      <c r="J48" s="22">
        <f t="shared" si="7"/>
        <v>0</v>
      </c>
      <c r="K48" s="2"/>
      <c r="L48" s="2">
        <f t="shared" si="8"/>
        <v>-11.85</v>
      </c>
      <c r="M48" s="2"/>
      <c r="N48" s="22">
        <f t="shared" si="9"/>
        <v>0</v>
      </c>
      <c r="O48" s="11"/>
      <c r="P48" s="2">
        <v>-11.85</v>
      </c>
      <c r="Q48" s="2"/>
      <c r="R48" s="22">
        <f t="shared" si="10"/>
        <v>-5.1049572753847868E-5</v>
      </c>
      <c r="S48" s="2"/>
      <c r="T48" s="2"/>
      <c r="U48" s="2"/>
      <c r="V48" s="22">
        <f t="shared" si="11"/>
        <v>0</v>
      </c>
      <c r="W48" s="2"/>
      <c r="X48" s="2">
        <f t="shared" si="12"/>
        <v>-11.85</v>
      </c>
      <c r="Y48" s="2"/>
      <c r="Z48" s="22">
        <f t="shared" si="13"/>
        <v>0</v>
      </c>
    </row>
    <row r="49" spans="1:26" s="24" customFormat="1" hidden="1" outlineLevel="1" x14ac:dyDescent="0.25">
      <c r="A49" s="50"/>
      <c r="B49" s="11" t="str">
        <f>CONCATENATE("          ", "5200", " - ", "PURCHASES OFFSET")</f>
        <v xml:space="preserve">          5200 - PURCHASES OFFSET</v>
      </c>
      <c r="C49" s="11"/>
      <c r="D49" s="2">
        <v>-120869</v>
      </c>
      <c r="E49" s="2"/>
      <c r="F49" s="22">
        <f t="shared" si="6"/>
        <v>-0.52070133410842523</v>
      </c>
      <c r="G49" s="2"/>
      <c r="H49" s="2">
        <v>-134191</v>
      </c>
      <c r="I49" s="2"/>
      <c r="J49" s="22">
        <f t="shared" si="7"/>
        <v>-0.63665489898949157</v>
      </c>
      <c r="K49" s="2"/>
      <c r="L49" s="2">
        <f t="shared" si="8"/>
        <v>13322</v>
      </c>
      <c r="M49" s="2"/>
      <c r="N49" s="22">
        <f t="shared" si="9"/>
        <v>-9.9276404527874451E-2</v>
      </c>
      <c r="O49" s="11"/>
      <c r="P49" s="2">
        <v>-120869</v>
      </c>
      <c r="Q49" s="2"/>
      <c r="R49" s="22">
        <f t="shared" si="10"/>
        <v>-0.52070133410842523</v>
      </c>
      <c r="S49" s="2"/>
      <c r="T49" s="2">
        <v>-134191</v>
      </c>
      <c r="U49" s="2"/>
      <c r="V49" s="22">
        <f t="shared" si="11"/>
        <v>-0.63665489898949157</v>
      </c>
      <c r="W49" s="2"/>
      <c r="X49" s="2">
        <f t="shared" si="12"/>
        <v>13322</v>
      </c>
      <c r="Y49" s="2"/>
      <c r="Z49" s="22">
        <f t="shared" si="13"/>
        <v>-9.9276404527874451E-2</v>
      </c>
    </row>
    <row r="50" spans="1:26" s="24" customFormat="1" hidden="1" outlineLevel="1" x14ac:dyDescent="0.25">
      <c r="A50" s="50"/>
      <c r="B50" s="11" t="str">
        <f>CONCATENATE("          ", "5300", " - ", "COG$ OFFSET")</f>
        <v xml:space="preserve">          5300 - COG$ OFFSET</v>
      </c>
      <c r="C50" s="11"/>
      <c r="D50" s="2">
        <v>107373</v>
      </c>
      <c r="E50" s="2"/>
      <c r="F50" s="22">
        <f t="shared" si="6"/>
        <v>0.46256082491973904</v>
      </c>
      <c r="G50" s="2"/>
      <c r="H50" s="2">
        <v>99143</v>
      </c>
      <c r="I50" s="2"/>
      <c r="J50" s="22">
        <f t="shared" si="7"/>
        <v>0.47037339799625277</v>
      </c>
      <c r="K50" s="2"/>
      <c r="L50" s="2">
        <f t="shared" si="8"/>
        <v>8230</v>
      </c>
      <c r="M50" s="2"/>
      <c r="N50" s="22">
        <f t="shared" si="9"/>
        <v>8.3011407764542119E-2</v>
      </c>
      <c r="O50" s="11"/>
      <c r="P50" s="2">
        <v>107373</v>
      </c>
      <c r="Q50" s="2"/>
      <c r="R50" s="22">
        <f t="shared" si="10"/>
        <v>0.46256082491973904</v>
      </c>
      <c r="S50" s="2"/>
      <c r="T50" s="2">
        <v>99143</v>
      </c>
      <c r="U50" s="2"/>
      <c r="V50" s="22">
        <f t="shared" si="11"/>
        <v>0.47037339799625277</v>
      </c>
      <c r="W50" s="2"/>
      <c r="X50" s="2">
        <f t="shared" si="12"/>
        <v>8230</v>
      </c>
      <c r="Y50" s="2"/>
      <c r="Z50" s="22">
        <f t="shared" si="13"/>
        <v>8.3011407764542119E-2</v>
      </c>
    </row>
    <row r="51" spans="1:26" s="24" customFormat="1" hidden="1" outlineLevel="1" x14ac:dyDescent="0.25">
      <c r="A51" s="50"/>
      <c r="B51" s="11" t="str">
        <f>CONCATENATE("          ", "5540", " - ", "FREIGHT-IN-LOGO CLOTHING")</f>
        <v xml:space="preserve">          5540 - FREIGHT-IN-LOGO CLOTHING</v>
      </c>
      <c r="C51" s="11"/>
      <c r="D51" s="2">
        <v>395.22</v>
      </c>
      <c r="E51" s="2"/>
      <c r="F51" s="22">
        <f t="shared" si="6"/>
        <v>1.7026001809093466E-3</v>
      </c>
      <c r="G51" s="2"/>
      <c r="H51" s="2">
        <v>1089.53</v>
      </c>
      <c r="I51" s="2"/>
      <c r="J51" s="22">
        <f t="shared" si="7"/>
        <v>5.1691589756095472E-3</v>
      </c>
      <c r="K51" s="2"/>
      <c r="L51" s="2">
        <f t="shared" si="8"/>
        <v>-694.31</v>
      </c>
      <c r="M51" s="2"/>
      <c r="N51" s="22">
        <f t="shared" si="9"/>
        <v>-0.63725643167237245</v>
      </c>
      <c r="O51" s="11"/>
      <c r="P51" s="2">
        <v>395.22</v>
      </c>
      <c r="Q51" s="2"/>
      <c r="R51" s="22">
        <f t="shared" si="10"/>
        <v>1.7026001809093466E-3</v>
      </c>
      <c r="S51" s="2"/>
      <c r="T51" s="2">
        <v>1089.53</v>
      </c>
      <c r="U51" s="2"/>
      <c r="V51" s="22">
        <f t="shared" si="11"/>
        <v>5.1691589756095472E-3</v>
      </c>
      <c r="W51" s="2"/>
      <c r="X51" s="2">
        <f t="shared" si="12"/>
        <v>-694.31</v>
      </c>
      <c r="Y51" s="2"/>
      <c r="Z51" s="22">
        <f t="shared" si="13"/>
        <v>-0.63725643167237245</v>
      </c>
    </row>
    <row r="52" spans="1:26" s="24" customFormat="1" hidden="1" outlineLevel="1" x14ac:dyDescent="0.25">
      <c r="A52" s="50"/>
      <c r="B52" s="11" t="str">
        <f>CONCATENATE("          ", "5541", " - ", "FREIGHT-IN-LOGO GIFTS")</f>
        <v xml:space="preserve">          5541 - FREIGHT-IN-LOGO GIFTS</v>
      </c>
      <c r="C52" s="11"/>
      <c r="D52" s="2">
        <v>314.49</v>
      </c>
      <c r="E52" s="2"/>
      <c r="F52" s="22">
        <f t="shared" si="6"/>
        <v>1.3548168890597145E-3</v>
      </c>
      <c r="G52" s="2"/>
      <c r="H52" s="2">
        <v>785.4</v>
      </c>
      <c r="I52" s="2"/>
      <c r="J52" s="22">
        <f t="shared" si="7"/>
        <v>3.7262466012351549E-3</v>
      </c>
      <c r="K52" s="2"/>
      <c r="L52" s="2">
        <f t="shared" si="8"/>
        <v>-470.90999999999997</v>
      </c>
      <c r="M52" s="2"/>
      <c r="N52" s="22">
        <f t="shared" si="9"/>
        <v>-0.59957983193277309</v>
      </c>
      <c r="O52" s="11"/>
      <c r="P52" s="2">
        <v>314.49</v>
      </c>
      <c r="Q52" s="2"/>
      <c r="R52" s="22">
        <f t="shared" si="10"/>
        <v>1.3548168890597145E-3</v>
      </c>
      <c r="S52" s="2"/>
      <c r="T52" s="2">
        <v>785.4</v>
      </c>
      <c r="U52" s="2"/>
      <c r="V52" s="22">
        <f t="shared" si="11"/>
        <v>3.7262466012351549E-3</v>
      </c>
      <c r="W52" s="2"/>
      <c r="X52" s="2">
        <f t="shared" si="12"/>
        <v>-470.90999999999997</v>
      </c>
      <c r="Y52" s="2"/>
      <c r="Z52" s="22">
        <f t="shared" si="13"/>
        <v>-0.59957983193277309</v>
      </c>
    </row>
    <row r="53" spans="1:26" s="24" customFormat="1" hidden="1" outlineLevel="1" x14ac:dyDescent="0.25">
      <c r="A53" s="50"/>
      <c r="B53" s="11" t="str">
        <f>CONCATENATE("          ", "5542", " - ", "FREIGHT-IN-EVERYDAY GIFTS")</f>
        <v xml:space="preserve">          5542 - FREIGHT-IN-EVERYDAY GIFTS</v>
      </c>
      <c r="C53" s="11"/>
      <c r="D53" s="2">
        <v>29.72</v>
      </c>
      <c r="E53" s="2"/>
      <c r="F53" s="22">
        <f t="shared" si="6"/>
        <v>1.2803319006281507E-4</v>
      </c>
      <c r="G53" s="2"/>
      <c r="H53" s="2"/>
      <c r="I53" s="2"/>
      <c r="J53" s="22">
        <f t="shared" si="7"/>
        <v>0</v>
      </c>
      <c r="K53" s="2"/>
      <c r="L53" s="2">
        <f t="shared" si="8"/>
        <v>29.72</v>
      </c>
      <c r="M53" s="2"/>
      <c r="N53" s="22">
        <f t="shared" si="9"/>
        <v>0</v>
      </c>
      <c r="O53" s="11"/>
      <c r="P53" s="2">
        <v>29.72</v>
      </c>
      <c r="Q53" s="2"/>
      <c r="R53" s="22">
        <f t="shared" si="10"/>
        <v>1.2803319006281507E-4</v>
      </c>
      <c r="S53" s="2"/>
      <c r="T53" s="2"/>
      <c r="U53" s="2"/>
      <c r="V53" s="22">
        <f t="shared" si="11"/>
        <v>0</v>
      </c>
      <c r="W53" s="2"/>
      <c r="X53" s="2">
        <f t="shared" si="12"/>
        <v>29.72</v>
      </c>
      <c r="Y53" s="2"/>
      <c r="Z53" s="22">
        <f t="shared" si="13"/>
        <v>0</v>
      </c>
    </row>
    <row r="54" spans="1:26" s="24" customFormat="1" hidden="1" outlineLevel="1" x14ac:dyDescent="0.25">
      <c r="A54" s="50"/>
      <c r="B54" s="11" t="str">
        <f>CONCATENATE("          ", "5544", " - ", "FREIGHT-IN-ACCESSORIES")</f>
        <v xml:space="preserve">          5544 - FREIGHT-IN-ACCESSORIES</v>
      </c>
      <c r="C54" s="11"/>
      <c r="D54" s="2">
        <v>16.73</v>
      </c>
      <c r="E54" s="2"/>
      <c r="F54" s="22">
        <f t="shared" si="6"/>
        <v>7.2072519170622356E-5</v>
      </c>
      <c r="G54" s="2"/>
      <c r="H54" s="2">
        <v>29.26</v>
      </c>
      <c r="I54" s="2"/>
      <c r="J54" s="22">
        <f t="shared" si="7"/>
        <v>1.3882095181072147E-4</v>
      </c>
      <c r="K54" s="2"/>
      <c r="L54" s="2">
        <f t="shared" si="8"/>
        <v>-12.530000000000001</v>
      </c>
      <c r="M54" s="2"/>
      <c r="N54" s="22">
        <f t="shared" si="9"/>
        <v>-0.42822966507177035</v>
      </c>
      <c r="O54" s="11"/>
      <c r="P54" s="2">
        <v>16.73</v>
      </c>
      <c r="Q54" s="2"/>
      <c r="R54" s="22">
        <f t="shared" si="10"/>
        <v>7.2072519170622356E-5</v>
      </c>
      <c r="S54" s="2"/>
      <c r="T54" s="2">
        <v>29.26</v>
      </c>
      <c r="U54" s="2"/>
      <c r="V54" s="22">
        <f t="shared" si="11"/>
        <v>1.3882095181072147E-4</v>
      </c>
      <c r="W54" s="2"/>
      <c r="X54" s="2">
        <f t="shared" si="12"/>
        <v>-12.530000000000001</v>
      </c>
      <c r="Y54" s="2"/>
      <c r="Z54" s="22">
        <f t="shared" si="13"/>
        <v>-0.42822966507177035</v>
      </c>
    </row>
    <row r="55" spans="1:26" s="24" customFormat="1" hidden="1" outlineLevel="1" x14ac:dyDescent="0.25">
      <c r="A55" s="50"/>
      <c r="B55" s="11" t="str">
        <f>CONCATENATE("          ", "5545", " - ", "FREIGHT-IN-SPECIAL ORDERS")</f>
        <v xml:space="preserve">          5545 - FREIGHT-IN-SPECIAL ORDERS</v>
      </c>
      <c r="C55" s="11"/>
      <c r="D55" s="2">
        <v>227.08</v>
      </c>
      <c r="E55" s="2"/>
      <c r="F55" s="22">
        <f t="shared" si="6"/>
        <v>9.7825628531171094E-4</v>
      </c>
      <c r="G55" s="2"/>
      <c r="H55" s="2">
        <v>305.11</v>
      </c>
      <c r="I55" s="2"/>
      <c r="J55" s="22">
        <f t="shared" si="7"/>
        <v>1.4475618799374308E-3</v>
      </c>
      <c r="K55" s="2"/>
      <c r="L55" s="2">
        <f t="shared" si="8"/>
        <v>-78.03</v>
      </c>
      <c r="M55" s="2"/>
      <c r="N55" s="22">
        <f t="shared" si="9"/>
        <v>-0.25574383009406443</v>
      </c>
      <c r="O55" s="11"/>
      <c r="P55" s="2">
        <v>227.08</v>
      </c>
      <c r="Q55" s="2"/>
      <c r="R55" s="22">
        <f t="shared" si="10"/>
        <v>9.7825628531171094E-4</v>
      </c>
      <c r="S55" s="2"/>
      <c r="T55" s="2">
        <v>305.11</v>
      </c>
      <c r="U55" s="2"/>
      <c r="V55" s="22">
        <f t="shared" si="11"/>
        <v>1.4475618799374308E-3</v>
      </c>
      <c r="W55" s="2"/>
      <c r="X55" s="2">
        <f t="shared" si="12"/>
        <v>-78.03</v>
      </c>
      <c r="Y55" s="2"/>
      <c r="Z55" s="22">
        <f t="shared" si="13"/>
        <v>-0.25574383009406443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6</v>
      </c>
      <c r="C57" s="25"/>
      <c r="D57" s="21">
        <f>D12-D36</f>
        <v>124753.97000000002</v>
      </c>
      <c r="E57" s="13"/>
      <c r="F57" s="20">
        <f>IF(D$12=0,0,D57/D$12)</f>
        <v>0.53743771036678101</v>
      </c>
      <c r="G57" s="13"/>
      <c r="H57" s="21">
        <f>H12-H36</f>
        <v>111633.27000000005</v>
      </c>
      <c r="I57" s="13"/>
      <c r="J57" s="20">
        <f>IF(H$12=0,0,H57/H$12)</f>
        <v>0.5296321529440623</v>
      </c>
      <c r="K57" s="16"/>
      <c r="L57" s="21">
        <f>+D57-H57</f>
        <v>13120.699999999968</v>
      </c>
      <c r="M57" s="16"/>
      <c r="N57" s="20">
        <f>IF(H57=0,0,L57/H57)</f>
        <v>0.11753395739460075</v>
      </c>
      <c r="O57" s="26"/>
      <c r="P57" s="21">
        <f>P12-P36</f>
        <v>124753.97000000002</v>
      </c>
      <c r="Q57" s="13"/>
      <c r="R57" s="20">
        <f>IF(P$12=0,0,P57/P$12)</f>
        <v>0.53743771036678101</v>
      </c>
      <c r="S57" s="13"/>
      <c r="T57" s="21">
        <f>T12-T36</f>
        <v>111633.27000000005</v>
      </c>
      <c r="U57" s="13"/>
      <c r="V57" s="20">
        <f>IF(T$12=0,0,T57/T$12)</f>
        <v>0.5296321529440623</v>
      </c>
      <c r="W57" s="16"/>
      <c r="X57" s="21">
        <f>+P57-T57</f>
        <v>13120.699999999968</v>
      </c>
      <c r="Y57" s="16"/>
      <c r="Z57" s="20">
        <f>IF(T57=0,0,X57/T57)</f>
        <v>0.11753395739460075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6" t="s">
        <v>9</v>
      </c>
      <c r="C59" s="10"/>
      <c r="D59" s="19">
        <f>SUM(OSRRefD22x_0)</f>
        <v>84174.290000000008</v>
      </c>
      <c r="E59" s="19"/>
      <c r="F59" s="35">
        <f t="shared" ref="F59:F68" si="14">IF(D$12=0,0,D59/D$12)</f>
        <v>0.36262122711885991</v>
      </c>
      <c r="G59" s="19"/>
      <c r="H59" s="19">
        <f>SUM(OSRRefH22x_0)</f>
        <v>81297.070000000007</v>
      </c>
      <c r="I59" s="19"/>
      <c r="J59" s="35">
        <f t="shared" ref="J59:J68" si="15">IF(H$12=0,0,H59/H$12)</f>
        <v>0.38570528492217532</v>
      </c>
      <c r="K59" s="4"/>
      <c r="L59" s="19">
        <f t="shared" ref="L59:L68" si="16">+D59-H59</f>
        <v>2877.2200000000012</v>
      </c>
      <c r="M59" s="4"/>
      <c r="N59" s="35">
        <f t="shared" ref="N59:N68" si="17">IF(H59=0,0,L59/H59)</f>
        <v>3.539143538629376E-2</v>
      </c>
      <c r="O59" s="10"/>
      <c r="P59" s="19">
        <f>SUM(OSRRefP22x_0)</f>
        <v>84174.290000000008</v>
      </c>
      <c r="Q59" s="19"/>
      <c r="R59" s="35">
        <f t="shared" ref="R59:R68" si="18">IF(P$12=0,0,P59/P$12)</f>
        <v>0.36262122711885991</v>
      </c>
      <c r="S59" s="19"/>
      <c r="T59" s="19">
        <f>SUM(OSRRefT22x_0)</f>
        <v>81297.070000000007</v>
      </c>
      <c r="U59" s="19"/>
      <c r="V59" s="35">
        <f t="shared" ref="V59:V68" si="19">IF(T$12=0,0,T59/T$12)</f>
        <v>0.38570528492217532</v>
      </c>
      <c r="W59" s="4"/>
      <c r="X59" s="19">
        <f t="shared" ref="X59:X68" si="20">+P59-T59</f>
        <v>2877.2200000000012</v>
      </c>
      <c r="Y59" s="4"/>
      <c r="Z59" s="35">
        <f t="shared" ref="Z59:Z68" si="21">IF(T59=0,0,X59/T59)</f>
        <v>3.539143538629376E-2</v>
      </c>
    </row>
    <row r="60" spans="1:26" s="28" customFormat="1" outlineLevel="1" collapsed="1" x14ac:dyDescent="0.25">
      <c r="A60" s="27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10056.81</v>
      </c>
      <c r="E60" s="1"/>
      <c r="F60" s="5">
        <f t="shared" si="14"/>
        <v>4.3324544621656101E-2</v>
      </c>
      <c r="G60" s="1"/>
      <c r="H60" s="1">
        <f>SUM(OSRRefH22_0x_0)</f>
        <v>9466.1500000000015</v>
      </c>
      <c r="I60" s="1"/>
      <c r="J60" s="5">
        <f t="shared" si="15"/>
        <v>4.4911139883221499E-2</v>
      </c>
      <c r="K60" s="1"/>
      <c r="L60" s="1">
        <f t="shared" si="16"/>
        <v>590.65999999999804</v>
      </c>
      <c r="M60" s="1"/>
      <c r="N60" s="5">
        <f t="shared" si="17"/>
        <v>6.2397067445582204E-2</v>
      </c>
      <c r="O60" s="14"/>
      <c r="P60" s="1">
        <f>SUM(OSRRefP22_0x_0)</f>
        <v>10056.81</v>
      </c>
      <c r="Q60" s="1"/>
      <c r="R60" s="5">
        <f t="shared" si="18"/>
        <v>4.3324544621656101E-2</v>
      </c>
      <c r="S60" s="1"/>
      <c r="T60" s="1">
        <f>SUM(OSRRefT22_0x_0)</f>
        <v>9466.1500000000015</v>
      </c>
      <c r="U60" s="1"/>
      <c r="V60" s="5">
        <f t="shared" si="19"/>
        <v>4.4911139883221499E-2</v>
      </c>
      <c r="W60" s="1"/>
      <c r="X60" s="1">
        <f t="shared" si="20"/>
        <v>590.65999999999804</v>
      </c>
      <c r="Y60" s="1"/>
      <c r="Z60" s="5">
        <f t="shared" si="21"/>
        <v>6.2397067445582204E-2</v>
      </c>
    </row>
    <row r="61" spans="1:26" s="24" customFormat="1" hidden="1" outlineLevel="2" x14ac:dyDescent="0.25">
      <c r="A61" s="29"/>
      <c r="B61" s="11" t="str">
        <f>CONCATENATE("          ", "6111", " - ", "F.I.C.A.")</f>
        <v xml:space="preserve">          6111 - F.I.C.A.</v>
      </c>
      <c r="C61" s="11"/>
      <c r="D61" s="7">
        <v>2336.29</v>
      </c>
      <c r="E61" s="2"/>
      <c r="F61" s="6">
        <f t="shared" si="14"/>
        <v>1.0064692517222551E-2</v>
      </c>
      <c r="G61" s="2"/>
      <c r="H61" s="7">
        <v>2119.66</v>
      </c>
      <c r="I61" s="2"/>
      <c r="J61" s="6">
        <f t="shared" si="15"/>
        <v>1.0056500981377779E-2</v>
      </c>
      <c r="K61" s="2"/>
      <c r="L61" s="7">
        <f t="shared" si="16"/>
        <v>216.63000000000011</v>
      </c>
      <c r="M61" s="2"/>
      <c r="N61" s="6">
        <f t="shared" si="17"/>
        <v>0.10220035288678379</v>
      </c>
      <c r="O61" s="11"/>
      <c r="P61" s="7">
        <v>2336.29</v>
      </c>
      <c r="Q61" s="2"/>
      <c r="R61" s="6">
        <f t="shared" si="18"/>
        <v>1.0064692517222551E-2</v>
      </c>
      <c r="S61" s="2"/>
      <c r="T61" s="7">
        <v>2119.66</v>
      </c>
      <c r="U61" s="2"/>
      <c r="V61" s="6">
        <f t="shared" si="19"/>
        <v>1.0056500981377779E-2</v>
      </c>
      <c r="W61" s="2"/>
      <c r="X61" s="7">
        <f t="shared" si="20"/>
        <v>216.63000000000011</v>
      </c>
      <c r="Y61" s="2"/>
      <c r="Z61" s="6">
        <f t="shared" si="21"/>
        <v>0.10220035288678379</v>
      </c>
    </row>
    <row r="62" spans="1:26" s="24" customFormat="1" hidden="1" outlineLevel="2" x14ac:dyDescent="0.25">
      <c r="A62" s="29"/>
      <c r="B62" s="11" t="str">
        <f>CONCATENATE("          ", "6112", " - ", "COMPENSATION INSURANCE")</f>
        <v xml:space="preserve">          6112 - COMPENSATION INSURANCE</v>
      </c>
      <c r="C62" s="11"/>
      <c r="D62" s="7">
        <v>545.26</v>
      </c>
      <c r="E62" s="2"/>
      <c r="F62" s="6">
        <f t="shared" si="14"/>
        <v>2.3489696236086996E-3</v>
      </c>
      <c r="G62" s="2"/>
      <c r="H62" s="7">
        <v>500.01</v>
      </c>
      <c r="I62" s="2"/>
      <c r="J62" s="6">
        <f t="shared" si="15"/>
        <v>2.372244159770295E-3</v>
      </c>
      <c r="K62" s="2"/>
      <c r="L62" s="7">
        <f t="shared" si="16"/>
        <v>45.25</v>
      </c>
      <c r="M62" s="2"/>
      <c r="N62" s="6">
        <f t="shared" si="17"/>
        <v>9.0498190036199272E-2</v>
      </c>
      <c r="O62" s="11"/>
      <c r="P62" s="7">
        <v>545.26</v>
      </c>
      <c r="Q62" s="2"/>
      <c r="R62" s="6">
        <f t="shared" si="18"/>
        <v>2.3489696236086996E-3</v>
      </c>
      <c r="S62" s="2"/>
      <c r="T62" s="7">
        <v>500.01</v>
      </c>
      <c r="U62" s="2"/>
      <c r="V62" s="6">
        <f t="shared" si="19"/>
        <v>2.372244159770295E-3</v>
      </c>
      <c r="W62" s="2"/>
      <c r="X62" s="7">
        <f t="shared" si="20"/>
        <v>45.25</v>
      </c>
      <c r="Y62" s="2"/>
      <c r="Z62" s="6">
        <f t="shared" si="21"/>
        <v>9.0498190036199272E-2</v>
      </c>
    </row>
    <row r="63" spans="1:26" s="24" customFormat="1" hidden="1" outlineLevel="2" x14ac:dyDescent="0.25">
      <c r="A63" s="29"/>
      <c r="B63" s="11" t="str">
        <f>CONCATENATE("          ", "6113", " - ", "GROUP INSURANCE")</f>
        <v xml:space="preserve">          6113 - GROUP INSURANCE</v>
      </c>
      <c r="C63" s="11"/>
      <c r="D63" s="7">
        <v>2785.09</v>
      </c>
      <c r="E63" s="2"/>
      <c r="F63" s="6">
        <f t="shared" si="14"/>
        <v>1.1998114310634108E-2</v>
      </c>
      <c r="G63" s="2"/>
      <c r="H63" s="7">
        <v>1065.21</v>
      </c>
      <c r="I63" s="2"/>
      <c r="J63" s="6">
        <f t="shared" si="15"/>
        <v>5.0537753273512849E-3</v>
      </c>
      <c r="K63" s="2"/>
      <c r="L63" s="7">
        <f t="shared" si="16"/>
        <v>1719.88</v>
      </c>
      <c r="M63" s="2"/>
      <c r="N63" s="6">
        <f t="shared" si="17"/>
        <v>1.6145924277841928</v>
      </c>
      <c r="O63" s="11"/>
      <c r="P63" s="7">
        <v>2785.09</v>
      </c>
      <c r="Q63" s="2"/>
      <c r="R63" s="6">
        <f t="shared" si="18"/>
        <v>1.1998114310634108E-2</v>
      </c>
      <c r="S63" s="2"/>
      <c r="T63" s="7">
        <v>1065.21</v>
      </c>
      <c r="U63" s="2"/>
      <c r="V63" s="6">
        <f t="shared" si="19"/>
        <v>5.0537753273512849E-3</v>
      </c>
      <c r="W63" s="2"/>
      <c r="X63" s="7">
        <f t="shared" si="20"/>
        <v>1719.88</v>
      </c>
      <c r="Y63" s="2"/>
      <c r="Z63" s="6">
        <f t="shared" si="21"/>
        <v>1.6145924277841928</v>
      </c>
    </row>
    <row r="64" spans="1:26" s="24" customFormat="1" hidden="1" outlineLevel="2" x14ac:dyDescent="0.25">
      <c r="A64" s="29"/>
      <c r="B64" s="11" t="str">
        <f>CONCATENATE("          ", "6114", " - ", "STATE UNEMPLOYMENT INSURANCE")</f>
        <v xml:space="preserve">          6114 - STATE UNEMPLOYMENT INSURANCE</v>
      </c>
      <c r="C64" s="11"/>
      <c r="D64" s="7">
        <v>74.61</v>
      </c>
      <c r="E64" s="2"/>
      <c r="F64" s="6">
        <f t="shared" si="14"/>
        <v>3.2141844921220163E-4</v>
      </c>
      <c r="G64" s="2"/>
      <c r="H64" s="7">
        <v>109.25</v>
      </c>
      <c r="I64" s="2"/>
      <c r="J64" s="6">
        <f t="shared" si="15"/>
        <v>5.1832498241016127E-4</v>
      </c>
      <c r="K64" s="2"/>
      <c r="L64" s="7">
        <f t="shared" si="16"/>
        <v>-34.64</v>
      </c>
      <c r="M64" s="2"/>
      <c r="N64" s="6">
        <f t="shared" si="17"/>
        <v>-0.31707093821510296</v>
      </c>
      <c r="O64" s="11"/>
      <c r="P64" s="7">
        <v>74.61</v>
      </c>
      <c r="Q64" s="2"/>
      <c r="R64" s="6">
        <f t="shared" si="18"/>
        <v>3.2141844921220163E-4</v>
      </c>
      <c r="S64" s="2"/>
      <c r="T64" s="7">
        <v>109.25</v>
      </c>
      <c r="U64" s="2"/>
      <c r="V64" s="6">
        <f t="shared" si="19"/>
        <v>5.1832498241016127E-4</v>
      </c>
      <c r="W64" s="2"/>
      <c r="X64" s="7">
        <f t="shared" si="20"/>
        <v>-34.64</v>
      </c>
      <c r="Y64" s="2"/>
      <c r="Z64" s="6">
        <f t="shared" si="21"/>
        <v>-0.31707093821510296</v>
      </c>
    </row>
    <row r="65" spans="1:26" s="24" customFormat="1" hidden="1" outlineLevel="2" x14ac:dyDescent="0.25">
      <c r="A65" s="29"/>
      <c r="B65" s="11" t="str">
        <f>CONCATENATE("          ", "6115", " - ", "P.E.R.S.")</f>
        <v xml:space="preserve">          6115 - P.E.R.S.</v>
      </c>
      <c r="C65" s="11"/>
      <c r="D65" s="7">
        <v>825.93</v>
      </c>
      <c r="E65" s="2"/>
      <c r="F65" s="6">
        <f t="shared" si="14"/>
        <v>3.5580906012308497E-3</v>
      </c>
      <c r="G65" s="2"/>
      <c r="H65" s="7">
        <v>1221.49</v>
      </c>
      <c r="I65" s="2"/>
      <c r="J65" s="6">
        <f t="shared" si="15"/>
        <v>5.7952291328529785E-3</v>
      </c>
      <c r="K65" s="2"/>
      <c r="L65" s="7">
        <f t="shared" si="16"/>
        <v>-395.56000000000006</v>
      </c>
      <c r="M65" s="2"/>
      <c r="N65" s="6">
        <f t="shared" si="17"/>
        <v>-0.32383400600905454</v>
      </c>
      <c r="O65" s="11"/>
      <c r="P65" s="7">
        <v>825.93</v>
      </c>
      <c r="Q65" s="2"/>
      <c r="R65" s="6">
        <f t="shared" si="18"/>
        <v>3.5580906012308497E-3</v>
      </c>
      <c r="S65" s="2"/>
      <c r="T65" s="7">
        <v>1221.49</v>
      </c>
      <c r="U65" s="2"/>
      <c r="V65" s="6">
        <f t="shared" si="19"/>
        <v>5.7952291328529785E-3</v>
      </c>
      <c r="W65" s="2"/>
      <c r="X65" s="7">
        <f t="shared" si="20"/>
        <v>-395.56000000000006</v>
      </c>
      <c r="Y65" s="2"/>
      <c r="Z65" s="6">
        <f t="shared" si="21"/>
        <v>-0.32383400600905454</v>
      </c>
    </row>
    <row r="66" spans="1:26" s="24" customFormat="1" hidden="1" outlineLevel="2" x14ac:dyDescent="0.25">
      <c r="A66" s="29"/>
      <c r="B66" s="11" t="str">
        <f>CONCATENATE("          ", "6118", " - ", "VACATION")</f>
        <v xml:space="preserve">          6118 - VACATION</v>
      </c>
      <c r="C66" s="11"/>
      <c r="D66" s="7">
        <v>1153.1600000000001</v>
      </c>
      <c r="E66" s="2"/>
      <c r="F66" s="6">
        <f t="shared" si="14"/>
        <v>4.9677911659769805E-3</v>
      </c>
      <c r="G66" s="2"/>
      <c r="H66" s="7">
        <v>1960.51</v>
      </c>
      <c r="I66" s="2"/>
      <c r="J66" s="6">
        <f t="shared" si="15"/>
        <v>9.3014307667271881E-3</v>
      </c>
      <c r="K66" s="2"/>
      <c r="L66" s="7">
        <f t="shared" si="16"/>
        <v>-807.34999999999991</v>
      </c>
      <c r="M66" s="2"/>
      <c r="N66" s="6">
        <f t="shared" si="17"/>
        <v>-0.41180611167502329</v>
      </c>
      <c r="O66" s="11"/>
      <c r="P66" s="7">
        <v>1153.1600000000001</v>
      </c>
      <c r="Q66" s="2"/>
      <c r="R66" s="6">
        <f t="shared" si="18"/>
        <v>4.9677911659769805E-3</v>
      </c>
      <c r="S66" s="2"/>
      <c r="T66" s="7">
        <v>1960.51</v>
      </c>
      <c r="U66" s="2"/>
      <c r="V66" s="6">
        <f t="shared" si="19"/>
        <v>9.3014307667271881E-3</v>
      </c>
      <c r="W66" s="2"/>
      <c r="X66" s="7">
        <f t="shared" si="20"/>
        <v>-807.34999999999991</v>
      </c>
      <c r="Y66" s="2"/>
      <c r="Z66" s="6">
        <f t="shared" si="21"/>
        <v>-0.41180611167502329</v>
      </c>
    </row>
    <row r="67" spans="1:26" s="24" customFormat="1" hidden="1" outlineLevel="2" x14ac:dyDescent="0.25">
      <c r="A67" s="29"/>
      <c r="B67" s="11" t="str">
        <f>CONCATENATE("          ", "6119", " - ", "SICK LEAVE")</f>
        <v xml:space="preserve">          6119 - SICK LEAVE</v>
      </c>
      <c r="C67" s="11"/>
      <c r="D67" s="7">
        <v>2188.37</v>
      </c>
      <c r="E67" s="2"/>
      <c r="F67" s="6">
        <f t="shared" si="14"/>
        <v>9.4274559938681904E-3</v>
      </c>
      <c r="G67" s="2"/>
      <c r="H67" s="7">
        <v>2223.66</v>
      </c>
      <c r="I67" s="2"/>
      <c r="J67" s="6">
        <f t="shared" si="15"/>
        <v>1.0549917898271663E-2</v>
      </c>
      <c r="K67" s="2"/>
      <c r="L67" s="7">
        <f t="shared" si="16"/>
        <v>-35.289999999999964</v>
      </c>
      <c r="M67" s="2"/>
      <c r="N67" s="6">
        <f t="shared" si="17"/>
        <v>-1.5870231959921915E-2</v>
      </c>
      <c r="O67" s="11"/>
      <c r="P67" s="7">
        <v>2188.37</v>
      </c>
      <c r="Q67" s="2"/>
      <c r="R67" s="6">
        <f t="shared" si="18"/>
        <v>9.4274559938681904E-3</v>
      </c>
      <c r="S67" s="2"/>
      <c r="T67" s="7">
        <v>2223.66</v>
      </c>
      <c r="U67" s="2"/>
      <c r="V67" s="6">
        <f t="shared" si="19"/>
        <v>1.0549917898271663E-2</v>
      </c>
      <c r="W67" s="2"/>
      <c r="X67" s="7">
        <f t="shared" si="20"/>
        <v>-35.289999999999964</v>
      </c>
      <c r="Y67" s="2"/>
      <c r="Z67" s="6">
        <f t="shared" si="21"/>
        <v>-1.5870231959921915E-2</v>
      </c>
    </row>
    <row r="68" spans="1:26" s="24" customFormat="1" hidden="1" outlineLevel="2" x14ac:dyDescent="0.25">
      <c r="A68" s="29"/>
      <c r="B68" s="11" t="str">
        <f>CONCATENATE("          ", "6156", " - ", "EMPLOYEE MEALS")</f>
        <v xml:space="preserve">          6156 - EMPLOYEE MEALS</v>
      </c>
      <c r="C68" s="11"/>
      <c r="D68" s="7">
        <v>148.1</v>
      </c>
      <c r="E68" s="2"/>
      <c r="F68" s="6">
        <f t="shared" si="14"/>
        <v>6.380119599025206E-4</v>
      </c>
      <c r="G68" s="2"/>
      <c r="H68" s="7">
        <v>266.36</v>
      </c>
      <c r="I68" s="2"/>
      <c r="J68" s="6">
        <f t="shared" si="15"/>
        <v>1.2637166344601424E-3</v>
      </c>
      <c r="K68" s="2"/>
      <c r="L68" s="7">
        <f t="shared" si="16"/>
        <v>-118.26000000000002</v>
      </c>
      <c r="M68" s="2"/>
      <c r="N68" s="6">
        <f t="shared" si="17"/>
        <v>-0.44398558342093414</v>
      </c>
      <c r="O68" s="11"/>
      <c r="P68" s="7">
        <v>148.1</v>
      </c>
      <c r="Q68" s="2"/>
      <c r="R68" s="6">
        <f t="shared" si="18"/>
        <v>6.380119599025206E-4</v>
      </c>
      <c r="S68" s="2"/>
      <c r="T68" s="7">
        <v>266.36</v>
      </c>
      <c r="U68" s="2"/>
      <c r="V68" s="6">
        <f t="shared" si="19"/>
        <v>1.2637166344601424E-3</v>
      </c>
      <c r="W68" s="2"/>
      <c r="X68" s="7">
        <f t="shared" si="20"/>
        <v>-118.26000000000002</v>
      </c>
      <c r="Y68" s="2"/>
      <c r="Z68" s="6">
        <f t="shared" si="21"/>
        <v>-0.44398558342093414</v>
      </c>
    </row>
    <row r="69" spans="1:26" s="28" customFormat="1" outlineLevel="1" collapsed="1" x14ac:dyDescent="0.25">
      <c r="A69" s="27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SUM(OSRRefD22_1x_0)</f>
        <v>35206.46</v>
      </c>
      <c r="E69" s="1"/>
      <c r="F69" s="5">
        <f t="shared" ref="F69:F73" si="22">IF(D$12=0,0,D69/D$12)</f>
        <v>0.15166875452957257</v>
      </c>
      <c r="G69" s="1"/>
      <c r="H69" s="1">
        <f>SUM(OSRRefH22_1x_0)</f>
        <v>34375.43</v>
      </c>
      <c r="I69" s="1"/>
      <c r="J69" s="5">
        <f t="shared" ref="J69:J73" si="23">IF(H$12=0,0,H69/H$12)</f>
        <v>0.16309056430289914</v>
      </c>
      <c r="K69" s="1"/>
      <c r="L69" s="1">
        <f t="shared" ref="L69:L73" si="24">+D69-H69</f>
        <v>831.02999999999884</v>
      </c>
      <c r="M69" s="1"/>
      <c r="N69" s="5">
        <f t="shared" ref="N69:N73" si="25">IF(H69=0,0,L69/H69)</f>
        <v>2.4175115773097205E-2</v>
      </c>
      <c r="O69" s="14"/>
      <c r="P69" s="1">
        <f>SUM(OSRRefP22_1x_0)</f>
        <v>35206.46</v>
      </c>
      <c r="Q69" s="1"/>
      <c r="R69" s="5">
        <f t="shared" ref="R69:R73" si="26">IF(P$12=0,0,P69/P$12)</f>
        <v>0.15166875452957257</v>
      </c>
      <c r="S69" s="1"/>
      <c r="T69" s="1">
        <f>SUM(OSRRefT22_1x_0)</f>
        <v>34375.43</v>
      </c>
      <c r="U69" s="1"/>
      <c r="V69" s="5">
        <f t="shared" ref="V69:V73" si="27">IF(T$12=0,0,T69/T$12)</f>
        <v>0.16309056430289914</v>
      </c>
      <c r="W69" s="1"/>
      <c r="X69" s="1">
        <f t="shared" ref="X69:X73" si="28">+P69-T69</f>
        <v>831.02999999999884</v>
      </c>
      <c r="Y69" s="1"/>
      <c r="Z69" s="5">
        <f t="shared" ref="Z69:Z73" si="29">IF(T69=0,0,X69/T69)</f>
        <v>2.4175115773097205E-2</v>
      </c>
    </row>
    <row r="70" spans="1:26" s="24" customFormat="1" hidden="1" outlineLevel="2" x14ac:dyDescent="0.25">
      <c r="A70" s="29"/>
      <c r="B70" s="11" t="str">
        <f>CONCATENATE("          ", "6002", " - ", "STAFF SALARIES")</f>
        <v xml:space="preserve">          6002 - STAFF SALARIES</v>
      </c>
      <c r="C70" s="11"/>
      <c r="D70" s="7">
        <v>8274.8799999999992</v>
      </c>
      <c r="E70" s="2"/>
      <c r="F70" s="6">
        <f t="shared" si="22"/>
        <v>3.5648024353532544E-2</v>
      </c>
      <c r="G70" s="2"/>
      <c r="H70" s="7">
        <v>10681.57</v>
      </c>
      <c r="I70" s="2"/>
      <c r="J70" s="6">
        <f t="shared" si="23"/>
        <v>5.0677570547944223E-2</v>
      </c>
      <c r="K70" s="2"/>
      <c r="L70" s="7">
        <f t="shared" si="24"/>
        <v>-2406.6900000000005</v>
      </c>
      <c r="M70" s="2"/>
      <c r="N70" s="6">
        <f t="shared" si="25"/>
        <v>-0.22531238385368449</v>
      </c>
      <c r="O70" s="11"/>
      <c r="P70" s="7">
        <v>8274.8799999999992</v>
      </c>
      <c r="Q70" s="2"/>
      <c r="R70" s="6">
        <f t="shared" si="26"/>
        <v>3.5648024353532544E-2</v>
      </c>
      <c r="S70" s="2"/>
      <c r="T70" s="7">
        <v>10681.57</v>
      </c>
      <c r="U70" s="2"/>
      <c r="V70" s="6">
        <f t="shared" si="27"/>
        <v>5.0677570547944223E-2</v>
      </c>
      <c r="W70" s="2"/>
      <c r="X70" s="7">
        <f t="shared" si="28"/>
        <v>-2406.6900000000005</v>
      </c>
      <c r="Y70" s="2"/>
      <c r="Z70" s="6">
        <f t="shared" si="29"/>
        <v>-0.22531238385368449</v>
      </c>
    </row>
    <row r="71" spans="1:26" s="24" customFormat="1" hidden="1" outlineLevel="2" x14ac:dyDescent="0.25">
      <c r="A71" s="29"/>
      <c r="B71" s="11" t="str">
        <f>CONCATENATE("          ", "6005", " - ", "TEMPORARY WAGES-HOURLY")</f>
        <v xml:space="preserve">          6005 - TEMPORARY WAGES-HOURLY</v>
      </c>
      <c r="C71" s="11"/>
      <c r="D71" s="7">
        <v>4525.72</v>
      </c>
      <c r="E71" s="2"/>
      <c r="F71" s="6">
        <f t="shared" si="22"/>
        <v>1.9496714970763242E-2</v>
      </c>
      <c r="G71" s="2"/>
      <c r="H71" s="7">
        <v>3351.89</v>
      </c>
      <c r="I71" s="2"/>
      <c r="J71" s="6">
        <f t="shared" si="23"/>
        <v>1.5902684899686916E-2</v>
      </c>
      <c r="K71" s="2"/>
      <c r="L71" s="7">
        <f t="shared" si="24"/>
        <v>1173.8300000000004</v>
      </c>
      <c r="M71" s="2"/>
      <c r="N71" s="6">
        <f t="shared" si="25"/>
        <v>0.35019943971908396</v>
      </c>
      <c r="O71" s="11"/>
      <c r="P71" s="7">
        <v>4525.72</v>
      </c>
      <c r="Q71" s="2"/>
      <c r="R71" s="6">
        <f t="shared" si="26"/>
        <v>1.9496714970763242E-2</v>
      </c>
      <c r="S71" s="2"/>
      <c r="T71" s="7">
        <v>3351.89</v>
      </c>
      <c r="U71" s="2"/>
      <c r="V71" s="6">
        <f t="shared" si="27"/>
        <v>1.5902684899686916E-2</v>
      </c>
      <c r="W71" s="2"/>
      <c r="X71" s="7">
        <f t="shared" si="28"/>
        <v>1173.8300000000004</v>
      </c>
      <c r="Y71" s="2"/>
      <c r="Z71" s="6">
        <f t="shared" si="29"/>
        <v>0.35019943971908396</v>
      </c>
    </row>
    <row r="72" spans="1:26" s="24" customFormat="1" hidden="1" outlineLevel="2" x14ac:dyDescent="0.25">
      <c r="A72" s="29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2"/>
        <v>0</v>
      </c>
      <c r="G72" s="2"/>
      <c r="H72" s="7">
        <v>3506.77</v>
      </c>
      <c r="I72" s="2"/>
      <c r="J72" s="6">
        <f t="shared" si="23"/>
        <v>1.6637496554384266E-2</v>
      </c>
      <c r="K72" s="2"/>
      <c r="L72" s="7">
        <f t="shared" si="24"/>
        <v>-3506.77</v>
      </c>
      <c r="M72" s="2"/>
      <c r="N72" s="6">
        <f t="shared" si="25"/>
        <v>-1</v>
      </c>
      <c r="O72" s="11"/>
      <c r="P72" s="7"/>
      <c r="Q72" s="2"/>
      <c r="R72" s="6">
        <f t="shared" si="26"/>
        <v>0</v>
      </c>
      <c r="S72" s="2"/>
      <c r="T72" s="7">
        <v>3506.77</v>
      </c>
      <c r="U72" s="2"/>
      <c r="V72" s="6">
        <f t="shared" si="27"/>
        <v>1.6637496554384266E-2</v>
      </c>
      <c r="W72" s="2"/>
      <c r="X72" s="7">
        <f t="shared" si="28"/>
        <v>-3506.77</v>
      </c>
      <c r="Y72" s="2"/>
      <c r="Z72" s="6">
        <f t="shared" si="29"/>
        <v>-1</v>
      </c>
    </row>
    <row r="73" spans="1:26" s="24" customFormat="1" hidden="1" outlineLevel="2" x14ac:dyDescent="0.25">
      <c r="A73" s="29"/>
      <c r="B73" s="11" t="str">
        <f>CONCATENATE("          ", "6007", " - ", "STUDENT HOURLY")</f>
        <v xml:space="preserve">          6007 - STUDENT HOURLY</v>
      </c>
      <c r="C73" s="11"/>
      <c r="D73" s="7">
        <v>22405.86</v>
      </c>
      <c r="E73" s="2"/>
      <c r="F73" s="6">
        <f t="shared" si="22"/>
        <v>9.6524015205276786E-2</v>
      </c>
      <c r="G73" s="2"/>
      <c r="H73" s="7">
        <v>16835.2</v>
      </c>
      <c r="I73" s="2"/>
      <c r="J73" s="6">
        <f t="shared" si="23"/>
        <v>7.9872812300883722E-2</v>
      </c>
      <c r="K73" s="2"/>
      <c r="L73" s="7">
        <f t="shared" si="24"/>
        <v>5570.66</v>
      </c>
      <c r="M73" s="2"/>
      <c r="N73" s="6">
        <f t="shared" si="25"/>
        <v>0.33089360387758981</v>
      </c>
      <c r="O73" s="11"/>
      <c r="P73" s="7">
        <v>22405.86</v>
      </c>
      <c r="Q73" s="2"/>
      <c r="R73" s="6">
        <f t="shared" si="26"/>
        <v>9.6524015205276786E-2</v>
      </c>
      <c r="S73" s="2"/>
      <c r="T73" s="7">
        <v>16835.2</v>
      </c>
      <c r="U73" s="2"/>
      <c r="V73" s="6">
        <f t="shared" si="27"/>
        <v>7.9872812300883722E-2</v>
      </c>
      <c r="W73" s="2"/>
      <c r="X73" s="7">
        <f t="shared" si="28"/>
        <v>5570.66</v>
      </c>
      <c r="Y73" s="2"/>
      <c r="Z73" s="6">
        <f t="shared" si="29"/>
        <v>0.33089360387758981</v>
      </c>
    </row>
    <row r="74" spans="1:26" s="28" customFormat="1" outlineLevel="1" collapsed="1" x14ac:dyDescent="0.25">
      <c r="A74" s="27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SUM(OSRRefD22_2x_0)</f>
        <v>192</v>
      </c>
      <c r="E74" s="1"/>
      <c r="F74" s="5">
        <f t="shared" ref="F74:F98" si="30">IF(D$12=0,0,D74/D$12)</f>
        <v>8.2713231803702885E-4</v>
      </c>
      <c r="G74" s="1"/>
      <c r="H74" s="1">
        <f>SUM(OSRRefH22_2x_0)</f>
        <v>817.17</v>
      </c>
      <c r="I74" s="1"/>
      <c r="J74" s="5">
        <f t="shared" ref="J74:J98" si="31">IF(H$12=0,0,H74/H$12)</f>
        <v>3.8769759805593728E-3</v>
      </c>
      <c r="K74" s="1"/>
      <c r="L74" s="1">
        <f t="shared" ref="L74:L98" si="32">+D74-H74</f>
        <v>-625.16999999999996</v>
      </c>
      <c r="M74" s="1"/>
      <c r="N74" s="5">
        <f t="shared" ref="N74:N98" si="33">IF(H74=0,0,L74/H74)</f>
        <v>-0.76504276955835382</v>
      </c>
      <c r="O74" s="14"/>
      <c r="P74" s="1">
        <f>SUM(OSRRefP22_2x_0)</f>
        <v>192</v>
      </c>
      <c r="Q74" s="1"/>
      <c r="R74" s="5">
        <f t="shared" ref="R74:R98" si="34">IF(P$12=0,0,P74/P$12)</f>
        <v>8.2713231803702885E-4</v>
      </c>
      <c r="S74" s="1"/>
      <c r="T74" s="1">
        <f>SUM(OSRRefT22_2x_0)</f>
        <v>817.17</v>
      </c>
      <c r="U74" s="1"/>
      <c r="V74" s="5">
        <f t="shared" ref="V74:V98" si="35">IF(T$12=0,0,T74/T$12)</f>
        <v>3.8769759805593728E-3</v>
      </c>
      <c r="W74" s="1"/>
      <c r="X74" s="1">
        <f t="shared" ref="X74:X98" si="36">+P74-T74</f>
        <v>-625.16999999999996</v>
      </c>
      <c r="Y74" s="1"/>
      <c r="Z74" s="5">
        <f t="shared" ref="Z74:Z98" si="37">IF(T74=0,0,X74/T74)</f>
        <v>-0.76504276955835382</v>
      </c>
    </row>
    <row r="75" spans="1:26" s="24" customFormat="1" hidden="1" outlineLevel="2" x14ac:dyDescent="0.25">
      <c r="A75" s="29"/>
      <c r="B75" s="11" t="str">
        <f>CONCATENATE("          ", "6362", " - ", "ADVERTISING EXPENSE")</f>
        <v xml:space="preserve">          6362 - ADVERTISING EXPENSE</v>
      </c>
      <c r="C75" s="11"/>
      <c r="D75" s="7">
        <v>192</v>
      </c>
      <c r="E75" s="2"/>
      <c r="F75" s="6">
        <f t="shared" si="30"/>
        <v>8.2713231803702885E-4</v>
      </c>
      <c r="G75" s="2"/>
      <c r="H75" s="7">
        <v>817.17</v>
      </c>
      <c r="I75" s="2"/>
      <c r="J75" s="6">
        <f t="shared" si="31"/>
        <v>3.8769759805593728E-3</v>
      </c>
      <c r="K75" s="2"/>
      <c r="L75" s="7">
        <f t="shared" si="32"/>
        <v>-625.16999999999996</v>
      </c>
      <c r="M75" s="2"/>
      <c r="N75" s="6">
        <f t="shared" si="33"/>
        <v>-0.76504276955835382</v>
      </c>
      <c r="O75" s="11"/>
      <c r="P75" s="7">
        <v>192</v>
      </c>
      <c r="Q75" s="2"/>
      <c r="R75" s="6">
        <f t="shared" si="34"/>
        <v>8.2713231803702885E-4</v>
      </c>
      <c r="S75" s="2"/>
      <c r="T75" s="7">
        <v>817.17</v>
      </c>
      <c r="U75" s="2"/>
      <c r="V75" s="6">
        <f t="shared" si="35"/>
        <v>3.8769759805593728E-3</v>
      </c>
      <c r="W75" s="2"/>
      <c r="X75" s="7">
        <f t="shared" si="36"/>
        <v>-625.16999999999996</v>
      </c>
      <c r="Y75" s="2"/>
      <c r="Z75" s="6">
        <f t="shared" si="37"/>
        <v>-0.76504276955835382</v>
      </c>
    </row>
    <row r="76" spans="1:26" s="28" customFormat="1" outlineLevel="1" collapsed="1" x14ac:dyDescent="0.25">
      <c r="A76" s="27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SUM(OSRRefD22_3x_0)</f>
        <v>-6.13</v>
      </c>
      <c r="E76" s="1"/>
      <c r="F76" s="5">
        <f t="shared" si="30"/>
        <v>-2.640792244566139E-5</v>
      </c>
      <c r="G76" s="1"/>
      <c r="H76" s="1">
        <f>SUM(OSRRefH22_3x_0)</f>
        <v>1.02</v>
      </c>
      <c r="I76" s="1"/>
      <c r="J76" s="5">
        <f t="shared" si="31"/>
        <v>4.8392813003053959E-6</v>
      </c>
      <c r="K76" s="1"/>
      <c r="L76" s="1">
        <f t="shared" si="32"/>
        <v>-7.15</v>
      </c>
      <c r="M76" s="1"/>
      <c r="N76" s="5">
        <f t="shared" si="33"/>
        <v>-7.0098039215686274</v>
      </c>
      <c r="O76" s="14"/>
      <c r="P76" s="1">
        <f>SUM(OSRRefP22_3x_0)</f>
        <v>-6.13</v>
      </c>
      <c r="Q76" s="1"/>
      <c r="R76" s="5">
        <f t="shared" si="34"/>
        <v>-2.640792244566139E-5</v>
      </c>
      <c r="S76" s="1"/>
      <c r="T76" s="1">
        <f>SUM(OSRRefT22_3x_0)</f>
        <v>1.02</v>
      </c>
      <c r="U76" s="1"/>
      <c r="V76" s="5">
        <f t="shared" si="35"/>
        <v>4.8392813003053959E-6</v>
      </c>
      <c r="W76" s="1"/>
      <c r="X76" s="1">
        <f t="shared" si="36"/>
        <v>-7.15</v>
      </c>
      <c r="Y76" s="1"/>
      <c r="Z76" s="5">
        <f t="shared" si="37"/>
        <v>-7.0098039215686274</v>
      </c>
    </row>
    <row r="77" spans="1:26" s="24" customFormat="1" hidden="1" outlineLevel="2" x14ac:dyDescent="0.25">
      <c r="A77" s="29"/>
      <c r="B77" s="11" t="str">
        <f>CONCATENATE("          ", "6272", " - ", "CASH (OVER/SHORT)")</f>
        <v xml:space="preserve">          6272 - CASH (OVER/SHORT)</v>
      </c>
      <c r="C77" s="11"/>
      <c r="D77" s="7">
        <v>-6.13</v>
      </c>
      <c r="E77" s="2"/>
      <c r="F77" s="6">
        <f t="shared" si="30"/>
        <v>-2.640792244566139E-5</v>
      </c>
      <c r="G77" s="2"/>
      <c r="H77" s="7">
        <v>1.02</v>
      </c>
      <c r="I77" s="2"/>
      <c r="J77" s="6">
        <f t="shared" si="31"/>
        <v>4.8392813003053959E-6</v>
      </c>
      <c r="K77" s="2"/>
      <c r="L77" s="7">
        <f t="shared" si="32"/>
        <v>-7.15</v>
      </c>
      <c r="M77" s="2"/>
      <c r="N77" s="6">
        <f t="shared" si="33"/>
        <v>-7.0098039215686274</v>
      </c>
      <c r="O77" s="11"/>
      <c r="P77" s="7">
        <v>-6.13</v>
      </c>
      <c r="Q77" s="2"/>
      <c r="R77" s="6">
        <f t="shared" si="34"/>
        <v>-2.640792244566139E-5</v>
      </c>
      <c r="S77" s="2"/>
      <c r="T77" s="7">
        <v>1.02</v>
      </c>
      <c r="U77" s="2"/>
      <c r="V77" s="6">
        <f t="shared" si="35"/>
        <v>4.8392813003053959E-6</v>
      </c>
      <c r="W77" s="2"/>
      <c r="X77" s="7">
        <f t="shared" si="36"/>
        <v>-7.15</v>
      </c>
      <c r="Y77" s="2"/>
      <c r="Z77" s="6">
        <f t="shared" si="37"/>
        <v>-7.0098039215686274</v>
      </c>
    </row>
    <row r="78" spans="1:26" s="28" customFormat="1" outlineLevel="1" collapsed="1" x14ac:dyDescent="0.25">
      <c r="A78" s="27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SUM(OSRRefD22_4x_0)</f>
        <v>677.71</v>
      </c>
      <c r="E78" s="1"/>
      <c r="F78" s="5">
        <f t="shared" si="30"/>
        <v>2.9195616836295564E-3</v>
      </c>
      <c r="G78" s="1"/>
      <c r="H78" s="1">
        <f>SUM(OSRRefH22_4x_0)</f>
        <v>1878.72</v>
      </c>
      <c r="I78" s="1"/>
      <c r="J78" s="5">
        <f t="shared" si="31"/>
        <v>8.9133868279507381E-3</v>
      </c>
      <c r="K78" s="1"/>
      <c r="L78" s="1">
        <f t="shared" si="32"/>
        <v>-1201.01</v>
      </c>
      <c r="M78" s="1"/>
      <c r="N78" s="5">
        <f t="shared" si="33"/>
        <v>-0.63927035428376766</v>
      </c>
      <c r="O78" s="14"/>
      <c r="P78" s="1">
        <f>SUM(OSRRefP22_4x_0)</f>
        <v>677.71</v>
      </c>
      <c r="Q78" s="1"/>
      <c r="R78" s="5">
        <f t="shared" si="34"/>
        <v>2.9195616836295564E-3</v>
      </c>
      <c r="S78" s="1"/>
      <c r="T78" s="1">
        <f>SUM(OSRRefT22_4x_0)</f>
        <v>1878.72</v>
      </c>
      <c r="U78" s="1"/>
      <c r="V78" s="5">
        <f t="shared" si="35"/>
        <v>8.9133868279507381E-3</v>
      </c>
      <c r="W78" s="1"/>
      <c r="X78" s="1">
        <f t="shared" si="36"/>
        <v>-1201.01</v>
      </c>
      <c r="Y78" s="1"/>
      <c r="Z78" s="5">
        <f t="shared" si="37"/>
        <v>-0.63927035428376766</v>
      </c>
    </row>
    <row r="79" spans="1:26" s="24" customFormat="1" hidden="1" outlineLevel="2" x14ac:dyDescent="0.25">
      <c r="A79" s="29"/>
      <c r="B79" s="11" t="str">
        <f>CONCATENATE("          ", "6381", " - ", "BANK/CREDIT CARD FEES")</f>
        <v xml:space="preserve">          6381 - BANK/CREDIT CARD FEES</v>
      </c>
      <c r="C79" s="11"/>
      <c r="D79" s="7">
        <v>677.71</v>
      </c>
      <c r="E79" s="2"/>
      <c r="F79" s="6">
        <f t="shared" si="30"/>
        <v>2.9195616836295564E-3</v>
      </c>
      <c r="G79" s="2"/>
      <c r="H79" s="7">
        <v>1878.72</v>
      </c>
      <c r="I79" s="2"/>
      <c r="J79" s="6">
        <f t="shared" si="31"/>
        <v>8.9133868279507381E-3</v>
      </c>
      <c r="K79" s="2"/>
      <c r="L79" s="7">
        <f t="shared" si="32"/>
        <v>-1201.01</v>
      </c>
      <c r="M79" s="2"/>
      <c r="N79" s="6">
        <f t="shared" si="33"/>
        <v>-0.63927035428376766</v>
      </c>
      <c r="O79" s="11"/>
      <c r="P79" s="7">
        <v>677.71</v>
      </c>
      <c r="Q79" s="2"/>
      <c r="R79" s="6">
        <f t="shared" si="34"/>
        <v>2.9195616836295564E-3</v>
      </c>
      <c r="S79" s="2"/>
      <c r="T79" s="7">
        <v>1878.72</v>
      </c>
      <c r="U79" s="2"/>
      <c r="V79" s="6">
        <f t="shared" si="35"/>
        <v>8.9133868279507381E-3</v>
      </c>
      <c r="W79" s="2"/>
      <c r="X79" s="7">
        <f t="shared" si="36"/>
        <v>-1201.01</v>
      </c>
      <c r="Y79" s="2"/>
      <c r="Z79" s="6">
        <f t="shared" si="37"/>
        <v>-0.63927035428376766</v>
      </c>
    </row>
    <row r="80" spans="1:26" s="28" customFormat="1" outlineLevel="1" collapsed="1" x14ac:dyDescent="0.25">
      <c r="A80" s="27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SUM(OSRRefD22_5x_0)</f>
        <v>20017.78</v>
      </c>
      <c r="E80" s="1"/>
      <c r="F80" s="5">
        <f t="shared" si="30"/>
        <v>8.6236212361225389E-2</v>
      </c>
      <c r="G80" s="1"/>
      <c r="H80" s="1">
        <f>SUM(OSRRefH22_5x_0)</f>
        <v>15710.78</v>
      </c>
      <c r="I80" s="1"/>
      <c r="J80" s="5">
        <f t="shared" si="31"/>
        <v>7.4538121438443142E-2</v>
      </c>
      <c r="K80" s="1"/>
      <c r="L80" s="1">
        <f t="shared" si="32"/>
        <v>4306.9999999999982</v>
      </c>
      <c r="M80" s="1"/>
      <c r="N80" s="5">
        <f t="shared" si="33"/>
        <v>0.27414297698777512</v>
      </c>
      <c r="O80" s="14"/>
      <c r="P80" s="1">
        <f>SUM(OSRRefP22_5x_0)</f>
        <v>20017.78</v>
      </c>
      <c r="Q80" s="1"/>
      <c r="R80" s="5">
        <f t="shared" si="34"/>
        <v>8.6236212361225389E-2</v>
      </c>
      <c r="S80" s="1"/>
      <c r="T80" s="1">
        <f>SUM(OSRRefT22_5x_0)</f>
        <v>15710.78</v>
      </c>
      <c r="U80" s="1"/>
      <c r="V80" s="5">
        <f t="shared" si="35"/>
        <v>7.4538121438443142E-2</v>
      </c>
      <c r="W80" s="1"/>
      <c r="X80" s="1">
        <f t="shared" si="36"/>
        <v>4306.9999999999982</v>
      </c>
      <c r="Y80" s="1"/>
      <c r="Z80" s="5">
        <f t="shared" si="37"/>
        <v>0.27414297698777512</v>
      </c>
    </row>
    <row r="81" spans="1:26" s="24" customFormat="1" hidden="1" outlineLevel="2" x14ac:dyDescent="0.25">
      <c r="A81" s="29"/>
      <c r="B81" s="11" t="str">
        <f>CONCATENATE("          ", "6382", " - ", "DISCOUNTS/MARK DOWNS")</f>
        <v xml:space="preserve">          6382 - DISCOUNTS/MARK DOWNS</v>
      </c>
      <c r="C81" s="11"/>
      <c r="D81" s="7">
        <v>20017.78</v>
      </c>
      <c r="E81" s="2"/>
      <c r="F81" s="6">
        <f t="shared" si="30"/>
        <v>8.6236212361225389E-2</v>
      </c>
      <c r="G81" s="2"/>
      <c r="H81" s="7">
        <v>15710.78</v>
      </c>
      <c r="I81" s="2"/>
      <c r="J81" s="6">
        <f t="shared" si="31"/>
        <v>7.4538121438443142E-2</v>
      </c>
      <c r="K81" s="2"/>
      <c r="L81" s="7">
        <f t="shared" si="32"/>
        <v>4306.9999999999982</v>
      </c>
      <c r="M81" s="2"/>
      <c r="N81" s="6">
        <f t="shared" si="33"/>
        <v>0.27414297698777512</v>
      </c>
      <c r="O81" s="11"/>
      <c r="P81" s="7">
        <v>20017.78</v>
      </c>
      <c r="Q81" s="2"/>
      <c r="R81" s="6">
        <f t="shared" si="34"/>
        <v>8.6236212361225389E-2</v>
      </c>
      <c r="S81" s="2"/>
      <c r="T81" s="7">
        <v>15710.78</v>
      </c>
      <c r="U81" s="2"/>
      <c r="V81" s="6">
        <f t="shared" si="35"/>
        <v>7.4538121438443142E-2</v>
      </c>
      <c r="W81" s="2"/>
      <c r="X81" s="7">
        <f t="shared" si="36"/>
        <v>4306.9999999999982</v>
      </c>
      <c r="Y81" s="2"/>
      <c r="Z81" s="6">
        <f t="shared" si="37"/>
        <v>0.27414297698777512</v>
      </c>
    </row>
    <row r="82" spans="1:26" s="28" customFormat="1" outlineLevel="1" collapsed="1" x14ac:dyDescent="0.25">
      <c r="A82" s="27"/>
      <c r="B82" s="14" t="str">
        <f>CONCATENATE("     ","Donations                                         ")</f>
        <v xml:space="preserve">     Donations                                         </v>
      </c>
      <c r="C82" s="14"/>
      <c r="D82" s="1">
        <f>SUM(OSRRefD22_6x_0)</f>
        <v>0</v>
      </c>
      <c r="E82" s="1"/>
      <c r="F82" s="5">
        <f t="shared" si="30"/>
        <v>0</v>
      </c>
      <c r="G82" s="1"/>
      <c r="H82" s="1">
        <f>SUM(OSRRefH22_6x_0)</f>
        <v>100</v>
      </c>
      <c r="I82" s="1"/>
      <c r="J82" s="5">
        <f t="shared" si="31"/>
        <v>4.7443934316719567E-4</v>
      </c>
      <c r="K82" s="1"/>
      <c r="L82" s="1">
        <f t="shared" si="32"/>
        <v>-100</v>
      </c>
      <c r="M82" s="1"/>
      <c r="N82" s="5">
        <f t="shared" si="33"/>
        <v>-1</v>
      </c>
      <c r="O82" s="14"/>
      <c r="P82" s="1">
        <f>SUM(OSRRefP22_6x_0)</f>
        <v>0</v>
      </c>
      <c r="Q82" s="1"/>
      <c r="R82" s="5">
        <f t="shared" si="34"/>
        <v>0</v>
      </c>
      <c r="S82" s="1"/>
      <c r="T82" s="1">
        <f>SUM(OSRRefT22_6x_0)</f>
        <v>100</v>
      </c>
      <c r="U82" s="1"/>
      <c r="V82" s="5">
        <f t="shared" si="35"/>
        <v>4.7443934316719567E-4</v>
      </c>
      <c r="W82" s="1"/>
      <c r="X82" s="1">
        <f t="shared" si="36"/>
        <v>-100</v>
      </c>
      <c r="Y82" s="1"/>
      <c r="Z82" s="5">
        <f t="shared" si="37"/>
        <v>-1</v>
      </c>
    </row>
    <row r="83" spans="1:26" s="24" customFormat="1" hidden="1" outlineLevel="2" x14ac:dyDescent="0.25">
      <c r="A83" s="29"/>
      <c r="B83" s="11" t="str">
        <f>CONCATENATE("          ", "6399", " - ", "DONATION-ON CAMPUS")</f>
        <v xml:space="preserve">          6399 - DONATION-ON CAMPUS</v>
      </c>
      <c r="C83" s="11"/>
      <c r="D83" s="7"/>
      <c r="E83" s="2"/>
      <c r="F83" s="6">
        <f t="shared" si="30"/>
        <v>0</v>
      </c>
      <c r="G83" s="2"/>
      <c r="H83" s="7">
        <v>100</v>
      </c>
      <c r="I83" s="2"/>
      <c r="J83" s="6">
        <f t="shared" si="31"/>
        <v>4.7443934316719567E-4</v>
      </c>
      <c r="K83" s="2"/>
      <c r="L83" s="7">
        <f t="shared" si="32"/>
        <v>-100</v>
      </c>
      <c r="M83" s="2"/>
      <c r="N83" s="6">
        <f t="shared" si="33"/>
        <v>-1</v>
      </c>
      <c r="O83" s="11"/>
      <c r="P83" s="7"/>
      <c r="Q83" s="2"/>
      <c r="R83" s="6">
        <f t="shared" si="34"/>
        <v>0</v>
      </c>
      <c r="S83" s="2"/>
      <c r="T83" s="7">
        <v>100</v>
      </c>
      <c r="U83" s="2"/>
      <c r="V83" s="6">
        <f t="shared" si="35"/>
        <v>4.7443934316719567E-4</v>
      </c>
      <c r="W83" s="2"/>
      <c r="X83" s="7">
        <f t="shared" si="36"/>
        <v>-100</v>
      </c>
      <c r="Y83" s="2"/>
      <c r="Z83" s="6">
        <f t="shared" si="37"/>
        <v>-1</v>
      </c>
    </row>
    <row r="84" spans="1:26" s="28" customFormat="1" outlineLevel="1" collapsed="1" x14ac:dyDescent="0.25">
      <c r="A84" s="27"/>
      <c r="B84" s="14" t="str">
        <f>CONCATENATE("     ","Employees' Appreciation                           ")</f>
        <v xml:space="preserve">     Employees' Appreciation                           </v>
      </c>
      <c r="C84" s="14"/>
      <c r="D84" s="1">
        <f>SUM(OSRRefD22_7x_0)</f>
        <v>133.91</v>
      </c>
      <c r="E84" s="1"/>
      <c r="F84" s="5">
        <f t="shared" si="30"/>
        <v>5.7688171202259649E-4</v>
      </c>
      <c r="G84" s="1"/>
      <c r="H84" s="1">
        <f>SUM(OSRRefH22_7x_0)</f>
        <v>89.29</v>
      </c>
      <c r="I84" s="1"/>
      <c r="J84" s="5">
        <f t="shared" si="31"/>
        <v>4.2362688951398902E-4</v>
      </c>
      <c r="K84" s="1"/>
      <c r="L84" s="1">
        <f t="shared" si="32"/>
        <v>44.61999999999999</v>
      </c>
      <c r="M84" s="1"/>
      <c r="N84" s="5">
        <f t="shared" si="33"/>
        <v>0.49972001343935479</v>
      </c>
      <c r="O84" s="14"/>
      <c r="P84" s="1">
        <f>SUM(OSRRefP22_7x_0)</f>
        <v>133.91</v>
      </c>
      <c r="Q84" s="1"/>
      <c r="R84" s="5">
        <f t="shared" si="34"/>
        <v>5.7688171202259649E-4</v>
      </c>
      <c r="S84" s="1"/>
      <c r="T84" s="1">
        <f>SUM(OSRRefT22_7x_0)</f>
        <v>89.29</v>
      </c>
      <c r="U84" s="1"/>
      <c r="V84" s="5">
        <f t="shared" si="35"/>
        <v>4.2362688951398902E-4</v>
      </c>
      <c r="W84" s="1"/>
      <c r="X84" s="1">
        <f t="shared" si="36"/>
        <v>44.61999999999999</v>
      </c>
      <c r="Y84" s="1"/>
      <c r="Z84" s="5">
        <f t="shared" si="37"/>
        <v>0.49972001343935479</v>
      </c>
    </row>
    <row r="85" spans="1:26" s="24" customFormat="1" hidden="1" outlineLevel="2" x14ac:dyDescent="0.25">
      <c r="A85" s="29"/>
      <c r="B85" s="11" t="str">
        <f>CONCATENATE("          ", "6277", " - ", "EMPLOYEE APPRECIATION")</f>
        <v xml:space="preserve">          6277 - EMPLOYEE APPRECIATION</v>
      </c>
      <c r="C85" s="11"/>
      <c r="D85" s="7">
        <v>133.91</v>
      </c>
      <c r="E85" s="2"/>
      <c r="F85" s="6">
        <f t="shared" si="30"/>
        <v>5.7688171202259649E-4</v>
      </c>
      <c r="G85" s="2"/>
      <c r="H85" s="7">
        <v>89.29</v>
      </c>
      <c r="I85" s="2"/>
      <c r="J85" s="6">
        <f t="shared" si="31"/>
        <v>4.2362688951398902E-4</v>
      </c>
      <c r="K85" s="2"/>
      <c r="L85" s="7">
        <f t="shared" si="32"/>
        <v>44.61999999999999</v>
      </c>
      <c r="M85" s="2"/>
      <c r="N85" s="6">
        <f t="shared" si="33"/>
        <v>0.49972001343935479</v>
      </c>
      <c r="O85" s="11"/>
      <c r="P85" s="7">
        <v>133.91</v>
      </c>
      <c r="Q85" s="2"/>
      <c r="R85" s="6">
        <f t="shared" si="34"/>
        <v>5.7688171202259649E-4</v>
      </c>
      <c r="S85" s="2"/>
      <c r="T85" s="7">
        <v>89.29</v>
      </c>
      <c r="U85" s="2"/>
      <c r="V85" s="6">
        <f t="shared" si="35"/>
        <v>4.2362688951398902E-4</v>
      </c>
      <c r="W85" s="2"/>
      <c r="X85" s="7">
        <f t="shared" si="36"/>
        <v>44.61999999999999</v>
      </c>
      <c r="Y85" s="2"/>
      <c r="Z85" s="6">
        <f t="shared" si="37"/>
        <v>0.49972001343935479</v>
      </c>
    </row>
    <row r="86" spans="1:26" s="28" customFormat="1" outlineLevel="1" collapsed="1" x14ac:dyDescent="0.25">
      <c r="A86" s="27"/>
      <c r="B86" s="14" t="str">
        <f>CONCATENATE("     ","Insurance                                         ")</f>
        <v xml:space="preserve">     Insurance                                         </v>
      </c>
      <c r="C86" s="14"/>
      <c r="D86" s="1">
        <f>SUM(OSRRefD22_8x_0)</f>
        <v>161.18</v>
      </c>
      <c r="E86" s="1"/>
      <c r="F86" s="5">
        <f t="shared" si="30"/>
        <v>6.9436034906879328E-4</v>
      </c>
      <c r="G86" s="1"/>
      <c r="H86" s="1">
        <f>SUM(OSRRefH22_8x_0)</f>
        <v>151.85</v>
      </c>
      <c r="I86" s="1"/>
      <c r="J86" s="5">
        <f t="shared" si="31"/>
        <v>7.2043614259938659E-4</v>
      </c>
      <c r="K86" s="1"/>
      <c r="L86" s="1">
        <f t="shared" si="32"/>
        <v>9.3300000000000125</v>
      </c>
      <c r="M86" s="1"/>
      <c r="N86" s="5">
        <f t="shared" si="33"/>
        <v>6.1442212709911181E-2</v>
      </c>
      <c r="O86" s="14"/>
      <c r="P86" s="1">
        <f>SUM(OSRRefP22_8x_0)</f>
        <v>161.18</v>
      </c>
      <c r="Q86" s="1"/>
      <c r="R86" s="5">
        <f t="shared" si="34"/>
        <v>6.9436034906879328E-4</v>
      </c>
      <c r="S86" s="1"/>
      <c r="T86" s="1">
        <f>SUM(OSRRefT22_8x_0)</f>
        <v>151.85</v>
      </c>
      <c r="U86" s="1"/>
      <c r="V86" s="5">
        <f t="shared" si="35"/>
        <v>7.2043614259938659E-4</v>
      </c>
      <c r="W86" s="1"/>
      <c r="X86" s="1">
        <f t="shared" si="36"/>
        <v>9.3300000000000125</v>
      </c>
      <c r="Y86" s="1"/>
      <c r="Z86" s="5">
        <f t="shared" si="37"/>
        <v>6.1442212709911181E-2</v>
      </c>
    </row>
    <row r="87" spans="1:26" s="24" customFormat="1" hidden="1" outlineLevel="2" x14ac:dyDescent="0.25">
      <c r="A87" s="29"/>
      <c r="B87" s="11" t="str">
        <f>CONCATENATE("          ", "6314", " - ", "LIABILITY INSURANCE")</f>
        <v xml:space="preserve">          6314 - LIABILITY INSURANCE</v>
      </c>
      <c r="C87" s="11"/>
      <c r="D87" s="7">
        <v>161.18</v>
      </c>
      <c r="E87" s="2"/>
      <c r="F87" s="6">
        <f t="shared" si="30"/>
        <v>6.9436034906879328E-4</v>
      </c>
      <c r="G87" s="2"/>
      <c r="H87" s="7">
        <v>151.85</v>
      </c>
      <c r="I87" s="2"/>
      <c r="J87" s="6">
        <f t="shared" si="31"/>
        <v>7.2043614259938659E-4</v>
      </c>
      <c r="K87" s="2"/>
      <c r="L87" s="7">
        <f t="shared" si="32"/>
        <v>9.3300000000000125</v>
      </c>
      <c r="M87" s="2"/>
      <c r="N87" s="6">
        <f t="shared" si="33"/>
        <v>6.1442212709911181E-2</v>
      </c>
      <c r="O87" s="11"/>
      <c r="P87" s="7">
        <v>161.18</v>
      </c>
      <c r="Q87" s="2"/>
      <c r="R87" s="6">
        <f t="shared" si="34"/>
        <v>6.9436034906879328E-4</v>
      </c>
      <c r="S87" s="2"/>
      <c r="T87" s="7">
        <v>151.85</v>
      </c>
      <c r="U87" s="2"/>
      <c r="V87" s="6">
        <f t="shared" si="35"/>
        <v>7.2043614259938659E-4</v>
      </c>
      <c r="W87" s="2"/>
      <c r="X87" s="7">
        <f t="shared" si="36"/>
        <v>9.3300000000000125</v>
      </c>
      <c r="Y87" s="2"/>
      <c r="Z87" s="6">
        <f t="shared" si="37"/>
        <v>6.1442212709911181E-2</v>
      </c>
    </row>
    <row r="88" spans="1:26" s="28" customFormat="1" outlineLevel="1" collapsed="1" x14ac:dyDescent="0.25">
      <c r="A88" s="27"/>
      <c r="B88" s="14" t="str">
        <f>CONCATENATE("     ","Inventory Adjustment                              ")</f>
        <v xml:space="preserve">     Inventory Adjustment                              </v>
      </c>
      <c r="C88" s="14"/>
      <c r="D88" s="1">
        <f>SUM(OSRRefD22_9x_0)</f>
        <v>3150</v>
      </c>
      <c r="E88" s="1"/>
      <c r="F88" s="5">
        <f t="shared" si="30"/>
        <v>1.3570139592795004E-2</v>
      </c>
      <c r="G88" s="1"/>
      <c r="H88" s="1">
        <f>SUM(OSRRefH22_9x_0)</f>
        <v>1300</v>
      </c>
      <c r="I88" s="1"/>
      <c r="J88" s="5">
        <f t="shared" si="31"/>
        <v>6.167711461173544E-3</v>
      </c>
      <c r="K88" s="1"/>
      <c r="L88" s="1">
        <f t="shared" si="32"/>
        <v>1850</v>
      </c>
      <c r="M88" s="1"/>
      <c r="N88" s="5">
        <f t="shared" si="33"/>
        <v>1.4230769230769231</v>
      </c>
      <c r="O88" s="14"/>
      <c r="P88" s="1">
        <f>SUM(OSRRefP22_9x_0)</f>
        <v>3150</v>
      </c>
      <c r="Q88" s="1"/>
      <c r="R88" s="5">
        <f t="shared" si="34"/>
        <v>1.3570139592795004E-2</v>
      </c>
      <c r="S88" s="1"/>
      <c r="T88" s="1">
        <f>SUM(OSRRefT22_9x_0)</f>
        <v>1300</v>
      </c>
      <c r="U88" s="1"/>
      <c r="V88" s="5">
        <f t="shared" si="35"/>
        <v>6.167711461173544E-3</v>
      </c>
      <c r="W88" s="1"/>
      <c r="X88" s="1">
        <f t="shared" si="36"/>
        <v>1850</v>
      </c>
      <c r="Y88" s="1"/>
      <c r="Z88" s="5">
        <f t="shared" si="37"/>
        <v>1.4230769230769231</v>
      </c>
    </row>
    <row r="89" spans="1:26" s="24" customFormat="1" hidden="1" outlineLevel="2" x14ac:dyDescent="0.25">
      <c r="A89" s="29"/>
      <c r="B89" s="11" t="str">
        <f>CONCATENATE("          ", "6408", " - ", "INVENTORY ADJUSTMENT")</f>
        <v xml:space="preserve">          6408 - INVENTORY ADJUSTMENT</v>
      </c>
      <c r="C89" s="11"/>
      <c r="D89" s="7">
        <v>3150</v>
      </c>
      <c r="E89" s="2"/>
      <c r="F89" s="6">
        <f t="shared" si="30"/>
        <v>1.3570139592795004E-2</v>
      </c>
      <c r="G89" s="2"/>
      <c r="H89" s="7">
        <v>1300</v>
      </c>
      <c r="I89" s="2"/>
      <c r="J89" s="6">
        <f t="shared" si="31"/>
        <v>6.167711461173544E-3</v>
      </c>
      <c r="K89" s="2"/>
      <c r="L89" s="7">
        <f t="shared" si="32"/>
        <v>1850</v>
      </c>
      <c r="M89" s="2"/>
      <c r="N89" s="6">
        <f t="shared" si="33"/>
        <v>1.4230769230769231</v>
      </c>
      <c r="O89" s="11"/>
      <c r="P89" s="7">
        <v>3150</v>
      </c>
      <c r="Q89" s="2"/>
      <c r="R89" s="6">
        <f t="shared" si="34"/>
        <v>1.3570139592795004E-2</v>
      </c>
      <c r="S89" s="2"/>
      <c r="T89" s="7">
        <v>1300</v>
      </c>
      <c r="U89" s="2"/>
      <c r="V89" s="6">
        <f t="shared" si="35"/>
        <v>6.167711461173544E-3</v>
      </c>
      <c r="W89" s="2"/>
      <c r="X89" s="7">
        <f t="shared" si="36"/>
        <v>1850</v>
      </c>
      <c r="Y89" s="2"/>
      <c r="Z89" s="6">
        <f t="shared" si="37"/>
        <v>1.4230769230769231</v>
      </c>
    </row>
    <row r="90" spans="1:26" s="28" customFormat="1" outlineLevel="1" collapsed="1" x14ac:dyDescent="0.25">
      <c r="A90" s="27"/>
      <c r="B90" s="14" t="str">
        <f>CONCATENATE("     ","Professional Services                             ")</f>
        <v xml:space="preserve">     Professional Services                             </v>
      </c>
      <c r="C90" s="14"/>
      <c r="D90" s="1">
        <f>SUM(OSRRefD22_10x_0)</f>
        <v>750</v>
      </c>
      <c r="E90" s="1"/>
      <c r="F90" s="5">
        <f t="shared" si="30"/>
        <v>3.2309856173321438E-3</v>
      </c>
      <c r="G90" s="1"/>
      <c r="H90" s="1">
        <f>SUM(OSRRefH22_10x_0)</f>
        <v>750</v>
      </c>
      <c r="I90" s="1"/>
      <c r="J90" s="5">
        <f t="shared" si="31"/>
        <v>3.5582950737539673E-3</v>
      </c>
      <c r="K90" s="1"/>
      <c r="L90" s="1">
        <f t="shared" si="32"/>
        <v>0</v>
      </c>
      <c r="M90" s="1"/>
      <c r="N90" s="5">
        <f t="shared" si="33"/>
        <v>0</v>
      </c>
      <c r="O90" s="14"/>
      <c r="P90" s="1">
        <f>SUM(OSRRefP22_10x_0)</f>
        <v>750</v>
      </c>
      <c r="Q90" s="1"/>
      <c r="R90" s="5">
        <f t="shared" si="34"/>
        <v>3.2309856173321438E-3</v>
      </c>
      <c r="S90" s="1"/>
      <c r="T90" s="1">
        <f>SUM(OSRRefT22_10x_0)</f>
        <v>750</v>
      </c>
      <c r="U90" s="1"/>
      <c r="V90" s="5">
        <f t="shared" si="35"/>
        <v>3.5582950737539673E-3</v>
      </c>
      <c r="W90" s="1"/>
      <c r="X90" s="1">
        <f t="shared" si="36"/>
        <v>0</v>
      </c>
      <c r="Y90" s="1"/>
      <c r="Z90" s="5">
        <f t="shared" si="37"/>
        <v>0</v>
      </c>
    </row>
    <row r="91" spans="1:26" s="24" customFormat="1" hidden="1" outlineLevel="2" x14ac:dyDescent="0.25">
      <c r="A91" s="29"/>
      <c r="B91" s="11" t="str">
        <f>CONCATENATE("          ", "6336", " - ", "PROFESSIONAL SERVICES")</f>
        <v xml:space="preserve">          6336 - PROFESSIONAL SERVICES</v>
      </c>
      <c r="C91" s="11"/>
      <c r="D91" s="7">
        <v>750</v>
      </c>
      <c r="E91" s="2"/>
      <c r="F91" s="6">
        <f t="shared" si="30"/>
        <v>3.2309856173321438E-3</v>
      </c>
      <c r="G91" s="2"/>
      <c r="H91" s="7">
        <v>750</v>
      </c>
      <c r="I91" s="2"/>
      <c r="J91" s="6">
        <f t="shared" si="31"/>
        <v>3.5582950737539673E-3</v>
      </c>
      <c r="K91" s="2"/>
      <c r="L91" s="7">
        <f t="shared" si="32"/>
        <v>0</v>
      </c>
      <c r="M91" s="2"/>
      <c r="N91" s="6">
        <f t="shared" si="33"/>
        <v>0</v>
      </c>
      <c r="O91" s="11"/>
      <c r="P91" s="7">
        <v>750</v>
      </c>
      <c r="Q91" s="2"/>
      <c r="R91" s="6">
        <f t="shared" si="34"/>
        <v>3.2309856173321438E-3</v>
      </c>
      <c r="S91" s="2"/>
      <c r="T91" s="7">
        <v>750</v>
      </c>
      <c r="U91" s="2"/>
      <c r="V91" s="6">
        <f t="shared" si="35"/>
        <v>3.5582950737539673E-3</v>
      </c>
      <c r="W91" s="2"/>
      <c r="X91" s="7">
        <f t="shared" si="36"/>
        <v>0</v>
      </c>
      <c r="Y91" s="2"/>
      <c r="Z91" s="6">
        <f t="shared" si="37"/>
        <v>0</v>
      </c>
    </row>
    <row r="92" spans="1:26" s="28" customFormat="1" outlineLevel="1" collapsed="1" x14ac:dyDescent="0.25">
      <c r="A92" s="27"/>
      <c r="B92" s="14" t="str">
        <f>CONCATENATE("     ","Rent                                              ")</f>
        <v xml:space="preserve">     Rent                                              </v>
      </c>
      <c r="C92" s="14"/>
      <c r="D92" s="1">
        <f>SUM(OSRRefD22_11x_0)</f>
        <v>6900</v>
      </c>
      <c r="E92" s="1"/>
      <c r="F92" s="5">
        <f t="shared" si="30"/>
        <v>2.9725067679455722E-2</v>
      </c>
      <c r="G92" s="1"/>
      <c r="H92" s="1">
        <f>SUM(OSRRefH22_11x_0)</f>
        <v>6900</v>
      </c>
      <c r="I92" s="1"/>
      <c r="J92" s="5">
        <f t="shared" si="31"/>
        <v>3.27363146785365E-2</v>
      </c>
      <c r="K92" s="1"/>
      <c r="L92" s="1">
        <f t="shared" si="32"/>
        <v>0</v>
      </c>
      <c r="M92" s="1"/>
      <c r="N92" s="5">
        <f t="shared" si="33"/>
        <v>0</v>
      </c>
      <c r="O92" s="14"/>
      <c r="P92" s="1">
        <f>SUM(OSRRefP22_11x_0)</f>
        <v>6900</v>
      </c>
      <c r="Q92" s="1"/>
      <c r="R92" s="5">
        <f t="shared" si="34"/>
        <v>2.9725067679455722E-2</v>
      </c>
      <c r="S92" s="1"/>
      <c r="T92" s="1">
        <f>SUM(OSRRefT22_11x_0)</f>
        <v>6900</v>
      </c>
      <c r="U92" s="1"/>
      <c r="V92" s="5">
        <f t="shared" si="35"/>
        <v>3.27363146785365E-2</v>
      </c>
      <c r="W92" s="1"/>
      <c r="X92" s="1">
        <f t="shared" si="36"/>
        <v>0</v>
      </c>
      <c r="Y92" s="1"/>
      <c r="Z92" s="5">
        <f t="shared" si="37"/>
        <v>0</v>
      </c>
    </row>
    <row r="93" spans="1:26" s="24" customFormat="1" hidden="1" outlineLevel="2" x14ac:dyDescent="0.25">
      <c r="A93" s="29"/>
      <c r="B93" s="11" t="str">
        <f>CONCATENATE("          ", "6273", " - ", "RENT")</f>
        <v xml:space="preserve">          6273 - RENT</v>
      </c>
      <c r="C93" s="11"/>
      <c r="D93" s="7">
        <v>6900</v>
      </c>
      <c r="E93" s="2"/>
      <c r="F93" s="6">
        <f t="shared" si="30"/>
        <v>2.9725067679455722E-2</v>
      </c>
      <c r="G93" s="2"/>
      <c r="H93" s="7">
        <v>6900</v>
      </c>
      <c r="I93" s="2"/>
      <c r="J93" s="6">
        <f t="shared" si="31"/>
        <v>3.27363146785365E-2</v>
      </c>
      <c r="K93" s="2"/>
      <c r="L93" s="7">
        <f t="shared" si="32"/>
        <v>0</v>
      </c>
      <c r="M93" s="2"/>
      <c r="N93" s="6">
        <f t="shared" si="33"/>
        <v>0</v>
      </c>
      <c r="O93" s="11"/>
      <c r="P93" s="7">
        <v>6900</v>
      </c>
      <c r="Q93" s="2"/>
      <c r="R93" s="6">
        <f t="shared" si="34"/>
        <v>2.9725067679455722E-2</v>
      </c>
      <c r="S93" s="2"/>
      <c r="T93" s="7">
        <v>6900</v>
      </c>
      <c r="U93" s="2"/>
      <c r="V93" s="6">
        <f t="shared" si="35"/>
        <v>3.27363146785365E-2</v>
      </c>
      <c r="W93" s="2"/>
      <c r="X93" s="7">
        <f t="shared" si="36"/>
        <v>0</v>
      </c>
      <c r="Y93" s="2"/>
      <c r="Z93" s="6">
        <f t="shared" si="37"/>
        <v>0</v>
      </c>
    </row>
    <row r="94" spans="1:26" s="28" customFormat="1" outlineLevel="1" collapsed="1" x14ac:dyDescent="0.25">
      <c r="A94" s="27"/>
      <c r="B94" s="14" t="str">
        <f>CONCATENATE("     ","Repair and Maintenance                            ")</f>
        <v xml:space="preserve">     Repair and Maintenance                            </v>
      </c>
      <c r="C94" s="14"/>
      <c r="D94" s="1">
        <f>SUM(OSRRefD22_12x_0)</f>
        <v>0</v>
      </c>
      <c r="E94" s="1"/>
      <c r="F94" s="5">
        <f t="shared" si="30"/>
        <v>0</v>
      </c>
      <c r="G94" s="1"/>
      <c r="H94" s="1">
        <f>SUM(OSRRefH22_12x_0)</f>
        <v>186.58</v>
      </c>
      <c r="I94" s="1"/>
      <c r="J94" s="5">
        <f t="shared" si="31"/>
        <v>8.8520892648135373E-4</v>
      </c>
      <c r="K94" s="1"/>
      <c r="L94" s="1">
        <f t="shared" si="32"/>
        <v>-186.58</v>
      </c>
      <c r="M94" s="1"/>
      <c r="N94" s="5">
        <f t="shared" si="33"/>
        <v>-1</v>
      </c>
      <c r="O94" s="14"/>
      <c r="P94" s="1">
        <f>SUM(OSRRefP22_12x_0)</f>
        <v>0</v>
      </c>
      <c r="Q94" s="1"/>
      <c r="R94" s="5">
        <f t="shared" si="34"/>
        <v>0</v>
      </c>
      <c r="S94" s="1"/>
      <c r="T94" s="1">
        <f>SUM(OSRRefT22_12x_0)</f>
        <v>186.58</v>
      </c>
      <c r="U94" s="1"/>
      <c r="V94" s="5">
        <f t="shared" si="35"/>
        <v>8.8520892648135373E-4</v>
      </c>
      <c r="W94" s="1"/>
      <c r="X94" s="1">
        <f t="shared" si="36"/>
        <v>-186.58</v>
      </c>
      <c r="Y94" s="1"/>
      <c r="Z94" s="5">
        <f t="shared" si="37"/>
        <v>-1</v>
      </c>
    </row>
    <row r="95" spans="1:26" s="24" customFormat="1" hidden="1" outlineLevel="2" x14ac:dyDescent="0.25">
      <c r="A95" s="29"/>
      <c r="B95" s="11" t="str">
        <f>CONCATENATE("          ", "6371", " - ", "COMPUTER SOFTWARE MAINTENANCE")</f>
        <v xml:space="preserve">          6371 - COMPUTER SOFTWARE MAINTENANCE</v>
      </c>
      <c r="C95" s="11"/>
      <c r="D95" s="7"/>
      <c r="E95" s="2"/>
      <c r="F95" s="6">
        <f t="shared" si="30"/>
        <v>0</v>
      </c>
      <c r="G95" s="2"/>
      <c r="H95" s="7">
        <v>186.58</v>
      </c>
      <c r="I95" s="2"/>
      <c r="J95" s="6">
        <f t="shared" si="31"/>
        <v>8.8520892648135373E-4</v>
      </c>
      <c r="K95" s="2"/>
      <c r="L95" s="7">
        <f t="shared" si="32"/>
        <v>-186.58</v>
      </c>
      <c r="M95" s="2"/>
      <c r="N95" s="6">
        <f t="shared" si="33"/>
        <v>-1</v>
      </c>
      <c r="O95" s="11"/>
      <c r="P95" s="7"/>
      <c r="Q95" s="2"/>
      <c r="R95" s="6">
        <f t="shared" si="34"/>
        <v>0</v>
      </c>
      <c r="S95" s="2"/>
      <c r="T95" s="7">
        <v>186.58</v>
      </c>
      <c r="U95" s="2"/>
      <c r="V95" s="6">
        <f t="shared" si="35"/>
        <v>8.8520892648135373E-4</v>
      </c>
      <c r="W95" s="2"/>
      <c r="X95" s="7">
        <f t="shared" si="36"/>
        <v>-186.58</v>
      </c>
      <c r="Y95" s="2"/>
      <c r="Z95" s="6">
        <f t="shared" si="37"/>
        <v>-1</v>
      </c>
    </row>
    <row r="96" spans="1:26" s="28" customFormat="1" outlineLevel="1" collapsed="1" x14ac:dyDescent="0.25">
      <c r="A96" s="27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1">
        <f>SUM(OSRRefD22_13x_0)</f>
        <v>4481.04</v>
      </c>
      <c r="E96" s="1"/>
      <c r="F96" s="5">
        <f t="shared" si="30"/>
        <v>1.9304234387586706E-2</v>
      </c>
      <c r="G96" s="1"/>
      <c r="H96" s="1">
        <f>SUM(OSRRefH22_13x_0)</f>
        <v>6645.39</v>
      </c>
      <c r="I96" s="1"/>
      <c r="J96" s="5">
        <f t="shared" si="31"/>
        <v>3.1528344666898508E-2</v>
      </c>
      <c r="K96" s="1"/>
      <c r="L96" s="1">
        <f t="shared" si="32"/>
        <v>-2164.3500000000004</v>
      </c>
      <c r="M96" s="1"/>
      <c r="N96" s="5">
        <f t="shared" si="33"/>
        <v>-0.32569194584516487</v>
      </c>
      <c r="O96" s="14"/>
      <c r="P96" s="1">
        <f>SUM(OSRRefP22_13x_0)</f>
        <v>4481.04</v>
      </c>
      <c r="Q96" s="1"/>
      <c r="R96" s="5">
        <f t="shared" si="34"/>
        <v>1.9304234387586706E-2</v>
      </c>
      <c r="S96" s="1"/>
      <c r="T96" s="1">
        <f>SUM(OSRRefT22_13x_0)</f>
        <v>6645.39</v>
      </c>
      <c r="U96" s="1"/>
      <c r="V96" s="5">
        <f t="shared" si="35"/>
        <v>3.1528344666898508E-2</v>
      </c>
      <c r="W96" s="1"/>
      <c r="X96" s="1">
        <f t="shared" si="36"/>
        <v>-2164.3500000000004</v>
      </c>
      <c r="Y96" s="1"/>
      <c r="Z96" s="5">
        <f t="shared" si="37"/>
        <v>-0.32569194584516487</v>
      </c>
    </row>
    <row r="97" spans="1:26" s="24" customFormat="1" hidden="1" outlineLevel="2" x14ac:dyDescent="0.25">
      <c r="A97" s="29"/>
      <c r="B97" s="11" t="str">
        <f>CONCATENATE("          ", "6253", " - ", "ROYALTY DUE ATHLETICS-LRG")</f>
        <v xml:space="preserve">          6253 - ROYALTY DUE ATHLETICS-LRG</v>
      </c>
      <c r="C97" s="11"/>
      <c r="D97" s="7">
        <v>4366.95</v>
      </c>
      <c r="E97" s="2"/>
      <c r="F97" s="6">
        <f t="shared" si="30"/>
        <v>1.881273685547814E-2</v>
      </c>
      <c r="G97" s="2"/>
      <c r="H97" s="7">
        <v>6645.39</v>
      </c>
      <c r="I97" s="2"/>
      <c r="J97" s="6">
        <f t="shared" si="31"/>
        <v>3.1528344666898508E-2</v>
      </c>
      <c r="K97" s="2"/>
      <c r="L97" s="7">
        <f t="shared" si="32"/>
        <v>-2278.4400000000005</v>
      </c>
      <c r="M97" s="2"/>
      <c r="N97" s="6">
        <f t="shared" si="33"/>
        <v>-0.34286023845101649</v>
      </c>
      <c r="O97" s="11"/>
      <c r="P97" s="7">
        <v>4366.95</v>
      </c>
      <c r="Q97" s="2"/>
      <c r="R97" s="6">
        <f t="shared" si="34"/>
        <v>1.881273685547814E-2</v>
      </c>
      <c r="S97" s="2"/>
      <c r="T97" s="7">
        <v>6645.39</v>
      </c>
      <c r="U97" s="2"/>
      <c r="V97" s="6">
        <f t="shared" si="35"/>
        <v>3.1528344666898508E-2</v>
      </c>
      <c r="W97" s="2"/>
      <c r="X97" s="7">
        <f t="shared" si="36"/>
        <v>-2278.4400000000005</v>
      </c>
      <c r="Y97" s="2"/>
      <c r="Z97" s="6">
        <f t="shared" si="37"/>
        <v>-0.34286023845101649</v>
      </c>
    </row>
    <row r="98" spans="1:26" s="24" customFormat="1" hidden="1" outlineLevel="2" x14ac:dyDescent="0.25">
      <c r="A98" s="29"/>
      <c r="B98" s="11" t="str">
        <f>CONCATENATE("          ", "6254", " - ", "ROYALTY &amp; COMMISSIONS")</f>
        <v xml:space="preserve">          6254 - ROYALTY &amp; COMMISSIONS</v>
      </c>
      <c r="C98" s="11"/>
      <c r="D98" s="7">
        <v>114.09</v>
      </c>
      <c r="E98" s="2"/>
      <c r="F98" s="6">
        <f t="shared" si="30"/>
        <v>4.9149753210856568E-4</v>
      </c>
      <c r="G98" s="2"/>
      <c r="H98" s="7"/>
      <c r="I98" s="2"/>
      <c r="J98" s="6">
        <f t="shared" si="31"/>
        <v>0</v>
      </c>
      <c r="K98" s="2"/>
      <c r="L98" s="7">
        <f t="shared" si="32"/>
        <v>114.09</v>
      </c>
      <c r="M98" s="2"/>
      <c r="N98" s="6">
        <f t="shared" si="33"/>
        <v>0</v>
      </c>
      <c r="O98" s="11"/>
      <c r="P98" s="7">
        <v>114.09</v>
      </c>
      <c r="Q98" s="2"/>
      <c r="R98" s="6">
        <f t="shared" si="34"/>
        <v>4.9149753210856568E-4</v>
      </c>
      <c r="S98" s="2"/>
      <c r="T98" s="7"/>
      <c r="U98" s="2"/>
      <c r="V98" s="6">
        <f t="shared" si="35"/>
        <v>0</v>
      </c>
      <c r="W98" s="2"/>
      <c r="X98" s="7">
        <f t="shared" si="36"/>
        <v>114.09</v>
      </c>
      <c r="Y98" s="2"/>
      <c r="Z98" s="6">
        <f t="shared" si="37"/>
        <v>0</v>
      </c>
    </row>
    <row r="99" spans="1:26" s="28" customFormat="1" outlineLevel="1" collapsed="1" x14ac:dyDescent="0.25">
      <c r="A99" s="27"/>
      <c r="B99" s="14" t="str">
        <f>CONCATENATE("     ","Services                                          ")</f>
        <v xml:space="preserve">     Services                                          </v>
      </c>
      <c r="C99" s="14"/>
      <c r="D99" s="1">
        <f>SUM(OSRRefD22_14x_0)</f>
        <v>241.37</v>
      </c>
      <c r="E99" s="1"/>
      <c r="F99" s="5">
        <f t="shared" ref="F99:F102" si="38">IF(D$12=0,0,D99/D$12)</f>
        <v>1.0398173312739462E-3</v>
      </c>
      <c r="G99" s="1"/>
      <c r="H99" s="1">
        <f>SUM(OSRRefH22_14x_0)</f>
        <v>129.55999999999997</v>
      </c>
      <c r="I99" s="1"/>
      <c r="J99" s="5">
        <f t="shared" ref="J99:J102" si="39">IF(H$12=0,0,H99/H$12)</f>
        <v>6.1468361300741857E-4</v>
      </c>
      <c r="K99" s="1"/>
      <c r="L99" s="1">
        <f t="shared" ref="L99:L102" si="40">+D99-H99</f>
        <v>111.81000000000003</v>
      </c>
      <c r="M99" s="1"/>
      <c r="N99" s="5">
        <f t="shared" ref="N99:N102" si="41">IF(H99=0,0,L99/H99)</f>
        <v>0.86299783883914827</v>
      </c>
      <c r="O99" s="14"/>
      <c r="P99" s="1">
        <f>SUM(OSRRefP22_14x_0)</f>
        <v>241.37</v>
      </c>
      <c r="Q99" s="1"/>
      <c r="R99" s="5">
        <f t="shared" ref="R99:R102" si="42">IF(P$12=0,0,P99/P$12)</f>
        <v>1.0398173312739462E-3</v>
      </c>
      <c r="S99" s="1"/>
      <c r="T99" s="1">
        <f>SUM(OSRRefT22_14x_0)</f>
        <v>129.55999999999997</v>
      </c>
      <c r="U99" s="1"/>
      <c r="V99" s="5">
        <f t="shared" ref="V99:V102" si="43">IF(T$12=0,0,T99/T$12)</f>
        <v>6.1468361300741857E-4</v>
      </c>
      <c r="W99" s="1"/>
      <c r="X99" s="1">
        <f t="shared" ref="X99:X102" si="44">+P99-T99</f>
        <v>111.81000000000003</v>
      </c>
      <c r="Y99" s="1"/>
      <c r="Z99" s="5">
        <f t="shared" ref="Z99:Z102" si="45">IF(T99=0,0,X99/T99)</f>
        <v>0.86299783883914827</v>
      </c>
    </row>
    <row r="100" spans="1:26" s="24" customFormat="1" hidden="1" outlineLevel="2" x14ac:dyDescent="0.25">
      <c r="A100" s="29"/>
      <c r="B100" s="11" t="str">
        <f>CONCATENATE("          ", "6283", " - ", "PLANT SERVICE")</f>
        <v xml:space="preserve">          6283 - PLANT SERVICE</v>
      </c>
      <c r="C100" s="11"/>
      <c r="D100" s="7">
        <v>59.55</v>
      </c>
      <c r="E100" s="2"/>
      <c r="F100" s="6">
        <f t="shared" si="38"/>
        <v>2.5654025801617221E-4</v>
      </c>
      <c r="G100" s="2"/>
      <c r="H100" s="7">
        <v>56</v>
      </c>
      <c r="I100" s="2"/>
      <c r="J100" s="6">
        <f t="shared" si="39"/>
        <v>2.656860321736296E-4</v>
      </c>
      <c r="K100" s="2"/>
      <c r="L100" s="7">
        <f t="shared" si="40"/>
        <v>3.5499999999999972</v>
      </c>
      <c r="M100" s="2"/>
      <c r="N100" s="6">
        <f t="shared" si="41"/>
        <v>6.3392857142857098E-2</v>
      </c>
      <c r="O100" s="11"/>
      <c r="P100" s="7">
        <v>59.55</v>
      </c>
      <c r="Q100" s="2"/>
      <c r="R100" s="6">
        <f t="shared" si="42"/>
        <v>2.5654025801617221E-4</v>
      </c>
      <c r="S100" s="2"/>
      <c r="T100" s="7">
        <v>56</v>
      </c>
      <c r="U100" s="2"/>
      <c r="V100" s="6">
        <f t="shared" si="43"/>
        <v>2.656860321736296E-4</v>
      </c>
      <c r="W100" s="2"/>
      <c r="X100" s="7">
        <f t="shared" si="44"/>
        <v>3.5499999999999972</v>
      </c>
      <c r="Y100" s="2"/>
      <c r="Z100" s="6">
        <f t="shared" si="45"/>
        <v>6.3392857142857098E-2</v>
      </c>
    </row>
    <row r="101" spans="1:26" s="24" customFormat="1" hidden="1" outlineLevel="2" x14ac:dyDescent="0.25">
      <c r="A101" s="29"/>
      <c r="B101" s="11" t="str">
        <f>CONCATENATE("          ", "6284", " - ", "TRASH REMOVAL EXPENSE")</f>
        <v xml:space="preserve">          6284 - TRASH REMOVAL EXPENSE</v>
      </c>
      <c r="C101" s="11"/>
      <c r="D101" s="7">
        <v>134.82</v>
      </c>
      <c r="E101" s="2"/>
      <c r="F101" s="6">
        <f t="shared" si="38"/>
        <v>5.8080197457162613E-4</v>
      </c>
      <c r="G101" s="2"/>
      <c r="H101" s="7">
        <v>121.46</v>
      </c>
      <c r="I101" s="2"/>
      <c r="J101" s="6">
        <f t="shared" si="39"/>
        <v>5.7625402621087581E-4</v>
      </c>
      <c r="K101" s="2"/>
      <c r="L101" s="7">
        <f t="shared" si="40"/>
        <v>13.36</v>
      </c>
      <c r="M101" s="2"/>
      <c r="N101" s="6">
        <f t="shared" si="41"/>
        <v>0.10999506010209123</v>
      </c>
      <c r="O101" s="11"/>
      <c r="P101" s="7">
        <v>134.82</v>
      </c>
      <c r="Q101" s="2"/>
      <c r="R101" s="6">
        <f t="shared" si="42"/>
        <v>5.8080197457162613E-4</v>
      </c>
      <c r="S101" s="2"/>
      <c r="T101" s="7">
        <v>121.46</v>
      </c>
      <c r="U101" s="2"/>
      <c r="V101" s="6">
        <f t="shared" si="43"/>
        <v>5.7625402621087581E-4</v>
      </c>
      <c r="W101" s="2"/>
      <c r="X101" s="7">
        <f t="shared" si="44"/>
        <v>13.36</v>
      </c>
      <c r="Y101" s="2"/>
      <c r="Z101" s="6">
        <f t="shared" si="45"/>
        <v>0.10999506010209123</v>
      </c>
    </row>
    <row r="102" spans="1:26" s="24" customFormat="1" hidden="1" outlineLevel="2" x14ac:dyDescent="0.25">
      <c r="A102" s="29"/>
      <c r="B102" s="11" t="str">
        <f>CONCATENATE("          ", "6285", " - ", "JANITORIAL SERVICES")</f>
        <v xml:space="preserve">          6285 - JANITORIAL SERVICES</v>
      </c>
      <c r="C102" s="11"/>
      <c r="D102" s="7">
        <v>47</v>
      </c>
      <c r="E102" s="2"/>
      <c r="F102" s="6">
        <f t="shared" si="38"/>
        <v>2.0247509868614769E-4</v>
      </c>
      <c r="G102" s="2"/>
      <c r="H102" s="7">
        <v>-47.9</v>
      </c>
      <c r="I102" s="2"/>
      <c r="J102" s="6">
        <f t="shared" si="39"/>
        <v>-2.2725644537708673E-4</v>
      </c>
      <c r="K102" s="2"/>
      <c r="L102" s="7">
        <f t="shared" si="40"/>
        <v>94.9</v>
      </c>
      <c r="M102" s="2"/>
      <c r="N102" s="6">
        <f t="shared" si="41"/>
        <v>-1.9812108559498958</v>
      </c>
      <c r="O102" s="11"/>
      <c r="P102" s="7">
        <v>47</v>
      </c>
      <c r="Q102" s="2"/>
      <c r="R102" s="6">
        <f t="shared" si="42"/>
        <v>2.0247509868614769E-4</v>
      </c>
      <c r="S102" s="2"/>
      <c r="T102" s="7">
        <v>-47.9</v>
      </c>
      <c r="U102" s="2"/>
      <c r="V102" s="6">
        <f t="shared" si="43"/>
        <v>-2.2725644537708673E-4</v>
      </c>
      <c r="W102" s="2"/>
      <c r="X102" s="7">
        <f t="shared" si="44"/>
        <v>94.9</v>
      </c>
      <c r="Y102" s="2"/>
      <c r="Z102" s="6">
        <f t="shared" si="45"/>
        <v>-1.9812108559498958</v>
      </c>
    </row>
    <row r="103" spans="1:26" s="28" customFormat="1" outlineLevel="1" collapsed="1" x14ac:dyDescent="0.25">
      <c r="A103" s="27"/>
      <c r="B103" s="14" t="str">
        <f>CONCATENATE("     ","Subscriptions &amp; Dues                              ")</f>
        <v xml:space="preserve">     Subscriptions &amp; Dues                              </v>
      </c>
      <c r="C103" s="14"/>
      <c r="D103" s="1">
        <f>SUM(OSRRefD22_15x_0)</f>
        <v>13.42</v>
      </c>
      <c r="E103" s="1"/>
      <c r="F103" s="5">
        <f t="shared" ref="F103:F110" si="46">IF(D$12=0,0,D103/D$12)</f>
        <v>5.7813102646129827E-5</v>
      </c>
      <c r="G103" s="1"/>
      <c r="H103" s="1">
        <f>SUM(OSRRefH22_15x_0)</f>
        <v>204.98</v>
      </c>
      <c r="I103" s="1"/>
      <c r="J103" s="5">
        <f t="shared" ref="J103:J110" si="47">IF(H$12=0,0,H103/H$12)</f>
        <v>9.7250576562411763E-4</v>
      </c>
      <c r="K103" s="1"/>
      <c r="L103" s="1">
        <f t="shared" ref="L103:L110" si="48">+D103-H103</f>
        <v>-191.56</v>
      </c>
      <c r="M103" s="1"/>
      <c r="N103" s="5">
        <f t="shared" ref="N103:N110" si="49">IF(H103=0,0,L103/H103)</f>
        <v>-0.93453019806810422</v>
      </c>
      <c r="O103" s="14"/>
      <c r="P103" s="1">
        <f>SUM(OSRRefP22_15x_0)</f>
        <v>13.42</v>
      </c>
      <c r="Q103" s="1"/>
      <c r="R103" s="5">
        <f t="shared" ref="R103:R110" si="50">IF(P$12=0,0,P103/P$12)</f>
        <v>5.7813102646129827E-5</v>
      </c>
      <c r="S103" s="1"/>
      <c r="T103" s="1">
        <f>SUM(OSRRefT22_15x_0)</f>
        <v>204.98</v>
      </c>
      <c r="U103" s="1"/>
      <c r="V103" s="5">
        <f t="shared" ref="V103:V110" si="51">IF(T$12=0,0,T103/T$12)</f>
        <v>9.7250576562411763E-4</v>
      </c>
      <c r="W103" s="1"/>
      <c r="X103" s="1">
        <f t="shared" ref="X103:X110" si="52">+P103-T103</f>
        <v>-191.56</v>
      </c>
      <c r="Y103" s="1"/>
      <c r="Z103" s="5">
        <f t="shared" ref="Z103:Z110" si="53">IF(T103=0,0,X103/T103)</f>
        <v>-0.93453019806810422</v>
      </c>
    </row>
    <row r="104" spans="1:26" s="24" customFormat="1" hidden="1" outlineLevel="2" x14ac:dyDescent="0.25">
      <c r="A104" s="29"/>
      <c r="B104" s="11" t="str">
        <f>CONCATENATE("          ", "6275", " - ", "SUBSCRIPTIONS")</f>
        <v xml:space="preserve">          6275 - SUBSCRIPTIONS</v>
      </c>
      <c r="C104" s="11"/>
      <c r="D104" s="7">
        <v>13.42</v>
      </c>
      <c r="E104" s="2"/>
      <c r="F104" s="6">
        <f t="shared" si="46"/>
        <v>5.7813102646129827E-5</v>
      </c>
      <c r="G104" s="2"/>
      <c r="H104" s="7">
        <v>204.98</v>
      </c>
      <c r="I104" s="2"/>
      <c r="J104" s="6">
        <f t="shared" si="47"/>
        <v>9.7250576562411763E-4</v>
      </c>
      <c r="K104" s="2"/>
      <c r="L104" s="7">
        <f t="shared" si="48"/>
        <v>-191.56</v>
      </c>
      <c r="M104" s="2"/>
      <c r="N104" s="6">
        <f t="shared" si="49"/>
        <v>-0.93453019806810422</v>
      </c>
      <c r="O104" s="11"/>
      <c r="P104" s="7">
        <v>13.42</v>
      </c>
      <c r="Q104" s="2"/>
      <c r="R104" s="6">
        <f t="shared" si="50"/>
        <v>5.7813102646129827E-5</v>
      </c>
      <c r="S104" s="2"/>
      <c r="T104" s="7">
        <v>204.98</v>
      </c>
      <c r="U104" s="2"/>
      <c r="V104" s="6">
        <f t="shared" si="51"/>
        <v>9.7250576562411763E-4</v>
      </c>
      <c r="W104" s="2"/>
      <c r="X104" s="7">
        <f t="shared" si="52"/>
        <v>-191.56</v>
      </c>
      <c r="Y104" s="2"/>
      <c r="Z104" s="6">
        <f t="shared" si="53"/>
        <v>-0.93453019806810422</v>
      </c>
    </row>
    <row r="105" spans="1:26" s="28" customFormat="1" outlineLevel="1" collapsed="1" x14ac:dyDescent="0.25">
      <c r="A105" s="27"/>
      <c r="B105" s="14" t="str">
        <f>CONCATENATE("     ","Supplies                                          ")</f>
        <v xml:space="preserve">     Supplies                                          </v>
      </c>
      <c r="C105" s="14"/>
      <c r="D105" s="1">
        <f>SUM(OSRRefD22_16x_0)</f>
        <v>1534.33</v>
      </c>
      <c r="E105" s="1"/>
      <c r="F105" s="5">
        <f t="shared" si="46"/>
        <v>6.6098642163216368E-3</v>
      </c>
      <c r="G105" s="1"/>
      <c r="H105" s="1">
        <f>SUM(OSRRefH22_16x_0)</f>
        <v>1951.08</v>
      </c>
      <c r="I105" s="1"/>
      <c r="J105" s="5">
        <f t="shared" si="47"/>
        <v>9.256691136666521E-3</v>
      </c>
      <c r="K105" s="1"/>
      <c r="L105" s="1">
        <f t="shared" si="48"/>
        <v>-416.75</v>
      </c>
      <c r="M105" s="1"/>
      <c r="N105" s="5">
        <f t="shared" si="49"/>
        <v>-0.21359964737478732</v>
      </c>
      <c r="O105" s="14"/>
      <c r="P105" s="1">
        <f>SUM(OSRRefP22_16x_0)</f>
        <v>1534.33</v>
      </c>
      <c r="Q105" s="1"/>
      <c r="R105" s="5">
        <f t="shared" si="50"/>
        <v>6.6098642163216368E-3</v>
      </c>
      <c r="S105" s="1"/>
      <c r="T105" s="1">
        <f>SUM(OSRRefT22_16x_0)</f>
        <v>1951.08</v>
      </c>
      <c r="U105" s="1"/>
      <c r="V105" s="5">
        <f t="shared" si="51"/>
        <v>9.256691136666521E-3</v>
      </c>
      <c r="W105" s="1"/>
      <c r="X105" s="1">
        <f t="shared" si="52"/>
        <v>-416.75</v>
      </c>
      <c r="Y105" s="1"/>
      <c r="Z105" s="5">
        <f t="shared" si="53"/>
        <v>-0.21359964737478732</v>
      </c>
    </row>
    <row r="106" spans="1:26" s="24" customFormat="1" hidden="1" outlineLevel="2" x14ac:dyDescent="0.25">
      <c r="A106" s="29"/>
      <c r="B106" s="11" t="str">
        <f>CONCATENATE("          ", "6234", " - ", "EXPENDABLE SUPPLIES &amp; EQUIPMEN")</f>
        <v xml:space="preserve">          6234 - EXPENDABLE SUPPLIES &amp; EQUIPMEN</v>
      </c>
      <c r="C106" s="11"/>
      <c r="D106" s="7">
        <v>-15.95</v>
      </c>
      <c r="E106" s="2"/>
      <c r="F106" s="6">
        <f t="shared" si="46"/>
        <v>-6.8712294128596928E-5</v>
      </c>
      <c r="G106" s="2"/>
      <c r="H106" s="7"/>
      <c r="I106" s="2"/>
      <c r="J106" s="6">
        <f t="shared" si="47"/>
        <v>0</v>
      </c>
      <c r="K106" s="2"/>
      <c r="L106" s="7">
        <f t="shared" si="48"/>
        <v>-15.95</v>
      </c>
      <c r="M106" s="2"/>
      <c r="N106" s="6">
        <f t="shared" si="49"/>
        <v>0</v>
      </c>
      <c r="O106" s="11"/>
      <c r="P106" s="7">
        <v>-15.95</v>
      </c>
      <c r="Q106" s="2"/>
      <c r="R106" s="6">
        <f t="shared" si="50"/>
        <v>-6.8712294128596928E-5</v>
      </c>
      <c r="S106" s="2"/>
      <c r="T106" s="7"/>
      <c r="U106" s="2"/>
      <c r="V106" s="6">
        <f t="shared" si="51"/>
        <v>0</v>
      </c>
      <c r="W106" s="2"/>
      <c r="X106" s="7">
        <f t="shared" si="52"/>
        <v>-15.95</v>
      </c>
      <c r="Y106" s="2"/>
      <c r="Z106" s="6">
        <f t="shared" si="53"/>
        <v>0</v>
      </c>
    </row>
    <row r="107" spans="1:26" s="24" customFormat="1" hidden="1" outlineLevel="2" x14ac:dyDescent="0.25">
      <c r="A107" s="29"/>
      <c r="B107" s="11" t="str">
        <f>CONCATENATE("          ", "6237", " - ", "JANITORIAL SUPPLIES")</f>
        <v xml:space="preserve">          6237 - JANITORIAL SUPPLIES</v>
      </c>
      <c r="C107" s="11"/>
      <c r="D107" s="7"/>
      <c r="E107" s="2"/>
      <c r="F107" s="6">
        <f t="shared" si="46"/>
        <v>0</v>
      </c>
      <c r="G107" s="2"/>
      <c r="H107" s="7">
        <v>172.74</v>
      </c>
      <c r="I107" s="2"/>
      <c r="J107" s="6">
        <f t="shared" si="47"/>
        <v>8.1954652138701385E-4</v>
      </c>
      <c r="K107" s="2"/>
      <c r="L107" s="7">
        <f t="shared" si="48"/>
        <v>-172.74</v>
      </c>
      <c r="M107" s="2"/>
      <c r="N107" s="6">
        <f t="shared" si="49"/>
        <v>-1</v>
      </c>
      <c r="O107" s="11"/>
      <c r="P107" s="7"/>
      <c r="Q107" s="2"/>
      <c r="R107" s="6">
        <f t="shared" si="50"/>
        <v>0</v>
      </c>
      <c r="S107" s="2"/>
      <c r="T107" s="7">
        <v>172.74</v>
      </c>
      <c r="U107" s="2"/>
      <c r="V107" s="6">
        <f t="shared" si="51"/>
        <v>8.1954652138701385E-4</v>
      </c>
      <c r="W107" s="2"/>
      <c r="X107" s="7">
        <f t="shared" si="52"/>
        <v>-172.74</v>
      </c>
      <c r="Y107" s="2"/>
      <c r="Z107" s="6">
        <f t="shared" si="53"/>
        <v>-1</v>
      </c>
    </row>
    <row r="108" spans="1:26" s="24" customFormat="1" hidden="1" outlineLevel="2" x14ac:dyDescent="0.25">
      <c r="A108" s="29"/>
      <c r="B108" s="11" t="str">
        <f>CONCATENATE("          ", "6241", " - ", "OFFICE EXPENSE")</f>
        <v xml:space="preserve">          6241 - OFFICE EXPENSE</v>
      </c>
      <c r="C108" s="11"/>
      <c r="D108" s="7">
        <v>1550.28</v>
      </c>
      <c r="E108" s="2"/>
      <c r="F108" s="6">
        <f t="shared" si="46"/>
        <v>6.6785765104502345E-3</v>
      </c>
      <c r="G108" s="2"/>
      <c r="H108" s="7">
        <v>732.59</v>
      </c>
      <c r="I108" s="2"/>
      <c r="J108" s="6">
        <f t="shared" si="47"/>
        <v>3.4756951841085587E-3</v>
      </c>
      <c r="K108" s="2"/>
      <c r="L108" s="7">
        <f t="shared" si="48"/>
        <v>817.68999999999994</v>
      </c>
      <c r="M108" s="2"/>
      <c r="N108" s="6">
        <f t="shared" si="49"/>
        <v>1.116163201790906</v>
      </c>
      <c r="O108" s="11"/>
      <c r="P108" s="7">
        <v>1550.28</v>
      </c>
      <c r="Q108" s="2"/>
      <c r="R108" s="6">
        <f t="shared" si="50"/>
        <v>6.6785765104502345E-3</v>
      </c>
      <c r="S108" s="2"/>
      <c r="T108" s="7">
        <v>732.59</v>
      </c>
      <c r="U108" s="2"/>
      <c r="V108" s="6">
        <f t="shared" si="51"/>
        <v>3.4756951841085587E-3</v>
      </c>
      <c r="W108" s="2"/>
      <c r="X108" s="7">
        <f t="shared" si="52"/>
        <v>817.68999999999994</v>
      </c>
      <c r="Y108" s="2"/>
      <c r="Z108" s="6">
        <f t="shared" si="53"/>
        <v>1.116163201790906</v>
      </c>
    </row>
    <row r="109" spans="1:26" s="24" customFormat="1" hidden="1" outlineLevel="2" x14ac:dyDescent="0.25">
      <c r="A109" s="29"/>
      <c r="B109" s="11" t="str">
        <f>CONCATENATE("          ", "6245", " - ", "PRINTING")</f>
        <v xml:space="preserve">          6245 - PRINTING</v>
      </c>
      <c r="C109" s="11"/>
      <c r="D109" s="7"/>
      <c r="E109" s="2"/>
      <c r="F109" s="6">
        <f t="shared" si="46"/>
        <v>0</v>
      </c>
      <c r="G109" s="2"/>
      <c r="H109" s="7">
        <v>970.75</v>
      </c>
      <c r="I109" s="2"/>
      <c r="J109" s="6">
        <f t="shared" si="47"/>
        <v>4.6056199237955522E-3</v>
      </c>
      <c r="K109" s="2"/>
      <c r="L109" s="7">
        <f t="shared" si="48"/>
        <v>-970.75</v>
      </c>
      <c r="M109" s="2"/>
      <c r="N109" s="6">
        <f t="shared" si="49"/>
        <v>-1</v>
      </c>
      <c r="O109" s="11"/>
      <c r="P109" s="7"/>
      <c r="Q109" s="2"/>
      <c r="R109" s="6">
        <f t="shared" si="50"/>
        <v>0</v>
      </c>
      <c r="S109" s="2"/>
      <c r="T109" s="7">
        <v>970.75</v>
      </c>
      <c r="U109" s="2"/>
      <c r="V109" s="6">
        <f t="shared" si="51"/>
        <v>4.6056199237955522E-3</v>
      </c>
      <c r="W109" s="2"/>
      <c r="X109" s="7">
        <f t="shared" si="52"/>
        <v>-970.75</v>
      </c>
      <c r="Y109" s="2"/>
      <c r="Z109" s="6">
        <f t="shared" si="53"/>
        <v>-1</v>
      </c>
    </row>
    <row r="110" spans="1:26" s="24" customFormat="1" hidden="1" outlineLevel="2" x14ac:dyDescent="0.25">
      <c r="A110" s="29"/>
      <c r="B110" s="11" t="str">
        <f>CONCATENATE("          ", "6247", " - ", "STORE SUPPLIES")</f>
        <v xml:space="preserve">          6247 - STORE SUPPLIES</v>
      </c>
      <c r="C110" s="11"/>
      <c r="D110" s="7"/>
      <c r="E110" s="2"/>
      <c r="F110" s="6">
        <f t="shared" si="46"/>
        <v>0</v>
      </c>
      <c r="G110" s="2"/>
      <c r="H110" s="7">
        <v>75</v>
      </c>
      <c r="I110" s="2"/>
      <c r="J110" s="6">
        <f t="shared" si="47"/>
        <v>3.5582950737539674E-4</v>
      </c>
      <c r="K110" s="2"/>
      <c r="L110" s="7">
        <f t="shared" si="48"/>
        <v>-75</v>
      </c>
      <c r="M110" s="2"/>
      <c r="N110" s="6">
        <f t="shared" si="49"/>
        <v>-1</v>
      </c>
      <c r="O110" s="11"/>
      <c r="P110" s="7"/>
      <c r="Q110" s="2"/>
      <c r="R110" s="6">
        <f t="shared" si="50"/>
        <v>0</v>
      </c>
      <c r="S110" s="2"/>
      <c r="T110" s="7">
        <v>75</v>
      </c>
      <c r="U110" s="2"/>
      <c r="V110" s="6">
        <f t="shared" si="51"/>
        <v>3.5582950737539674E-4</v>
      </c>
      <c r="W110" s="2"/>
      <c r="X110" s="7">
        <f t="shared" si="52"/>
        <v>-75</v>
      </c>
      <c r="Y110" s="2"/>
      <c r="Z110" s="6">
        <f t="shared" si="53"/>
        <v>-1</v>
      </c>
    </row>
    <row r="111" spans="1:26" s="28" customFormat="1" outlineLevel="1" collapsed="1" x14ac:dyDescent="0.25">
      <c r="A111" s="27"/>
      <c r="B111" s="14" t="str">
        <f>CONCATENATE("     ","Telephone/Data Lines                              ")</f>
        <v xml:space="preserve">     Telephone/Data Lines                              </v>
      </c>
      <c r="C111" s="14"/>
      <c r="D111" s="1">
        <f>SUM(OSRRefD22_17x_0)</f>
        <v>517.91</v>
      </c>
      <c r="E111" s="1"/>
      <c r="F111" s="5">
        <f t="shared" ref="F111:F118" si="54">IF(D$12=0,0,D111/D$12)</f>
        <v>2.2311463480966542E-3</v>
      </c>
      <c r="G111" s="1"/>
      <c r="H111" s="1">
        <f>SUM(OSRRefH22_17x_0)</f>
        <v>792.36</v>
      </c>
      <c r="I111" s="1"/>
      <c r="J111" s="5">
        <f t="shared" ref="J111:J118" si="55">IF(H$12=0,0,H111/H$12)</f>
        <v>3.7592675795195918E-3</v>
      </c>
      <c r="K111" s="1"/>
      <c r="L111" s="1">
        <f t="shared" ref="L111:L118" si="56">+D111-H111</f>
        <v>-274.45000000000005</v>
      </c>
      <c r="M111" s="1"/>
      <c r="N111" s="5">
        <f t="shared" ref="N111:N118" si="57">IF(H111=0,0,L111/H111)</f>
        <v>-0.34637033671563439</v>
      </c>
      <c r="O111" s="14"/>
      <c r="P111" s="1">
        <f>SUM(OSRRefP22_17x_0)</f>
        <v>517.91</v>
      </c>
      <c r="Q111" s="1"/>
      <c r="R111" s="5">
        <f t="shared" ref="R111:R118" si="58">IF(P$12=0,0,P111/P$12)</f>
        <v>2.2311463480966542E-3</v>
      </c>
      <c r="S111" s="1"/>
      <c r="T111" s="1">
        <f>SUM(OSRRefT22_17x_0)</f>
        <v>792.36</v>
      </c>
      <c r="U111" s="1"/>
      <c r="V111" s="5">
        <f t="shared" ref="V111:V118" si="59">IF(T$12=0,0,T111/T$12)</f>
        <v>3.7592675795195918E-3</v>
      </c>
      <c r="W111" s="1"/>
      <c r="X111" s="1">
        <f t="shared" ref="X111:X118" si="60">+P111-T111</f>
        <v>-274.45000000000005</v>
      </c>
      <c r="Y111" s="1"/>
      <c r="Z111" s="5">
        <f t="shared" ref="Z111:Z118" si="61">IF(T111=0,0,X111/T111)</f>
        <v>-0.34637033671563439</v>
      </c>
    </row>
    <row r="112" spans="1:26" s="24" customFormat="1" hidden="1" outlineLevel="2" x14ac:dyDescent="0.25">
      <c r="A112" s="29"/>
      <c r="B112" s="11" t="str">
        <f>CONCATENATE("          ", "6309", " - ", "TELEPHONE")</f>
        <v xml:space="preserve">          6309 - TELEPHONE</v>
      </c>
      <c r="C112" s="11"/>
      <c r="D112" s="7">
        <v>517.91</v>
      </c>
      <c r="E112" s="2"/>
      <c r="F112" s="6">
        <f t="shared" si="54"/>
        <v>2.2311463480966542E-3</v>
      </c>
      <c r="G112" s="2"/>
      <c r="H112" s="7">
        <v>792.36</v>
      </c>
      <c r="I112" s="2"/>
      <c r="J112" s="6">
        <f t="shared" si="55"/>
        <v>3.7592675795195918E-3</v>
      </c>
      <c r="K112" s="2"/>
      <c r="L112" s="7">
        <f t="shared" si="56"/>
        <v>-274.45000000000005</v>
      </c>
      <c r="M112" s="2"/>
      <c r="N112" s="6">
        <f t="shared" si="57"/>
        <v>-0.34637033671563439</v>
      </c>
      <c r="O112" s="11"/>
      <c r="P112" s="7">
        <v>517.91</v>
      </c>
      <c r="Q112" s="2"/>
      <c r="R112" s="6">
        <f t="shared" si="58"/>
        <v>2.2311463480966542E-3</v>
      </c>
      <c r="S112" s="2"/>
      <c r="T112" s="7">
        <v>792.36</v>
      </c>
      <c r="U112" s="2"/>
      <c r="V112" s="6">
        <f t="shared" si="59"/>
        <v>3.7592675795195918E-3</v>
      </c>
      <c r="W112" s="2"/>
      <c r="X112" s="7">
        <f t="shared" si="60"/>
        <v>-274.45000000000005</v>
      </c>
      <c r="Y112" s="2"/>
      <c r="Z112" s="6">
        <f t="shared" si="61"/>
        <v>-0.34637033671563439</v>
      </c>
    </row>
    <row r="113" spans="1:26" s="28" customFormat="1" outlineLevel="1" collapsed="1" x14ac:dyDescent="0.25">
      <c r="A113" s="27"/>
      <c r="B113" s="14" t="str">
        <f>CONCATENATE("     ","Training                                          ")</f>
        <v xml:space="preserve">     Training                                          </v>
      </c>
      <c r="C113" s="14"/>
      <c r="D113" s="1">
        <f>SUM(OSRRefD22_18x_0)</f>
        <v>103.5</v>
      </c>
      <c r="E113" s="1"/>
      <c r="F113" s="5">
        <f t="shared" si="54"/>
        <v>4.4587601519183585E-4</v>
      </c>
      <c r="G113" s="1"/>
      <c r="H113" s="1">
        <f>SUM(OSRRefH22_18x_0)</f>
        <v>-315.60000000000002</v>
      </c>
      <c r="I113" s="1"/>
      <c r="J113" s="5">
        <f t="shared" si="55"/>
        <v>-1.4973305670356696E-3</v>
      </c>
      <c r="K113" s="1"/>
      <c r="L113" s="1">
        <f t="shared" si="56"/>
        <v>419.1</v>
      </c>
      <c r="M113" s="1"/>
      <c r="N113" s="5">
        <f t="shared" si="57"/>
        <v>-1.3279467680608366</v>
      </c>
      <c r="O113" s="14"/>
      <c r="P113" s="1">
        <f>SUM(OSRRefP22_18x_0)</f>
        <v>103.5</v>
      </c>
      <c r="Q113" s="1"/>
      <c r="R113" s="5">
        <f t="shared" si="58"/>
        <v>4.4587601519183585E-4</v>
      </c>
      <c r="S113" s="1"/>
      <c r="T113" s="1">
        <f>SUM(OSRRefT22_18x_0)</f>
        <v>-315.60000000000002</v>
      </c>
      <c r="U113" s="1"/>
      <c r="V113" s="5">
        <f t="shared" si="59"/>
        <v>-1.4973305670356696E-3</v>
      </c>
      <c r="W113" s="1"/>
      <c r="X113" s="1">
        <f t="shared" si="60"/>
        <v>419.1</v>
      </c>
      <c r="Y113" s="1"/>
      <c r="Z113" s="5">
        <f t="shared" si="61"/>
        <v>-1.3279467680608366</v>
      </c>
    </row>
    <row r="114" spans="1:26" s="24" customFormat="1" hidden="1" outlineLevel="2" x14ac:dyDescent="0.25">
      <c r="A114" s="29"/>
      <c r="B114" s="11" t="str">
        <f>CONCATENATE("          ", "6376", " - ", "TRAINING")</f>
        <v xml:space="preserve">          6376 - TRAINING</v>
      </c>
      <c r="C114" s="11"/>
      <c r="D114" s="7">
        <v>103.5</v>
      </c>
      <c r="E114" s="2"/>
      <c r="F114" s="6">
        <f t="shared" si="54"/>
        <v>4.4587601519183585E-4</v>
      </c>
      <c r="G114" s="2"/>
      <c r="H114" s="7">
        <v>-315.60000000000002</v>
      </c>
      <c r="I114" s="2"/>
      <c r="J114" s="6">
        <f t="shared" si="55"/>
        <v>-1.4973305670356696E-3</v>
      </c>
      <c r="K114" s="2"/>
      <c r="L114" s="7">
        <f t="shared" si="56"/>
        <v>419.1</v>
      </c>
      <c r="M114" s="2"/>
      <c r="N114" s="6">
        <f t="shared" si="57"/>
        <v>-1.3279467680608366</v>
      </c>
      <c r="O114" s="11"/>
      <c r="P114" s="7">
        <v>103.5</v>
      </c>
      <c r="Q114" s="2"/>
      <c r="R114" s="6">
        <f t="shared" si="58"/>
        <v>4.4587601519183585E-4</v>
      </c>
      <c r="S114" s="2"/>
      <c r="T114" s="7">
        <v>-315.60000000000002</v>
      </c>
      <c r="U114" s="2"/>
      <c r="V114" s="6">
        <f t="shared" si="59"/>
        <v>-1.4973305670356696E-3</v>
      </c>
      <c r="W114" s="2"/>
      <c r="X114" s="7">
        <f t="shared" si="60"/>
        <v>419.1</v>
      </c>
      <c r="Y114" s="2"/>
      <c r="Z114" s="6">
        <f t="shared" si="61"/>
        <v>-1.3279467680608366</v>
      </c>
    </row>
    <row r="115" spans="1:26" s="28" customFormat="1" outlineLevel="1" collapsed="1" x14ac:dyDescent="0.25">
      <c r="A115" s="27"/>
      <c r="B115" s="14" t="str">
        <f>CONCATENATE("     ","Travel                                            ")</f>
        <v xml:space="preserve">     Travel                                            </v>
      </c>
      <c r="C115" s="14"/>
      <c r="D115" s="1">
        <f>SUM(OSRRefD22_19x_0)</f>
        <v>0</v>
      </c>
      <c r="E115" s="1"/>
      <c r="F115" s="5">
        <f t="shared" si="54"/>
        <v>0</v>
      </c>
      <c r="G115" s="1"/>
      <c r="H115" s="1">
        <f>SUM(OSRRefH22_19x_0)</f>
        <v>97.06</v>
      </c>
      <c r="I115" s="1"/>
      <c r="J115" s="5">
        <f t="shared" si="55"/>
        <v>4.6049082647808012E-4</v>
      </c>
      <c r="K115" s="1"/>
      <c r="L115" s="1">
        <f t="shared" si="56"/>
        <v>-97.06</v>
      </c>
      <c r="M115" s="1"/>
      <c r="N115" s="5">
        <f t="shared" si="57"/>
        <v>-1</v>
      </c>
      <c r="O115" s="14"/>
      <c r="P115" s="1">
        <f>SUM(OSRRefP22_19x_0)</f>
        <v>0</v>
      </c>
      <c r="Q115" s="1"/>
      <c r="R115" s="5">
        <f t="shared" si="58"/>
        <v>0</v>
      </c>
      <c r="S115" s="1"/>
      <c r="T115" s="1">
        <f>SUM(OSRRefT22_19x_0)</f>
        <v>97.06</v>
      </c>
      <c r="U115" s="1"/>
      <c r="V115" s="5">
        <f t="shared" si="59"/>
        <v>4.6049082647808012E-4</v>
      </c>
      <c r="W115" s="1"/>
      <c r="X115" s="1">
        <f t="shared" si="60"/>
        <v>-97.06</v>
      </c>
      <c r="Y115" s="1"/>
      <c r="Z115" s="5">
        <f t="shared" si="61"/>
        <v>-1</v>
      </c>
    </row>
    <row r="116" spans="1:26" s="24" customFormat="1" hidden="1" outlineLevel="2" x14ac:dyDescent="0.25">
      <c r="A116" s="29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54"/>
        <v>0</v>
      </c>
      <c r="G116" s="2"/>
      <c r="H116" s="7">
        <v>97.06</v>
      </c>
      <c r="I116" s="2"/>
      <c r="J116" s="6">
        <f t="shared" si="55"/>
        <v>4.6049082647808012E-4</v>
      </c>
      <c r="K116" s="2"/>
      <c r="L116" s="7">
        <f t="shared" si="56"/>
        <v>-97.06</v>
      </c>
      <c r="M116" s="2"/>
      <c r="N116" s="6">
        <f t="shared" si="57"/>
        <v>-1</v>
      </c>
      <c r="O116" s="11"/>
      <c r="P116" s="7"/>
      <c r="Q116" s="2"/>
      <c r="R116" s="6">
        <f t="shared" si="58"/>
        <v>0</v>
      </c>
      <c r="S116" s="2"/>
      <c r="T116" s="7">
        <v>97.06</v>
      </c>
      <c r="U116" s="2"/>
      <c r="V116" s="6">
        <f t="shared" si="59"/>
        <v>4.6049082647808012E-4</v>
      </c>
      <c r="W116" s="2"/>
      <c r="X116" s="7">
        <f t="shared" si="60"/>
        <v>-97.06</v>
      </c>
      <c r="Y116" s="2"/>
      <c r="Z116" s="6">
        <f t="shared" si="61"/>
        <v>-1</v>
      </c>
    </row>
    <row r="117" spans="1:26" s="28" customFormat="1" outlineLevel="1" collapsed="1" x14ac:dyDescent="0.25">
      <c r="A117" s="27"/>
      <c r="B117" s="14" t="str">
        <f>CONCATENATE("     ","Utilities                                         ")</f>
        <v xml:space="preserve">     Utilities                                         </v>
      </c>
      <c r="C117" s="14"/>
      <c r="D117" s="1">
        <f>SUM(OSRRefD22_20x_0)</f>
        <v>43</v>
      </c>
      <c r="E117" s="1"/>
      <c r="F117" s="5">
        <f t="shared" si="54"/>
        <v>1.8524317539370957E-4</v>
      </c>
      <c r="G117" s="1"/>
      <c r="H117" s="1">
        <f>SUM(OSRRefH22_20x_0)</f>
        <v>65.25</v>
      </c>
      <c r="I117" s="1"/>
      <c r="J117" s="5">
        <f t="shared" si="55"/>
        <v>3.0957167141659519E-4</v>
      </c>
      <c r="K117" s="1"/>
      <c r="L117" s="1">
        <f t="shared" si="56"/>
        <v>-22.25</v>
      </c>
      <c r="M117" s="1"/>
      <c r="N117" s="5">
        <f t="shared" si="57"/>
        <v>-0.34099616858237547</v>
      </c>
      <c r="O117" s="14"/>
      <c r="P117" s="1">
        <f>SUM(OSRRefP22_20x_0)</f>
        <v>43</v>
      </c>
      <c r="Q117" s="1"/>
      <c r="R117" s="5">
        <f t="shared" si="58"/>
        <v>1.8524317539370957E-4</v>
      </c>
      <c r="S117" s="1"/>
      <c r="T117" s="1">
        <f>SUM(OSRRefT22_20x_0)</f>
        <v>65.25</v>
      </c>
      <c r="U117" s="1"/>
      <c r="V117" s="5">
        <f t="shared" si="59"/>
        <v>3.0957167141659519E-4</v>
      </c>
      <c r="W117" s="1"/>
      <c r="X117" s="1">
        <f t="shared" si="60"/>
        <v>-22.25</v>
      </c>
      <c r="Y117" s="1"/>
      <c r="Z117" s="5">
        <f t="shared" si="61"/>
        <v>-0.34099616858237547</v>
      </c>
    </row>
    <row r="118" spans="1:26" s="24" customFormat="1" hidden="1" outlineLevel="2" x14ac:dyDescent="0.25">
      <c r="A118" s="29"/>
      <c r="B118" s="11" t="str">
        <f>CONCATENATE("          ", "6274", " - ", "UTILITIES")</f>
        <v xml:space="preserve">          6274 - UTILITIES</v>
      </c>
      <c r="C118" s="11"/>
      <c r="D118" s="7">
        <v>43</v>
      </c>
      <c r="E118" s="2"/>
      <c r="F118" s="6">
        <f t="shared" si="54"/>
        <v>1.8524317539370957E-4</v>
      </c>
      <c r="G118" s="2"/>
      <c r="H118" s="7">
        <v>65.25</v>
      </c>
      <c r="I118" s="2"/>
      <c r="J118" s="6">
        <f t="shared" si="55"/>
        <v>3.0957167141659519E-4</v>
      </c>
      <c r="K118" s="2"/>
      <c r="L118" s="7">
        <f t="shared" si="56"/>
        <v>-22.25</v>
      </c>
      <c r="M118" s="2"/>
      <c r="N118" s="6">
        <f t="shared" si="57"/>
        <v>-0.34099616858237547</v>
      </c>
      <c r="O118" s="11"/>
      <c r="P118" s="7">
        <v>43</v>
      </c>
      <c r="Q118" s="2"/>
      <c r="R118" s="6">
        <f t="shared" si="58"/>
        <v>1.8524317539370957E-4</v>
      </c>
      <c r="S118" s="2"/>
      <c r="T118" s="7">
        <v>65.25</v>
      </c>
      <c r="U118" s="2"/>
      <c r="V118" s="6">
        <f t="shared" si="59"/>
        <v>3.0957167141659519E-4</v>
      </c>
      <c r="W118" s="2"/>
      <c r="X118" s="7">
        <f t="shared" si="60"/>
        <v>-22.25</v>
      </c>
      <c r="Y118" s="2"/>
      <c r="Z118" s="6">
        <f t="shared" si="61"/>
        <v>-0.34099616858237547</v>
      </c>
    </row>
    <row r="119" spans="1:26" s="54" customFormat="1" x14ac:dyDescent="0.25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6" t="s">
        <v>0</v>
      </c>
      <c r="C120" s="10"/>
      <c r="D120" s="4">
        <f>SUM(OSRRefD25x_0)</f>
        <v>9374.82</v>
      </c>
      <c r="E120" s="4"/>
      <c r="F120" s="12">
        <f t="shared" ref="F120:F121" si="62">IF(D$12=0,0,D120/D$12)</f>
        <v>4.0386544780103638E-2</v>
      </c>
      <c r="G120" s="4"/>
      <c r="H120" s="4">
        <f>SUM(OSRRefH25x_0)</f>
        <v>13620.23</v>
      </c>
      <c r="I120" s="4"/>
      <c r="J120" s="12">
        <f t="shared" ref="J120:J121" si="63">IF(H$12=0,0,H120/H$12)</f>
        <v>6.4619729749861327E-2</v>
      </c>
      <c r="K120" s="4"/>
      <c r="L120" s="4">
        <f t="shared" ref="L120:L121" si="64">+D120-H120</f>
        <v>-4245.41</v>
      </c>
      <c r="M120" s="4"/>
      <c r="N120" s="12">
        <f t="shared" ref="N120:N121" si="65">IF(H120=0,0,L120/H120)</f>
        <v>-0.31169884796365405</v>
      </c>
      <c r="O120" s="10"/>
      <c r="P120" s="4">
        <f>SUM(OSRRefP25x_0)</f>
        <v>9374.82</v>
      </c>
      <c r="Q120" s="4"/>
      <c r="R120" s="12">
        <f t="shared" ref="R120:R121" si="66">IF(P$12=0,0,P120/P$12)</f>
        <v>4.0386544780103638E-2</v>
      </c>
      <c r="S120" s="4"/>
      <c r="T120" s="4">
        <f>SUM(OSRRefT25x_0)</f>
        <v>13620.23</v>
      </c>
      <c r="U120" s="4"/>
      <c r="V120" s="12">
        <f t="shared" ref="V120:V121" si="67">IF(T$12=0,0,T120/T$12)</f>
        <v>6.4619729749861327E-2</v>
      </c>
      <c r="W120" s="4"/>
      <c r="X120" s="4">
        <f t="shared" ref="X120:X121" si="68">+P120-T120</f>
        <v>-4245.41</v>
      </c>
      <c r="Y120" s="4"/>
      <c r="Z120" s="12">
        <f t="shared" ref="Z120:Z121" si="69">IF(T120=0,0,X120/T120)</f>
        <v>-0.31169884796365405</v>
      </c>
    </row>
    <row r="121" spans="1:26" s="24" customFormat="1" hidden="1" outlineLevel="1" x14ac:dyDescent="0.25">
      <c r="A121" s="50"/>
      <c r="B121" s="11" t="str">
        <f>CONCATENATE("          ", "9150", " - ", "MISC. INCOME")</f>
        <v xml:space="preserve">          9150 - MISC. INCOME</v>
      </c>
      <c r="C121" s="11"/>
      <c r="D121" s="2">
        <f>--9374.82</f>
        <v>9374.82</v>
      </c>
      <c r="E121" s="2"/>
      <c r="F121" s="22">
        <f t="shared" si="62"/>
        <v>4.0386544780103638E-2</v>
      </c>
      <c r="G121" s="2"/>
      <c r="H121" s="2">
        <f>--13620.23</f>
        <v>13620.23</v>
      </c>
      <c r="I121" s="2"/>
      <c r="J121" s="22">
        <f t="shared" si="63"/>
        <v>6.4619729749861327E-2</v>
      </c>
      <c r="K121" s="2"/>
      <c r="L121" s="2">
        <f t="shared" si="64"/>
        <v>-4245.41</v>
      </c>
      <c r="M121" s="2"/>
      <c r="N121" s="22">
        <f t="shared" si="65"/>
        <v>-0.31169884796365405</v>
      </c>
      <c r="O121" s="11"/>
      <c r="P121" s="2">
        <f>--9374.82</f>
        <v>9374.82</v>
      </c>
      <c r="Q121" s="2"/>
      <c r="R121" s="22">
        <f t="shared" si="66"/>
        <v>4.0386544780103638E-2</v>
      </c>
      <c r="S121" s="2"/>
      <c r="T121" s="2">
        <f>--13620.23</f>
        <v>13620.23</v>
      </c>
      <c r="U121" s="2"/>
      <c r="V121" s="22">
        <f t="shared" si="67"/>
        <v>6.4619729749861327E-2</v>
      </c>
      <c r="W121" s="2"/>
      <c r="X121" s="2">
        <f t="shared" si="68"/>
        <v>-4245.41</v>
      </c>
      <c r="Y121" s="2"/>
      <c r="Z121" s="22">
        <f t="shared" si="69"/>
        <v>-0.31169884796365405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5" t="s">
        <v>3</v>
      </c>
      <c r="C123" s="25"/>
      <c r="D123" s="21">
        <f>+D57-D59+D120</f>
        <v>49954.500000000007</v>
      </c>
      <c r="E123" s="13"/>
      <c r="F123" s="20">
        <f>IF(D$12=0,0,D123/D$12)</f>
        <v>0.2152030280280248</v>
      </c>
      <c r="G123" s="13"/>
      <c r="H123" s="21">
        <f>+H57-H59+H120</f>
        <v>43956.430000000037</v>
      </c>
      <c r="I123" s="13"/>
      <c r="J123" s="20">
        <f>IF(H$12=0,0,H123/H$12)</f>
        <v>0.20854659777174833</v>
      </c>
      <c r="K123" s="16"/>
      <c r="L123" s="21">
        <f>+D123-H123</f>
        <v>5998.0699999999706</v>
      </c>
      <c r="M123" s="16"/>
      <c r="N123" s="20">
        <f>IF(H123=0,0,L123/H123)</f>
        <v>0.13645489408489192</v>
      </c>
      <c r="O123" s="26"/>
      <c r="P123" s="21">
        <f>+P57-P59+P120</f>
        <v>49954.500000000007</v>
      </c>
      <c r="Q123" s="13"/>
      <c r="R123" s="20">
        <f>IF(P$12=0,0,P123/P$12)</f>
        <v>0.2152030280280248</v>
      </c>
      <c r="S123" s="13"/>
      <c r="T123" s="21">
        <f>+T57-T59+T120</f>
        <v>43956.430000000037</v>
      </c>
      <c r="U123" s="13"/>
      <c r="V123" s="20">
        <f>IF(T$12=0,0,T123/T$12)</f>
        <v>0.20854659777174833</v>
      </c>
      <c r="W123" s="16"/>
      <c r="X123" s="21">
        <f>+P123-T123</f>
        <v>5998.0699999999706</v>
      </c>
      <c r="Y123" s="16"/>
      <c r="Z123" s="20">
        <f>IF(T123=0,0,X123/T123)</f>
        <v>0.13645489408489192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1"/>
      <c r="B125" s="10" t="s">
        <v>13</v>
      </c>
      <c r="C125" s="10"/>
      <c r="D125" s="4">
        <v>48266.11</v>
      </c>
      <c r="E125" s="4"/>
      <c r="F125" s="12">
        <f>IF(D$12=0,0,D125/D$12)</f>
        <v>0.20792947628609487</v>
      </c>
      <c r="G125" s="4"/>
      <c r="H125" s="4">
        <v>43272.259999999995</v>
      </c>
      <c r="I125" s="4"/>
      <c r="J125" s="12">
        <f>IF(H$12=0,0,H125/H$12)</f>
        <v>0.20530062611760111</v>
      </c>
      <c r="K125" s="4"/>
      <c r="L125" s="4">
        <f>+D125-H125</f>
        <v>4993.8500000000058</v>
      </c>
      <c r="M125" s="4"/>
      <c r="N125" s="12">
        <f>IF(H125=0,0,L125/H125)</f>
        <v>0.11540534282239953</v>
      </c>
      <c r="O125" s="10"/>
      <c r="P125" s="4">
        <v>48266.11</v>
      </c>
      <c r="Q125" s="4"/>
      <c r="R125" s="12">
        <f>IF(P$12=0,0,P125/P$12)</f>
        <v>0.20792947628609487</v>
      </c>
      <c r="S125" s="4"/>
      <c r="T125" s="4">
        <v>43272.259999999995</v>
      </c>
      <c r="U125" s="4"/>
      <c r="V125" s="12">
        <f>IF(T$12=0,0,T125/T$12)</f>
        <v>0.20530062611760111</v>
      </c>
      <c r="W125" s="4"/>
      <c r="X125" s="4">
        <f>+P125-T125</f>
        <v>4993.8500000000058</v>
      </c>
      <c r="Y125" s="4"/>
      <c r="Z125" s="12">
        <f>IF(T125=0,0,X125/T125)</f>
        <v>0.11540534282239953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5" t="s">
        <v>4</v>
      </c>
      <c r="C127" s="25"/>
      <c r="D127" s="33">
        <f>+D123-D125</f>
        <v>1688.3900000000067</v>
      </c>
      <c r="E127" s="13"/>
      <c r="F127" s="34">
        <f>IF(D$12=0,0,D127/D$12)</f>
        <v>7.2735517419299199E-3</v>
      </c>
      <c r="G127" s="13"/>
      <c r="H127" s="33">
        <f>+H123-H125</f>
        <v>684.17000000004191</v>
      </c>
      <c r="I127" s="13"/>
      <c r="J127" s="34">
        <f>IF(H$12=0,0,H127/H$12)</f>
        <v>3.2459716541472015E-3</v>
      </c>
      <c r="K127" s="16"/>
      <c r="L127" s="33">
        <f>D127-H127</f>
        <v>1004.2199999999648</v>
      </c>
      <c r="M127" s="16"/>
      <c r="N127" s="34">
        <f>IF(H127=0,0,L127/H127)</f>
        <v>1.4677930923599445</v>
      </c>
      <c r="O127" s="26"/>
      <c r="P127" s="33">
        <f>+P123-P125</f>
        <v>1688.3900000000067</v>
      </c>
      <c r="Q127" s="13"/>
      <c r="R127" s="34">
        <f>IF(P$12=0,0,P127/P$12)</f>
        <v>7.2735517419299199E-3</v>
      </c>
      <c r="S127" s="13"/>
      <c r="T127" s="33">
        <f>+T123-T125</f>
        <v>684.17000000004191</v>
      </c>
      <c r="U127" s="13"/>
      <c r="V127" s="34">
        <f>IF(T$12=0,0,T127/T$12)</f>
        <v>3.2459716541472015E-3</v>
      </c>
      <c r="W127" s="16"/>
      <c r="X127" s="33">
        <f>P127-T127</f>
        <v>1004.2199999999648</v>
      </c>
      <c r="Y127" s="16"/>
      <c r="Z127" s="34">
        <f>IF(T127=0,0,X127/T127)</f>
        <v>1.4677930923599445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5" t="s">
        <v>5</v>
      </c>
      <c r="C130" s="25"/>
      <c r="D130" s="31">
        <f>SUM(D127:D129)</f>
        <v>1688.3900000000067</v>
      </c>
      <c r="E130" s="13"/>
      <c r="F130" s="30">
        <f>IF(D$12=0,0,D130/D$12)</f>
        <v>7.2735517419299199E-3</v>
      </c>
      <c r="G130" s="13"/>
      <c r="H130" s="31">
        <f>SUM(H127:H129)</f>
        <v>684.17000000004191</v>
      </c>
      <c r="I130" s="13"/>
      <c r="J130" s="30">
        <f>IF(H$12=0,0,H130/H$12)</f>
        <v>3.2459716541472015E-3</v>
      </c>
      <c r="K130" s="16"/>
      <c r="L130" s="31">
        <f>+D130-H130</f>
        <v>1004.2199999999648</v>
      </c>
      <c r="M130" s="16"/>
      <c r="N130" s="30">
        <f>IF(H130=0,0,L130/H130)</f>
        <v>1.4677930923599445</v>
      </c>
      <c r="O130" s="26"/>
      <c r="P130" s="31">
        <f>SUM(P127:P129)</f>
        <v>1688.3900000000067</v>
      </c>
      <c r="Q130" s="13"/>
      <c r="R130" s="30">
        <f>IF(P$12=0,0,P130/P$12)</f>
        <v>7.2735517419299199E-3</v>
      </c>
      <c r="S130" s="13"/>
      <c r="T130" s="31">
        <f>SUM(T127:T129)</f>
        <v>684.17000000004191</v>
      </c>
      <c r="U130" s="13"/>
      <c r="V130" s="30">
        <f>IF(T$12=0,0,T130/T$12)</f>
        <v>3.2459716541472015E-3</v>
      </c>
      <c r="W130" s="16"/>
      <c r="X130" s="31">
        <f>+P130-T130</f>
        <v>1004.2199999999648</v>
      </c>
      <c r="Y130" s="16"/>
      <c r="Z130" s="30">
        <f>IF(T130=0,0,X130/T130)</f>
        <v>1.4677930923599445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6">
        <v>43726.68141921296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3" t="s">
        <v>313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9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297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180645.16</v>
      </c>
      <c r="E12" s="4"/>
      <c r="F12" s="12"/>
      <c r="G12" s="4"/>
      <c r="H12" s="4">
        <f>SUM(OSRRefH13x_0)</f>
        <v>160721.60999999999</v>
      </c>
      <c r="I12" s="4"/>
      <c r="J12" s="12"/>
      <c r="K12" s="4"/>
      <c r="L12" s="4">
        <f t="shared" ref="L12:L29" si="0">+D12-H12</f>
        <v>19923.550000000017</v>
      </c>
      <c r="M12" s="4"/>
      <c r="N12" s="12">
        <f t="shared" ref="N12:N29" si="1">IF(H12=0,0,L12/H12)</f>
        <v>0.12396310614359836</v>
      </c>
      <c r="O12" s="10"/>
      <c r="P12" s="4">
        <f>SUM(OSRRefP13x_0)</f>
        <v>180645.16</v>
      </c>
      <c r="Q12" s="4"/>
      <c r="R12" s="12"/>
      <c r="S12" s="4"/>
      <c r="T12" s="4">
        <f>SUM(OSRRefT13x_0)</f>
        <v>160721.60999999999</v>
      </c>
      <c r="U12" s="4"/>
      <c r="V12" s="12"/>
      <c r="W12" s="4"/>
      <c r="X12" s="4">
        <f t="shared" ref="X12:X29" si="2">+P12-T12</f>
        <v>19923.550000000017</v>
      </c>
      <c r="Y12" s="4"/>
      <c r="Z12" s="12">
        <f t="shared" ref="Z12:Z29" si="3">IF(T12=0,0,X12/T12)</f>
        <v>0.12396310614359836</v>
      </c>
    </row>
    <row r="13" spans="1:26" s="24" customFormat="1" hidden="1" outlineLevel="1" x14ac:dyDescent="0.25">
      <c r="A13" s="50"/>
      <c r="B13" s="11" t="str">
        <f>CONCATENATE("          ", "4040", " - ", "TAXABLE SALES-LOGO CLOTHING")</f>
        <v xml:space="preserve">          4040 - TAXABLE SALES-LOGO CLOTHING</v>
      </c>
      <c r="C13" s="11"/>
      <c r="D13" s="2">
        <f>--126559.61</f>
        <v>126559.61</v>
      </c>
      <c r="E13" s="2"/>
      <c r="F13" s="22"/>
      <c r="G13" s="2"/>
      <c r="H13" s="2">
        <f>--103495.46</f>
        <v>103495.46</v>
      </c>
      <c r="I13" s="2"/>
      <c r="J13" s="22"/>
      <c r="K13" s="2"/>
      <c r="L13" s="2">
        <f t="shared" si="0"/>
        <v>23064.149999999994</v>
      </c>
      <c r="M13" s="2"/>
      <c r="N13" s="22">
        <f t="shared" si="1"/>
        <v>0.22285180432069188</v>
      </c>
      <c r="O13" s="11"/>
      <c r="P13" s="2">
        <f>--126559.61</f>
        <v>126559.61</v>
      </c>
      <c r="Q13" s="2"/>
      <c r="R13" s="22"/>
      <c r="S13" s="2"/>
      <c r="T13" s="2">
        <f>--103495.46</f>
        <v>103495.46</v>
      </c>
      <c r="U13" s="2"/>
      <c r="V13" s="22"/>
      <c r="W13" s="2"/>
      <c r="X13" s="2">
        <f t="shared" si="2"/>
        <v>23064.149999999994</v>
      </c>
      <c r="Y13" s="2"/>
      <c r="Z13" s="22">
        <f t="shared" si="3"/>
        <v>0.22285180432069188</v>
      </c>
    </row>
    <row r="14" spans="1:26" s="24" customFormat="1" hidden="1" outlineLevel="1" x14ac:dyDescent="0.25">
      <c r="A14" s="50"/>
      <c r="B14" s="11" t="str">
        <f>CONCATENATE("          ", "4041", " - ", "TAXABLE SALES-LOGO GIFTS")</f>
        <v xml:space="preserve">          4041 - TAXABLE SALES-LOGO GIFTS</v>
      </c>
      <c r="C14" s="11"/>
      <c r="D14" s="2">
        <f>--24352.36</f>
        <v>24352.36</v>
      </c>
      <c r="E14" s="2"/>
      <c r="F14" s="22"/>
      <c r="G14" s="2"/>
      <c r="H14" s="2">
        <f>--23767.75</f>
        <v>23767.75</v>
      </c>
      <c r="I14" s="2"/>
      <c r="J14" s="22"/>
      <c r="K14" s="2"/>
      <c r="L14" s="2">
        <f t="shared" si="0"/>
        <v>584.61000000000058</v>
      </c>
      <c r="M14" s="2"/>
      <c r="N14" s="22">
        <f t="shared" si="1"/>
        <v>2.4596775041810882E-2</v>
      </c>
      <c r="O14" s="11"/>
      <c r="P14" s="2">
        <f>--24352.36</f>
        <v>24352.36</v>
      </c>
      <c r="Q14" s="2"/>
      <c r="R14" s="22"/>
      <c r="S14" s="2"/>
      <c r="T14" s="2">
        <f>--23767.75</f>
        <v>23767.75</v>
      </c>
      <c r="U14" s="2"/>
      <c r="V14" s="22"/>
      <c r="W14" s="2"/>
      <c r="X14" s="2">
        <f t="shared" si="2"/>
        <v>584.61000000000058</v>
      </c>
      <c r="Y14" s="2"/>
      <c r="Z14" s="22">
        <f t="shared" si="3"/>
        <v>2.4596775041810882E-2</v>
      </c>
    </row>
    <row r="15" spans="1:26" s="24" customFormat="1" hidden="1" outlineLevel="1" x14ac:dyDescent="0.25">
      <c r="A15" s="50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--9099.52</f>
        <v>9099.52</v>
      </c>
      <c r="E15" s="2"/>
      <c r="F15" s="22"/>
      <c r="G15" s="2"/>
      <c r="H15" s="2">
        <f>--6891.92</f>
        <v>6891.92</v>
      </c>
      <c r="I15" s="2"/>
      <c r="J15" s="22"/>
      <c r="K15" s="2"/>
      <c r="L15" s="2">
        <f t="shared" si="0"/>
        <v>2207.6000000000004</v>
      </c>
      <c r="M15" s="2"/>
      <c r="N15" s="22">
        <f t="shared" si="1"/>
        <v>0.3203171249811374</v>
      </c>
      <c r="O15" s="11"/>
      <c r="P15" s="2">
        <f>--9099.52</f>
        <v>9099.52</v>
      </c>
      <c r="Q15" s="2"/>
      <c r="R15" s="22"/>
      <c r="S15" s="2"/>
      <c r="T15" s="2">
        <f>--6891.92</f>
        <v>6891.92</v>
      </c>
      <c r="U15" s="2"/>
      <c r="V15" s="22"/>
      <c r="W15" s="2"/>
      <c r="X15" s="2">
        <f t="shared" si="2"/>
        <v>2207.6000000000004</v>
      </c>
      <c r="Y15" s="2"/>
      <c r="Z15" s="22">
        <f t="shared" si="3"/>
        <v>0.3203171249811374</v>
      </c>
    </row>
    <row r="16" spans="1:26" s="24" customFormat="1" hidden="1" outlineLevel="1" x14ac:dyDescent="0.25">
      <c r="A16" s="50"/>
      <c r="B16" s="11" t="str">
        <f>CONCATENATE("          ", "4043", " - ", "TAXABLE SALES-CARDS")</f>
        <v xml:space="preserve">          4043 - TAXABLE SALES-CARDS</v>
      </c>
      <c r="C16" s="11"/>
      <c r="D16" s="2">
        <f>--40.85</f>
        <v>40.85</v>
      </c>
      <c r="E16" s="2"/>
      <c r="F16" s="22"/>
      <c r="G16" s="2"/>
      <c r="H16" s="2">
        <f>--81.24</f>
        <v>81.239999999999995</v>
      </c>
      <c r="I16" s="2"/>
      <c r="J16" s="22"/>
      <c r="K16" s="2"/>
      <c r="L16" s="2">
        <f t="shared" si="0"/>
        <v>-40.389999999999993</v>
      </c>
      <c r="M16" s="2"/>
      <c r="N16" s="22">
        <f t="shared" si="1"/>
        <v>-0.49716888232397827</v>
      </c>
      <c r="O16" s="11"/>
      <c r="P16" s="2">
        <f>--40.85</f>
        <v>40.85</v>
      </c>
      <c r="Q16" s="2"/>
      <c r="R16" s="22"/>
      <c r="S16" s="2"/>
      <c r="T16" s="2">
        <f>--81.24</f>
        <v>81.239999999999995</v>
      </c>
      <c r="U16" s="2"/>
      <c r="V16" s="22"/>
      <c r="W16" s="2"/>
      <c r="X16" s="2">
        <f t="shared" si="2"/>
        <v>-40.389999999999993</v>
      </c>
      <c r="Y16" s="2"/>
      <c r="Z16" s="22">
        <f t="shared" si="3"/>
        <v>-0.49716888232397827</v>
      </c>
    </row>
    <row r="17" spans="1:26" s="24" customFormat="1" hidden="1" outlineLevel="1" x14ac:dyDescent="0.25">
      <c r="A17" s="50"/>
      <c r="B17" s="11" t="str">
        <f>CONCATENATE("          ", "4044", " - ", "TAXABLE SALES-ACCESSORIES")</f>
        <v xml:space="preserve">          4044 - TAXABLE SALES-ACCESSORIES</v>
      </c>
      <c r="C17" s="11"/>
      <c r="D17" s="2">
        <f>--2094.45</f>
        <v>2094.4499999999998</v>
      </c>
      <c r="E17" s="2"/>
      <c r="F17" s="22"/>
      <c r="G17" s="2"/>
      <c r="H17" s="2">
        <f>--3098.6</f>
        <v>3098.6</v>
      </c>
      <c r="I17" s="2"/>
      <c r="J17" s="22"/>
      <c r="K17" s="2"/>
      <c r="L17" s="2">
        <f t="shared" si="0"/>
        <v>-1004.1500000000001</v>
      </c>
      <c r="M17" s="2"/>
      <c r="N17" s="22">
        <f t="shared" si="1"/>
        <v>-0.32406570709352617</v>
      </c>
      <c r="O17" s="11"/>
      <c r="P17" s="2">
        <f>--2094.45</f>
        <v>2094.4499999999998</v>
      </c>
      <c r="Q17" s="2"/>
      <c r="R17" s="22"/>
      <c r="S17" s="2"/>
      <c r="T17" s="2">
        <f>--3098.6</f>
        <v>3098.6</v>
      </c>
      <c r="U17" s="2"/>
      <c r="V17" s="22"/>
      <c r="W17" s="2"/>
      <c r="X17" s="2">
        <f t="shared" si="2"/>
        <v>-1004.1500000000001</v>
      </c>
      <c r="Y17" s="2"/>
      <c r="Z17" s="22">
        <f t="shared" si="3"/>
        <v>-0.32406570709352617</v>
      </c>
    </row>
    <row r="18" spans="1:26" s="24" customFormat="1" hidden="1" outlineLevel="1" x14ac:dyDescent="0.25">
      <c r="A18" s="50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--19182.83</f>
        <v>19182.830000000002</v>
      </c>
      <c r="E18" s="2"/>
      <c r="F18" s="22"/>
      <c r="G18" s="2"/>
      <c r="H18" s="2">
        <f>--25024.32</f>
        <v>25024.32</v>
      </c>
      <c r="I18" s="2"/>
      <c r="J18" s="22"/>
      <c r="K18" s="2"/>
      <c r="L18" s="2">
        <f t="shared" si="0"/>
        <v>-5841.489999999998</v>
      </c>
      <c r="M18" s="2"/>
      <c r="N18" s="22">
        <f t="shared" si="1"/>
        <v>-0.23343251684761057</v>
      </c>
      <c r="O18" s="11"/>
      <c r="P18" s="2">
        <f>--19182.83</f>
        <v>19182.830000000002</v>
      </c>
      <c r="Q18" s="2"/>
      <c r="R18" s="22"/>
      <c r="S18" s="2"/>
      <c r="T18" s="2">
        <f>--25024.32</f>
        <v>25024.32</v>
      </c>
      <c r="U18" s="2"/>
      <c r="V18" s="22"/>
      <c r="W18" s="2"/>
      <c r="X18" s="2">
        <f t="shared" si="2"/>
        <v>-5841.489999999998</v>
      </c>
      <c r="Y18" s="2"/>
      <c r="Z18" s="22">
        <f t="shared" si="3"/>
        <v>-0.23343251684761057</v>
      </c>
    </row>
    <row r="19" spans="1:26" s="24" customFormat="1" hidden="1" outlineLevel="1" x14ac:dyDescent="0.25">
      <c r="A19" s="50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--3163.67</f>
        <v>3163.67</v>
      </c>
      <c r="E19" s="2"/>
      <c r="F19" s="22"/>
      <c r="G19" s="2"/>
      <c r="H19" s="2">
        <f>--1813.55</f>
        <v>1813.55</v>
      </c>
      <c r="I19" s="2"/>
      <c r="J19" s="22"/>
      <c r="K19" s="2"/>
      <c r="L19" s="2">
        <f t="shared" si="0"/>
        <v>1350.1200000000001</v>
      </c>
      <c r="M19" s="2"/>
      <c r="N19" s="22">
        <f t="shared" si="1"/>
        <v>0.74446251826528087</v>
      </c>
      <c r="O19" s="11"/>
      <c r="P19" s="2">
        <f>--3163.67</f>
        <v>3163.67</v>
      </c>
      <c r="Q19" s="2"/>
      <c r="R19" s="22"/>
      <c r="S19" s="2"/>
      <c r="T19" s="2">
        <f>--1813.55</f>
        <v>1813.55</v>
      </c>
      <c r="U19" s="2"/>
      <c r="V19" s="22"/>
      <c r="W19" s="2"/>
      <c r="X19" s="2">
        <f t="shared" si="2"/>
        <v>1350.1200000000001</v>
      </c>
      <c r="Y19" s="2"/>
      <c r="Z19" s="22">
        <f t="shared" si="3"/>
        <v>0.74446251826528087</v>
      </c>
    </row>
    <row r="20" spans="1:26" s="24" customFormat="1" hidden="1" outlineLevel="1" x14ac:dyDescent="0.25">
      <c r="A20" s="50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--254.2</f>
        <v>254.2</v>
      </c>
      <c r="E20" s="2"/>
      <c r="F20" s="22"/>
      <c r="G20" s="2"/>
      <c r="H20" s="2">
        <f>--185.65</f>
        <v>185.65</v>
      </c>
      <c r="I20" s="2"/>
      <c r="J20" s="22"/>
      <c r="K20" s="2"/>
      <c r="L20" s="2">
        <f t="shared" si="0"/>
        <v>68.549999999999983</v>
      </c>
      <c r="M20" s="2"/>
      <c r="N20" s="22">
        <f t="shared" si="1"/>
        <v>0.36924319956908153</v>
      </c>
      <c r="O20" s="11"/>
      <c r="P20" s="2">
        <f>--254.2</f>
        <v>254.2</v>
      </c>
      <c r="Q20" s="2"/>
      <c r="R20" s="22"/>
      <c r="S20" s="2"/>
      <c r="T20" s="2">
        <f>--185.65</f>
        <v>185.65</v>
      </c>
      <c r="U20" s="2"/>
      <c r="V20" s="22"/>
      <c r="W20" s="2"/>
      <c r="X20" s="2">
        <f t="shared" si="2"/>
        <v>68.549999999999983</v>
      </c>
      <c r="Y20" s="2"/>
      <c r="Z20" s="22">
        <f t="shared" si="3"/>
        <v>0.36924319956908153</v>
      </c>
    </row>
    <row r="21" spans="1:26" s="24" customFormat="1" hidden="1" outlineLevel="1" x14ac:dyDescent="0.25">
      <c r="A21" s="50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--151.52</f>
        <v>151.52000000000001</v>
      </c>
      <c r="E21" s="2"/>
      <c r="F21" s="22"/>
      <c r="G21" s="2"/>
      <c r="H21" s="2">
        <f>--6.95</f>
        <v>6.95</v>
      </c>
      <c r="I21" s="2"/>
      <c r="J21" s="22"/>
      <c r="K21" s="2"/>
      <c r="L21" s="2">
        <f t="shared" si="0"/>
        <v>144.57000000000002</v>
      </c>
      <c r="M21" s="2"/>
      <c r="N21" s="22">
        <f t="shared" si="1"/>
        <v>20.801438848920867</v>
      </c>
      <c r="O21" s="11"/>
      <c r="P21" s="2">
        <f>--151.52</f>
        <v>151.52000000000001</v>
      </c>
      <c r="Q21" s="2"/>
      <c r="R21" s="22"/>
      <c r="S21" s="2"/>
      <c r="T21" s="2">
        <f>--6.95</f>
        <v>6.95</v>
      </c>
      <c r="U21" s="2"/>
      <c r="V21" s="22"/>
      <c r="W21" s="2"/>
      <c r="X21" s="2">
        <f t="shared" si="2"/>
        <v>144.57000000000002</v>
      </c>
      <c r="Y21" s="2"/>
      <c r="Z21" s="22">
        <f t="shared" si="3"/>
        <v>20.801438848920867</v>
      </c>
    </row>
    <row r="22" spans="1:26" s="24" customFormat="1" hidden="1" outlineLevel="1" x14ac:dyDescent="0.25">
      <c r="A22" s="50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>--21.9</f>
        <v>21.9</v>
      </c>
      <c r="E22" s="2"/>
      <c r="F22" s="22"/>
      <c r="G22" s="2"/>
      <c r="H22" s="2">
        <f>--44.95</f>
        <v>44.95</v>
      </c>
      <c r="I22" s="2"/>
      <c r="J22" s="22"/>
      <c r="K22" s="2"/>
      <c r="L22" s="2">
        <f t="shared" si="0"/>
        <v>-23.050000000000004</v>
      </c>
      <c r="M22" s="2"/>
      <c r="N22" s="22">
        <f t="shared" si="1"/>
        <v>-0.51279199110122364</v>
      </c>
      <c r="O22" s="11"/>
      <c r="P22" s="2">
        <f>--21.9</f>
        <v>21.9</v>
      </c>
      <c r="Q22" s="2"/>
      <c r="R22" s="22"/>
      <c r="S22" s="2"/>
      <c r="T22" s="2">
        <f>--44.95</f>
        <v>44.95</v>
      </c>
      <c r="U22" s="2"/>
      <c r="V22" s="22"/>
      <c r="W22" s="2"/>
      <c r="X22" s="2">
        <f t="shared" si="2"/>
        <v>-23.050000000000004</v>
      </c>
      <c r="Y22" s="2"/>
      <c r="Z22" s="22">
        <f t="shared" si="3"/>
        <v>-0.51279199110122364</v>
      </c>
    </row>
    <row r="23" spans="1:26" s="24" customFormat="1" hidden="1" outlineLevel="1" x14ac:dyDescent="0.25">
      <c r="A23" s="50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>0</f>
        <v>0</v>
      </c>
      <c r="E23" s="2"/>
      <c r="F23" s="22"/>
      <c r="G23" s="2"/>
      <c r="H23" s="2">
        <f>--59.85</f>
        <v>59.85</v>
      </c>
      <c r="I23" s="2"/>
      <c r="J23" s="22"/>
      <c r="K23" s="2"/>
      <c r="L23" s="2">
        <f t="shared" si="0"/>
        <v>-59.85</v>
      </c>
      <c r="M23" s="2"/>
      <c r="N23" s="22">
        <f t="shared" si="1"/>
        <v>-1</v>
      </c>
      <c r="O23" s="11"/>
      <c r="P23" s="2">
        <f>0</f>
        <v>0</v>
      </c>
      <c r="Q23" s="2"/>
      <c r="R23" s="22"/>
      <c r="S23" s="2"/>
      <c r="T23" s="2">
        <f>--59.85</f>
        <v>59.85</v>
      </c>
      <c r="U23" s="2"/>
      <c r="V23" s="22"/>
      <c r="W23" s="2"/>
      <c r="X23" s="2">
        <f t="shared" si="2"/>
        <v>-59.85</v>
      </c>
      <c r="Y23" s="2"/>
      <c r="Z23" s="22">
        <f t="shared" si="3"/>
        <v>-1</v>
      </c>
    </row>
    <row r="24" spans="1:26" s="24" customFormat="1" hidden="1" outlineLevel="1" x14ac:dyDescent="0.25">
      <c r="A24" s="50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-3088.89</f>
        <v>-3088.89</v>
      </c>
      <c r="E24" s="2"/>
      <c r="F24" s="22"/>
      <c r="G24" s="2"/>
      <c r="H24" s="2">
        <f>-3185.42</f>
        <v>-3185.42</v>
      </c>
      <c r="I24" s="2"/>
      <c r="J24" s="22"/>
      <c r="K24" s="2"/>
      <c r="L24" s="2">
        <f t="shared" si="0"/>
        <v>96.5300000000002</v>
      </c>
      <c r="M24" s="2"/>
      <c r="N24" s="22">
        <f t="shared" si="1"/>
        <v>-3.030369621588368E-2</v>
      </c>
      <c r="O24" s="11"/>
      <c r="P24" s="2">
        <f>-3088.89</f>
        <v>-3088.89</v>
      </c>
      <c r="Q24" s="2"/>
      <c r="R24" s="22"/>
      <c r="S24" s="2"/>
      <c r="T24" s="2">
        <f>-3185.42</f>
        <v>-3185.42</v>
      </c>
      <c r="U24" s="2"/>
      <c r="V24" s="22"/>
      <c r="W24" s="2"/>
      <c r="X24" s="2">
        <f t="shared" si="2"/>
        <v>96.5300000000002</v>
      </c>
      <c r="Y24" s="2"/>
      <c r="Z24" s="22">
        <f t="shared" si="3"/>
        <v>-3.030369621588368E-2</v>
      </c>
    </row>
    <row r="25" spans="1:26" s="24" customFormat="1" hidden="1" outlineLevel="1" x14ac:dyDescent="0.25">
      <c r="A25" s="50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-541.69</f>
        <v>-541.69000000000005</v>
      </c>
      <c r="E25" s="2"/>
      <c r="F25" s="22"/>
      <c r="G25" s="2"/>
      <c r="H25" s="2">
        <f>-368.51</f>
        <v>-368.51</v>
      </c>
      <c r="I25" s="2"/>
      <c r="J25" s="22"/>
      <c r="K25" s="2"/>
      <c r="L25" s="2">
        <f t="shared" si="0"/>
        <v>-173.18000000000006</v>
      </c>
      <c r="M25" s="2"/>
      <c r="N25" s="22">
        <f t="shared" si="1"/>
        <v>0.46994654147784337</v>
      </c>
      <c r="O25" s="11"/>
      <c r="P25" s="2">
        <f>-541.69</f>
        <v>-541.69000000000005</v>
      </c>
      <c r="Q25" s="2"/>
      <c r="R25" s="22"/>
      <c r="S25" s="2"/>
      <c r="T25" s="2">
        <f>-368.51</f>
        <v>-368.51</v>
      </c>
      <c r="U25" s="2"/>
      <c r="V25" s="22"/>
      <c r="W25" s="2"/>
      <c r="X25" s="2">
        <f t="shared" si="2"/>
        <v>-173.18000000000006</v>
      </c>
      <c r="Y25" s="2"/>
      <c r="Z25" s="22">
        <f t="shared" si="3"/>
        <v>0.46994654147784337</v>
      </c>
    </row>
    <row r="26" spans="1:26" s="24" customFormat="1" hidden="1" outlineLevel="1" x14ac:dyDescent="0.25">
      <c r="A26" s="50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-314.83</f>
        <v>-314.83</v>
      </c>
      <c r="E26" s="2"/>
      <c r="F26" s="22"/>
      <c r="G26" s="2"/>
      <c r="H26" s="2">
        <f>-129.8</f>
        <v>-129.80000000000001</v>
      </c>
      <c r="I26" s="2"/>
      <c r="J26" s="22"/>
      <c r="K26" s="2"/>
      <c r="L26" s="2">
        <f t="shared" si="0"/>
        <v>-185.02999999999997</v>
      </c>
      <c r="M26" s="2"/>
      <c r="N26" s="22">
        <f t="shared" si="1"/>
        <v>1.4255007704160243</v>
      </c>
      <c r="O26" s="11"/>
      <c r="P26" s="2">
        <f>-314.83</f>
        <v>-314.83</v>
      </c>
      <c r="Q26" s="2"/>
      <c r="R26" s="22"/>
      <c r="S26" s="2"/>
      <c r="T26" s="2">
        <f>-129.8</f>
        <v>-129.80000000000001</v>
      </c>
      <c r="U26" s="2"/>
      <c r="V26" s="22"/>
      <c r="W26" s="2"/>
      <c r="X26" s="2">
        <f t="shared" si="2"/>
        <v>-185.02999999999997</v>
      </c>
      <c r="Y26" s="2"/>
      <c r="Z26" s="22">
        <f t="shared" si="3"/>
        <v>1.4255007704160243</v>
      </c>
    </row>
    <row r="27" spans="1:26" s="24" customFormat="1" hidden="1" outlineLevel="1" x14ac:dyDescent="0.25">
      <c r="A27" s="50"/>
      <c r="B27" s="11" t="str">
        <f>CONCATENATE("          ", "4244", " - ", "SALES RETURN TAXABLE-ACCESSORI")</f>
        <v xml:space="preserve">          4244 - SALES RETURN TAXABLE-ACCESSORI</v>
      </c>
      <c r="C27" s="11"/>
      <c r="D27" s="2">
        <f>-106.79</f>
        <v>-106.79</v>
      </c>
      <c r="E27" s="2"/>
      <c r="F27" s="22"/>
      <c r="G27" s="2"/>
      <c r="H27" s="2">
        <f>-44.95</f>
        <v>-44.95</v>
      </c>
      <c r="I27" s="2"/>
      <c r="J27" s="22"/>
      <c r="K27" s="2"/>
      <c r="L27" s="2">
        <f t="shared" si="0"/>
        <v>-61.84</v>
      </c>
      <c r="M27" s="2"/>
      <c r="N27" s="22">
        <f t="shared" si="1"/>
        <v>1.3757508342602891</v>
      </c>
      <c r="O27" s="11"/>
      <c r="P27" s="2">
        <f>-106.79</f>
        <v>-106.79</v>
      </c>
      <c r="Q27" s="2"/>
      <c r="R27" s="22"/>
      <c r="S27" s="2"/>
      <c r="T27" s="2">
        <f>-44.95</f>
        <v>-44.95</v>
      </c>
      <c r="U27" s="2"/>
      <c r="V27" s="22"/>
      <c r="W27" s="2"/>
      <c r="X27" s="2">
        <f t="shared" si="2"/>
        <v>-61.84</v>
      </c>
      <c r="Y27" s="2"/>
      <c r="Z27" s="22">
        <f t="shared" si="3"/>
        <v>1.3757508342602891</v>
      </c>
    </row>
    <row r="28" spans="1:26" s="24" customFormat="1" hidden="1" outlineLevel="1" x14ac:dyDescent="0.25">
      <c r="A28" s="50"/>
      <c r="B28" s="11" t="str">
        <f>CONCATENATE("          ", "4245", " - ", "SALES RETURN TAXABLE-SPECIAL O")</f>
        <v xml:space="preserve">          4245 - SALES RETURN TAXABLE-SPECIAL O</v>
      </c>
      <c r="C28" s="11"/>
      <c r="D28" s="2">
        <f>0</f>
        <v>0</v>
      </c>
      <c r="E28" s="2"/>
      <c r="F28" s="22"/>
      <c r="G28" s="2"/>
      <c r="H28" s="2">
        <f>-19.95</f>
        <v>-19.95</v>
      </c>
      <c r="I28" s="2"/>
      <c r="J28" s="22"/>
      <c r="K28" s="2"/>
      <c r="L28" s="2">
        <f t="shared" si="0"/>
        <v>19.95</v>
      </c>
      <c r="M28" s="2"/>
      <c r="N28" s="22">
        <f t="shared" si="1"/>
        <v>-1</v>
      </c>
      <c r="O28" s="11"/>
      <c r="P28" s="2">
        <f>0</f>
        <v>0</v>
      </c>
      <c r="Q28" s="2"/>
      <c r="R28" s="22"/>
      <c r="S28" s="2"/>
      <c r="T28" s="2">
        <f>-19.95</f>
        <v>-19.95</v>
      </c>
      <c r="U28" s="2"/>
      <c r="V28" s="22"/>
      <c r="W28" s="2"/>
      <c r="X28" s="2">
        <f t="shared" si="2"/>
        <v>19.95</v>
      </c>
      <c r="Y28" s="2"/>
      <c r="Z28" s="22">
        <f t="shared" si="3"/>
        <v>-1</v>
      </c>
    </row>
    <row r="29" spans="1:26" s="24" customFormat="1" hidden="1" outlineLevel="1" x14ac:dyDescent="0.25">
      <c r="A29" s="50"/>
      <c r="B29" s="11" t="str">
        <f>CONCATENATE("          ", "4340", " - ", "SALES RETURN NON TAXABLE-LOGO")</f>
        <v xml:space="preserve">          4340 - SALES RETURN NON TAXABLE-LOGO</v>
      </c>
      <c r="C29" s="11"/>
      <c r="D29" s="2">
        <f>-223.55</f>
        <v>-223.55</v>
      </c>
      <c r="E29" s="2"/>
      <c r="F29" s="22"/>
      <c r="G29" s="2"/>
      <c r="H29" s="2">
        <f>0</f>
        <v>0</v>
      </c>
      <c r="I29" s="2"/>
      <c r="J29" s="22"/>
      <c r="K29" s="2"/>
      <c r="L29" s="2">
        <f t="shared" si="0"/>
        <v>-223.55</v>
      </c>
      <c r="M29" s="2"/>
      <c r="N29" s="22">
        <f t="shared" si="1"/>
        <v>0</v>
      </c>
      <c r="O29" s="11"/>
      <c r="P29" s="2">
        <f>-223.55</f>
        <v>-223.55</v>
      </c>
      <c r="Q29" s="2"/>
      <c r="R29" s="22"/>
      <c r="S29" s="2"/>
      <c r="T29" s="2">
        <f>0</f>
        <v>0</v>
      </c>
      <c r="U29" s="2"/>
      <c r="V29" s="22"/>
      <c r="W29" s="2"/>
      <c r="X29" s="2">
        <f t="shared" si="2"/>
        <v>-223.55</v>
      </c>
      <c r="Y29" s="2"/>
      <c r="Z29" s="22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6" t="s">
        <v>8</v>
      </c>
      <c r="C31" s="10"/>
      <c r="D31" s="4">
        <f>SUM(OSRRefD16x_0)</f>
        <v>85846.780000000013</v>
      </c>
      <c r="E31" s="4"/>
      <c r="F31" s="12">
        <f t="shared" ref="F31:F44" si="4">IF(D$12=0,0,D31/D$12)</f>
        <v>0.47522324982302327</v>
      </c>
      <c r="G31" s="4"/>
      <c r="H31" s="4">
        <f>SUM(OSRRefH16x_0)</f>
        <v>77821.339999999982</v>
      </c>
      <c r="I31" s="4"/>
      <c r="J31" s="12">
        <f t="shared" ref="J31:J44" si="5">IF(H$12=0,0,H31/H$12)</f>
        <v>0.48419960452113431</v>
      </c>
      <c r="K31" s="4"/>
      <c r="L31" s="4">
        <f t="shared" ref="L31:L44" si="6">+D31-H31</f>
        <v>8025.4400000000314</v>
      </c>
      <c r="M31" s="4"/>
      <c r="N31" s="12">
        <f t="shared" ref="N31:N44" si="7">IF(H31=0,0,L31/H31)</f>
        <v>0.1031264689094281</v>
      </c>
      <c r="O31" s="10"/>
      <c r="P31" s="4">
        <f>SUM(OSRRefP16x_0)</f>
        <v>85846.780000000013</v>
      </c>
      <c r="Q31" s="4"/>
      <c r="R31" s="12">
        <f t="shared" ref="R31:R44" si="8">IF(P$12=0,0,P31/P$12)</f>
        <v>0.47522324982302327</v>
      </c>
      <c r="S31" s="4"/>
      <c r="T31" s="4">
        <f>SUM(OSRRefT16x_0)</f>
        <v>77821.339999999982</v>
      </c>
      <c r="U31" s="4"/>
      <c r="V31" s="12">
        <f t="shared" ref="V31:V44" si="9">IF(T$12=0,0,T31/T$12)</f>
        <v>0.48419960452113431</v>
      </c>
      <c r="W31" s="4"/>
      <c r="X31" s="4">
        <f t="shared" ref="X31:X44" si="10">+P31-T31</f>
        <v>8025.4400000000314</v>
      </c>
      <c r="Y31" s="4"/>
      <c r="Z31" s="12">
        <f t="shared" ref="Z31:Z44" si="11">IF(T31=0,0,X31/T31)</f>
        <v>0.1031264689094281</v>
      </c>
    </row>
    <row r="32" spans="1:26" s="24" customFormat="1" hidden="1" outlineLevel="1" x14ac:dyDescent="0.25">
      <c r="A32" s="50"/>
      <c r="B32" s="11" t="str">
        <f>CONCATENATE("          ", "5040", " - ", "PURCHASES @ COST-LOGO CLOTHING")</f>
        <v xml:space="preserve">          5040 - PURCHASES @ COST-LOGO CLOTHING</v>
      </c>
      <c r="C32" s="11"/>
      <c r="D32" s="2">
        <v>54136.990000000005</v>
      </c>
      <c r="E32" s="2"/>
      <c r="F32" s="22">
        <f t="shared" si="4"/>
        <v>0.29968691106919226</v>
      </c>
      <c r="G32" s="2"/>
      <c r="H32" s="2">
        <v>59849.06</v>
      </c>
      <c r="I32" s="2"/>
      <c r="J32" s="22">
        <f t="shared" si="5"/>
        <v>0.37237718064173203</v>
      </c>
      <c r="K32" s="2"/>
      <c r="L32" s="2">
        <f t="shared" si="6"/>
        <v>-5712.0699999999924</v>
      </c>
      <c r="M32" s="2"/>
      <c r="N32" s="22">
        <f t="shared" si="7"/>
        <v>-9.5441265075842344E-2</v>
      </c>
      <c r="O32" s="11"/>
      <c r="P32" s="2">
        <v>54136.990000000005</v>
      </c>
      <c r="Q32" s="2"/>
      <c r="R32" s="22">
        <f t="shared" si="8"/>
        <v>0.29968691106919226</v>
      </c>
      <c r="S32" s="2"/>
      <c r="T32" s="2">
        <v>59849.06</v>
      </c>
      <c r="U32" s="2"/>
      <c r="V32" s="22">
        <f t="shared" si="9"/>
        <v>0.37237718064173203</v>
      </c>
      <c r="W32" s="2"/>
      <c r="X32" s="2">
        <f t="shared" si="10"/>
        <v>-5712.0699999999924</v>
      </c>
      <c r="Y32" s="2"/>
      <c r="Z32" s="22">
        <f t="shared" si="11"/>
        <v>-9.5441265075842344E-2</v>
      </c>
    </row>
    <row r="33" spans="1:26" s="24" customFormat="1" hidden="1" outlineLevel="1" x14ac:dyDescent="0.25">
      <c r="A33" s="50"/>
      <c r="B33" s="11" t="str">
        <f>CONCATENATE("          ", "5041", " - ", "PURCHASES @ COST-LOGO GIFTS")</f>
        <v xml:space="preserve">          5041 - PURCHASES @ COST-LOGO GIFTS</v>
      </c>
      <c r="C33" s="11"/>
      <c r="D33" s="2">
        <v>6767.51</v>
      </c>
      <c r="E33" s="2"/>
      <c r="F33" s="22">
        <f t="shared" si="4"/>
        <v>3.7463002053307159E-2</v>
      </c>
      <c r="G33" s="2"/>
      <c r="H33" s="2">
        <v>20060.400000000001</v>
      </c>
      <c r="I33" s="2"/>
      <c r="J33" s="22">
        <f t="shared" si="5"/>
        <v>0.12481457845027812</v>
      </c>
      <c r="K33" s="2"/>
      <c r="L33" s="2">
        <f t="shared" si="6"/>
        <v>-13292.890000000001</v>
      </c>
      <c r="M33" s="2"/>
      <c r="N33" s="22">
        <f t="shared" si="7"/>
        <v>-0.66264331718211</v>
      </c>
      <c r="O33" s="11"/>
      <c r="P33" s="2">
        <v>6767.51</v>
      </c>
      <c r="Q33" s="2"/>
      <c r="R33" s="22">
        <f t="shared" si="8"/>
        <v>3.7463002053307159E-2</v>
      </c>
      <c r="S33" s="2"/>
      <c r="T33" s="2">
        <v>20060.400000000001</v>
      </c>
      <c r="U33" s="2"/>
      <c r="V33" s="22">
        <f t="shared" si="9"/>
        <v>0.12481457845027812</v>
      </c>
      <c r="W33" s="2"/>
      <c r="X33" s="2">
        <f t="shared" si="10"/>
        <v>-13292.890000000001</v>
      </c>
      <c r="Y33" s="2"/>
      <c r="Z33" s="22">
        <f t="shared" si="11"/>
        <v>-0.66264331718211</v>
      </c>
    </row>
    <row r="34" spans="1:26" s="24" customFormat="1" hidden="1" outlineLevel="1" x14ac:dyDescent="0.25">
      <c r="A34" s="50"/>
      <c r="B34" s="11" t="str">
        <f>CONCATENATE("          ", "5042", " - ", "PURCHASES @ COST-EVERYDAY GIFT")</f>
        <v xml:space="preserve">          5042 - PURCHASES @ COST-EVERYDAY GIFT</v>
      </c>
      <c r="C34" s="11"/>
      <c r="D34" s="2">
        <v>5133.04</v>
      </c>
      <c r="E34" s="2"/>
      <c r="F34" s="22">
        <f t="shared" si="4"/>
        <v>2.8415043060107451E-2</v>
      </c>
      <c r="G34" s="2"/>
      <c r="H34" s="2">
        <v>3333.24</v>
      </c>
      <c r="I34" s="2"/>
      <c r="J34" s="22">
        <f t="shared" si="5"/>
        <v>2.0739214844848804E-2</v>
      </c>
      <c r="K34" s="2"/>
      <c r="L34" s="2">
        <f t="shared" si="6"/>
        <v>1799.8000000000002</v>
      </c>
      <c r="M34" s="2"/>
      <c r="N34" s="22">
        <f t="shared" si="7"/>
        <v>0.53995511874332491</v>
      </c>
      <c r="O34" s="11"/>
      <c r="P34" s="2">
        <v>5133.04</v>
      </c>
      <c r="Q34" s="2"/>
      <c r="R34" s="22">
        <f t="shared" si="8"/>
        <v>2.8415043060107451E-2</v>
      </c>
      <c r="S34" s="2"/>
      <c r="T34" s="2">
        <v>3333.24</v>
      </c>
      <c r="U34" s="2"/>
      <c r="V34" s="22">
        <f t="shared" si="9"/>
        <v>2.0739214844848804E-2</v>
      </c>
      <c r="W34" s="2"/>
      <c r="X34" s="2">
        <f t="shared" si="10"/>
        <v>1799.8000000000002</v>
      </c>
      <c r="Y34" s="2"/>
      <c r="Z34" s="22">
        <f t="shared" si="11"/>
        <v>0.53995511874332491</v>
      </c>
    </row>
    <row r="35" spans="1:26" s="24" customFormat="1" hidden="1" outlineLevel="1" x14ac:dyDescent="0.25">
      <c r="A35" s="50"/>
      <c r="B35" s="11" t="str">
        <f>CONCATENATE("          ", "5043", " - ", "PURCHASES @ COST-CARDS")</f>
        <v xml:space="preserve">          5043 - PURCHASES @ COST-CARDS</v>
      </c>
      <c r="C35" s="11"/>
      <c r="D35" s="2">
        <v>498.26</v>
      </c>
      <c r="E35" s="2"/>
      <c r="F35" s="22">
        <f t="shared" si="4"/>
        <v>2.7582250197016071E-3</v>
      </c>
      <c r="G35" s="2"/>
      <c r="H35" s="2">
        <v>470.73</v>
      </c>
      <c r="I35" s="2"/>
      <c r="J35" s="22">
        <f t="shared" si="5"/>
        <v>2.9288531890639975E-3</v>
      </c>
      <c r="K35" s="2"/>
      <c r="L35" s="2">
        <f t="shared" si="6"/>
        <v>27.529999999999973</v>
      </c>
      <c r="M35" s="2"/>
      <c r="N35" s="22">
        <f t="shared" si="7"/>
        <v>5.848363180591841E-2</v>
      </c>
      <c r="O35" s="11"/>
      <c r="P35" s="2">
        <v>498.26</v>
      </c>
      <c r="Q35" s="2"/>
      <c r="R35" s="22">
        <f t="shared" si="8"/>
        <v>2.7582250197016071E-3</v>
      </c>
      <c r="S35" s="2"/>
      <c r="T35" s="2">
        <v>470.73</v>
      </c>
      <c r="U35" s="2"/>
      <c r="V35" s="22">
        <f t="shared" si="9"/>
        <v>2.9288531890639975E-3</v>
      </c>
      <c r="W35" s="2"/>
      <c r="X35" s="2">
        <f t="shared" si="10"/>
        <v>27.529999999999973</v>
      </c>
      <c r="Y35" s="2"/>
      <c r="Z35" s="22">
        <f t="shared" si="11"/>
        <v>5.848363180591841E-2</v>
      </c>
    </row>
    <row r="36" spans="1:26" s="24" customFormat="1" hidden="1" outlineLevel="1" x14ac:dyDescent="0.25">
      <c r="A36" s="50"/>
      <c r="B36" s="11" t="str">
        <f>CONCATENATE("          ", "5044", " - ", "PURCHASES @ COST-ACCESSORIES")</f>
        <v xml:space="preserve">          5044 - PURCHASES @ COST-ACCESSORIES</v>
      </c>
      <c r="C36" s="11"/>
      <c r="D36" s="2">
        <v>4504.8900000000003</v>
      </c>
      <c r="E36" s="2"/>
      <c r="F36" s="22">
        <f t="shared" si="4"/>
        <v>2.493778410669846E-2</v>
      </c>
      <c r="G36" s="2"/>
      <c r="H36" s="2">
        <v>5062.05</v>
      </c>
      <c r="I36" s="2"/>
      <c r="J36" s="22">
        <f t="shared" si="5"/>
        <v>3.1495764633019792E-2</v>
      </c>
      <c r="K36" s="2"/>
      <c r="L36" s="2">
        <f t="shared" si="6"/>
        <v>-557.15999999999985</v>
      </c>
      <c r="M36" s="2"/>
      <c r="N36" s="22">
        <f t="shared" si="7"/>
        <v>-0.11006607994784719</v>
      </c>
      <c r="O36" s="11"/>
      <c r="P36" s="2">
        <v>4504.8900000000003</v>
      </c>
      <c r="Q36" s="2"/>
      <c r="R36" s="22">
        <f t="shared" si="8"/>
        <v>2.493778410669846E-2</v>
      </c>
      <c r="S36" s="2"/>
      <c r="T36" s="2">
        <v>5062.05</v>
      </c>
      <c r="U36" s="2"/>
      <c r="V36" s="22">
        <f t="shared" si="9"/>
        <v>3.1495764633019792E-2</v>
      </c>
      <c r="W36" s="2"/>
      <c r="X36" s="2">
        <f t="shared" si="10"/>
        <v>-557.15999999999985</v>
      </c>
      <c r="Y36" s="2"/>
      <c r="Z36" s="22">
        <f t="shared" si="11"/>
        <v>-0.11006607994784719</v>
      </c>
    </row>
    <row r="37" spans="1:26" s="24" customFormat="1" hidden="1" outlineLevel="1" x14ac:dyDescent="0.25">
      <c r="A37" s="50"/>
      <c r="B37" s="11" t="str">
        <f>CONCATENATE("          ", "5045", " - ", "PURCHASES @ COST-SPECIAL ORDER")</f>
        <v xml:space="preserve">          5045 - PURCHASES @ COST-SPECIAL ORDER</v>
      </c>
      <c r="C37" s="11"/>
      <c r="D37" s="2">
        <v>15947.849999999999</v>
      </c>
      <c r="E37" s="2"/>
      <c r="F37" s="22">
        <f t="shared" si="4"/>
        <v>8.8282741702019579E-2</v>
      </c>
      <c r="G37" s="2"/>
      <c r="H37" s="2">
        <v>18664.560000000001</v>
      </c>
      <c r="I37" s="2"/>
      <c r="J37" s="22">
        <f t="shared" si="5"/>
        <v>0.11612974758030363</v>
      </c>
      <c r="K37" s="2"/>
      <c r="L37" s="2">
        <f t="shared" si="6"/>
        <v>-2716.7100000000028</v>
      </c>
      <c r="M37" s="2"/>
      <c r="N37" s="22">
        <f t="shared" si="7"/>
        <v>-0.14555446257506219</v>
      </c>
      <c r="O37" s="11"/>
      <c r="P37" s="2">
        <v>15947.849999999999</v>
      </c>
      <c r="Q37" s="2"/>
      <c r="R37" s="22">
        <f t="shared" si="8"/>
        <v>8.8282741702019579E-2</v>
      </c>
      <c r="S37" s="2"/>
      <c r="T37" s="2">
        <v>18664.560000000001</v>
      </c>
      <c r="U37" s="2"/>
      <c r="V37" s="22">
        <f t="shared" si="9"/>
        <v>0.11612974758030363</v>
      </c>
      <c r="W37" s="2"/>
      <c r="X37" s="2">
        <f t="shared" si="10"/>
        <v>-2716.7100000000028</v>
      </c>
      <c r="Y37" s="2"/>
      <c r="Z37" s="22">
        <f t="shared" si="11"/>
        <v>-0.14555446257506219</v>
      </c>
    </row>
    <row r="38" spans="1:26" s="24" customFormat="1" hidden="1" outlineLevel="1" x14ac:dyDescent="0.25">
      <c r="A38" s="50"/>
      <c r="B38" s="11" t="str">
        <f>CONCATENATE("          ", "5200", " - ", "PURCHASES OFFSET")</f>
        <v xml:space="preserve">          5200 - PURCHASES OFFSET</v>
      </c>
      <c r="C38" s="11"/>
      <c r="D38" s="2">
        <v>-87972</v>
      </c>
      <c r="E38" s="2"/>
      <c r="F38" s="22">
        <f t="shared" si="4"/>
        <v>-0.48698786062134186</v>
      </c>
      <c r="G38" s="2"/>
      <c r="H38" s="2">
        <v>-109650</v>
      </c>
      <c r="I38" s="2"/>
      <c r="J38" s="22">
        <f t="shared" si="5"/>
        <v>-0.68223557491739917</v>
      </c>
      <c r="K38" s="2"/>
      <c r="L38" s="2">
        <f t="shared" si="6"/>
        <v>21678</v>
      </c>
      <c r="M38" s="2"/>
      <c r="N38" s="22">
        <f t="shared" si="7"/>
        <v>-0.19770177838577291</v>
      </c>
      <c r="O38" s="11"/>
      <c r="P38" s="2">
        <v>-87972</v>
      </c>
      <c r="Q38" s="2"/>
      <c r="R38" s="22">
        <f t="shared" si="8"/>
        <v>-0.48698786062134186</v>
      </c>
      <c r="S38" s="2"/>
      <c r="T38" s="2">
        <v>-109650</v>
      </c>
      <c r="U38" s="2"/>
      <c r="V38" s="22">
        <f t="shared" si="9"/>
        <v>-0.68223557491739917</v>
      </c>
      <c r="W38" s="2"/>
      <c r="X38" s="2">
        <f t="shared" si="10"/>
        <v>21678</v>
      </c>
      <c r="Y38" s="2"/>
      <c r="Z38" s="22">
        <f t="shared" si="11"/>
        <v>-0.19770177838577291</v>
      </c>
    </row>
    <row r="39" spans="1:26" s="24" customFormat="1" hidden="1" outlineLevel="1" x14ac:dyDescent="0.25">
      <c r="A39" s="50"/>
      <c r="B39" s="11" t="str">
        <f>CONCATENATE("          ", "5300", " - ", "COG$ OFFSET")</f>
        <v xml:space="preserve">          5300 - COG$ OFFSET</v>
      </c>
      <c r="C39" s="11"/>
      <c r="D39" s="2">
        <v>85847</v>
      </c>
      <c r="E39" s="2"/>
      <c r="F39" s="22">
        <f t="shared" si="4"/>
        <v>0.47522446768017473</v>
      </c>
      <c r="G39" s="2"/>
      <c r="H39" s="2">
        <v>77822</v>
      </c>
      <c r="I39" s="2"/>
      <c r="J39" s="22">
        <f t="shared" si="5"/>
        <v>0.48420371100065512</v>
      </c>
      <c r="K39" s="2"/>
      <c r="L39" s="2">
        <f t="shared" si="6"/>
        <v>8025</v>
      </c>
      <c r="M39" s="2"/>
      <c r="N39" s="22">
        <f t="shared" si="7"/>
        <v>0.10311994037675722</v>
      </c>
      <c r="O39" s="11"/>
      <c r="P39" s="2">
        <v>85847</v>
      </c>
      <c r="Q39" s="2"/>
      <c r="R39" s="22">
        <f t="shared" si="8"/>
        <v>0.47522446768017473</v>
      </c>
      <c r="S39" s="2"/>
      <c r="T39" s="2">
        <v>77822</v>
      </c>
      <c r="U39" s="2"/>
      <c r="V39" s="22">
        <f t="shared" si="9"/>
        <v>0.48420371100065512</v>
      </c>
      <c r="W39" s="2"/>
      <c r="X39" s="2">
        <f t="shared" si="10"/>
        <v>8025</v>
      </c>
      <c r="Y39" s="2"/>
      <c r="Z39" s="22">
        <f t="shared" si="11"/>
        <v>0.10311994037675722</v>
      </c>
    </row>
    <row r="40" spans="1:26" s="24" customFormat="1" hidden="1" outlineLevel="1" x14ac:dyDescent="0.25">
      <c r="A40" s="50"/>
      <c r="B40" s="11" t="str">
        <f>CONCATENATE("          ", "5540", " - ", "FREIGHT-IN-LOGO CLOTHING")</f>
        <v xml:space="preserve">          5540 - FREIGHT-IN-LOGO CLOTHING</v>
      </c>
      <c r="C40" s="11"/>
      <c r="D40" s="2">
        <v>395.22</v>
      </c>
      <c r="E40" s="2"/>
      <c r="F40" s="22">
        <f t="shared" si="4"/>
        <v>2.1878250156273215E-3</v>
      </c>
      <c r="G40" s="2"/>
      <c r="H40" s="2">
        <v>1089.53</v>
      </c>
      <c r="I40" s="2"/>
      <c r="J40" s="22">
        <f t="shared" si="5"/>
        <v>6.7789888366598617E-3</v>
      </c>
      <c r="K40" s="2"/>
      <c r="L40" s="2">
        <f t="shared" si="6"/>
        <v>-694.31</v>
      </c>
      <c r="M40" s="2"/>
      <c r="N40" s="22">
        <f t="shared" si="7"/>
        <v>-0.63725643167237245</v>
      </c>
      <c r="O40" s="11"/>
      <c r="P40" s="2">
        <v>395.22</v>
      </c>
      <c r="Q40" s="2"/>
      <c r="R40" s="22">
        <f t="shared" si="8"/>
        <v>2.1878250156273215E-3</v>
      </c>
      <c r="S40" s="2"/>
      <c r="T40" s="2">
        <v>1089.53</v>
      </c>
      <c r="U40" s="2"/>
      <c r="V40" s="22">
        <f t="shared" si="9"/>
        <v>6.7789888366598617E-3</v>
      </c>
      <c r="W40" s="2"/>
      <c r="X40" s="2">
        <f t="shared" si="10"/>
        <v>-694.31</v>
      </c>
      <c r="Y40" s="2"/>
      <c r="Z40" s="22">
        <f t="shared" si="11"/>
        <v>-0.63725643167237245</v>
      </c>
    </row>
    <row r="41" spans="1:26" s="24" customFormat="1" hidden="1" outlineLevel="1" x14ac:dyDescent="0.25">
      <c r="A41" s="50"/>
      <c r="B41" s="11" t="str">
        <f>CONCATENATE("          ", "5541", " - ", "FREIGHT-IN-LOGO GIFTS")</f>
        <v xml:space="preserve">          5541 - FREIGHT-IN-LOGO GIFTS</v>
      </c>
      <c r="C41" s="11"/>
      <c r="D41" s="2">
        <v>314.49</v>
      </c>
      <c r="E41" s="2"/>
      <c r="F41" s="22">
        <f t="shared" si="4"/>
        <v>1.7409267981494771E-3</v>
      </c>
      <c r="G41" s="2"/>
      <c r="H41" s="2">
        <v>785.4</v>
      </c>
      <c r="I41" s="2"/>
      <c r="J41" s="22">
        <f t="shared" si="5"/>
        <v>4.8867106296409052E-3</v>
      </c>
      <c r="K41" s="2"/>
      <c r="L41" s="2">
        <f t="shared" si="6"/>
        <v>-470.90999999999997</v>
      </c>
      <c r="M41" s="2"/>
      <c r="N41" s="22">
        <f t="shared" si="7"/>
        <v>-0.59957983193277309</v>
      </c>
      <c r="O41" s="11"/>
      <c r="P41" s="2">
        <v>314.49</v>
      </c>
      <c r="Q41" s="2"/>
      <c r="R41" s="22">
        <f t="shared" si="8"/>
        <v>1.7409267981494771E-3</v>
      </c>
      <c r="S41" s="2"/>
      <c r="T41" s="2">
        <v>785.4</v>
      </c>
      <c r="U41" s="2"/>
      <c r="V41" s="22">
        <f t="shared" si="9"/>
        <v>4.8867106296409052E-3</v>
      </c>
      <c r="W41" s="2"/>
      <c r="X41" s="2">
        <f t="shared" si="10"/>
        <v>-470.90999999999997</v>
      </c>
      <c r="Y41" s="2"/>
      <c r="Z41" s="22">
        <f t="shared" si="11"/>
        <v>-0.59957983193277309</v>
      </c>
    </row>
    <row r="42" spans="1:26" s="24" customFormat="1" hidden="1" outlineLevel="1" x14ac:dyDescent="0.25">
      <c r="A42" s="50"/>
      <c r="B42" s="11" t="str">
        <f>CONCATENATE("          ", "5542", " - ", "FREIGHT-IN-EVERYDAY GIFTS")</f>
        <v xml:space="preserve">          5542 - FREIGHT-IN-EVERYDAY GIFTS</v>
      </c>
      <c r="C42" s="11"/>
      <c r="D42" s="2">
        <v>29.72</v>
      </c>
      <c r="E42" s="2"/>
      <c r="F42" s="22">
        <f t="shared" si="4"/>
        <v>1.6452142974658163E-4</v>
      </c>
      <c r="G42" s="2"/>
      <c r="H42" s="2"/>
      <c r="I42" s="2"/>
      <c r="J42" s="22">
        <f t="shared" si="5"/>
        <v>0</v>
      </c>
      <c r="K42" s="2"/>
      <c r="L42" s="2">
        <f t="shared" si="6"/>
        <v>29.72</v>
      </c>
      <c r="M42" s="2"/>
      <c r="N42" s="22">
        <f t="shared" si="7"/>
        <v>0</v>
      </c>
      <c r="O42" s="11"/>
      <c r="P42" s="2">
        <v>29.72</v>
      </c>
      <c r="Q42" s="2"/>
      <c r="R42" s="22">
        <f t="shared" si="8"/>
        <v>1.6452142974658163E-4</v>
      </c>
      <c r="S42" s="2"/>
      <c r="T42" s="2"/>
      <c r="U42" s="2"/>
      <c r="V42" s="22">
        <f t="shared" si="9"/>
        <v>0</v>
      </c>
      <c r="W42" s="2"/>
      <c r="X42" s="2">
        <f t="shared" si="10"/>
        <v>29.72</v>
      </c>
      <c r="Y42" s="2"/>
      <c r="Z42" s="22">
        <f t="shared" si="11"/>
        <v>0</v>
      </c>
    </row>
    <row r="43" spans="1:26" s="24" customFormat="1" hidden="1" outlineLevel="1" x14ac:dyDescent="0.25">
      <c r="A43" s="50"/>
      <c r="B43" s="11" t="str">
        <f>CONCATENATE("          ", "5544", " - ", "FREIGHT-IN-ACCESSORIES")</f>
        <v xml:space="preserve">          5544 - FREIGHT-IN-ACCESSORIES</v>
      </c>
      <c r="C43" s="11"/>
      <c r="D43" s="2">
        <v>16.73</v>
      </c>
      <c r="E43" s="2"/>
      <c r="F43" s="22">
        <f t="shared" si="4"/>
        <v>9.2612500661517859E-5</v>
      </c>
      <c r="G43" s="2"/>
      <c r="H43" s="2">
        <v>29.26</v>
      </c>
      <c r="I43" s="2"/>
      <c r="J43" s="22">
        <f t="shared" si="5"/>
        <v>1.8205392541799454E-4</v>
      </c>
      <c r="K43" s="2"/>
      <c r="L43" s="2">
        <f t="shared" si="6"/>
        <v>-12.530000000000001</v>
      </c>
      <c r="M43" s="2"/>
      <c r="N43" s="22">
        <f t="shared" si="7"/>
        <v>-0.42822966507177035</v>
      </c>
      <c r="O43" s="11"/>
      <c r="P43" s="2">
        <v>16.73</v>
      </c>
      <c r="Q43" s="2"/>
      <c r="R43" s="22">
        <f t="shared" si="8"/>
        <v>9.2612500661517859E-5</v>
      </c>
      <c r="S43" s="2"/>
      <c r="T43" s="2">
        <v>29.26</v>
      </c>
      <c r="U43" s="2"/>
      <c r="V43" s="22">
        <f t="shared" si="9"/>
        <v>1.8205392541799454E-4</v>
      </c>
      <c r="W43" s="2"/>
      <c r="X43" s="2">
        <f t="shared" si="10"/>
        <v>-12.530000000000001</v>
      </c>
      <c r="Y43" s="2"/>
      <c r="Z43" s="22">
        <f t="shared" si="11"/>
        <v>-0.42822966507177035</v>
      </c>
    </row>
    <row r="44" spans="1:26" s="24" customFormat="1" hidden="1" outlineLevel="1" x14ac:dyDescent="0.25">
      <c r="A44" s="50"/>
      <c r="B44" s="11" t="str">
        <f>CONCATENATE("          ", "5545", " - ", "FREIGHT-IN-SPECIAL ORDERS")</f>
        <v xml:space="preserve">          5545 - FREIGHT-IN-SPECIAL ORDERS</v>
      </c>
      <c r="C44" s="11"/>
      <c r="D44" s="2">
        <v>227.08</v>
      </c>
      <c r="E44" s="2"/>
      <c r="F44" s="22">
        <f t="shared" si="4"/>
        <v>1.2570500089789287E-3</v>
      </c>
      <c r="G44" s="2"/>
      <c r="H44" s="2">
        <v>305.11</v>
      </c>
      <c r="I44" s="2"/>
      <c r="J44" s="22">
        <f t="shared" si="5"/>
        <v>1.8983757069133394E-3</v>
      </c>
      <c r="K44" s="2"/>
      <c r="L44" s="2">
        <f t="shared" si="6"/>
        <v>-78.03</v>
      </c>
      <c r="M44" s="2"/>
      <c r="N44" s="22">
        <f t="shared" si="7"/>
        <v>-0.25574383009406443</v>
      </c>
      <c r="O44" s="11"/>
      <c r="P44" s="2">
        <v>227.08</v>
      </c>
      <c r="Q44" s="2"/>
      <c r="R44" s="22">
        <f t="shared" si="8"/>
        <v>1.2570500089789287E-3</v>
      </c>
      <c r="S44" s="2"/>
      <c r="T44" s="2">
        <v>305.11</v>
      </c>
      <c r="U44" s="2"/>
      <c r="V44" s="22">
        <f t="shared" si="9"/>
        <v>1.8983757069133394E-3</v>
      </c>
      <c r="W44" s="2"/>
      <c r="X44" s="2">
        <f t="shared" si="10"/>
        <v>-78.03</v>
      </c>
      <c r="Y44" s="2"/>
      <c r="Z44" s="22">
        <f t="shared" si="11"/>
        <v>-0.25574383009406443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6</v>
      </c>
      <c r="C46" s="25"/>
      <c r="D46" s="21">
        <f>D12-D31</f>
        <v>94798.37999999999</v>
      </c>
      <c r="E46" s="13"/>
      <c r="F46" s="20">
        <f>IF(D$12=0,0,D46/D$12)</f>
        <v>0.52477675017697667</v>
      </c>
      <c r="G46" s="13"/>
      <c r="H46" s="21">
        <f>H12-H31</f>
        <v>82900.27</v>
      </c>
      <c r="I46" s="13"/>
      <c r="J46" s="20">
        <f>IF(H$12=0,0,H46/H$12)</f>
        <v>0.51580039547886569</v>
      </c>
      <c r="K46" s="16"/>
      <c r="L46" s="21">
        <f>+D46-H46</f>
        <v>11898.109999999986</v>
      </c>
      <c r="M46" s="16"/>
      <c r="N46" s="20">
        <f>IF(H46=0,0,L46/H46)</f>
        <v>0.14352317549749821</v>
      </c>
      <c r="O46" s="26"/>
      <c r="P46" s="21">
        <f>P12-P31</f>
        <v>94798.37999999999</v>
      </c>
      <c r="Q46" s="13"/>
      <c r="R46" s="20">
        <f>IF(P$12=0,0,P46/P$12)</f>
        <v>0.52477675017697667</v>
      </c>
      <c r="S46" s="13"/>
      <c r="T46" s="21">
        <f>T12-T31</f>
        <v>82900.27</v>
      </c>
      <c r="U46" s="13"/>
      <c r="V46" s="20">
        <f>IF(T$12=0,0,T46/T$12)</f>
        <v>0.51580039547886569</v>
      </c>
      <c r="W46" s="16"/>
      <c r="X46" s="21">
        <f>+P46-T46</f>
        <v>11898.109999999986</v>
      </c>
      <c r="Y46" s="16"/>
      <c r="Z46" s="20">
        <f>IF(T46=0,0,X46/T46)</f>
        <v>0.14352317549749821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6" t="s">
        <v>9</v>
      </c>
      <c r="C48" s="10"/>
      <c r="D48" s="19">
        <f>SUM(OSRRefD22x_0)</f>
        <v>56733.22</v>
      </c>
      <c r="E48" s="19"/>
      <c r="F48" s="35">
        <f t="shared" ref="F48:F57" si="12">IF(D$12=0,0,D48/D$12)</f>
        <v>0.31405889867184927</v>
      </c>
      <c r="G48" s="19"/>
      <c r="H48" s="19">
        <f>SUM(OSRRefH22x_0)</f>
        <v>46534.610000000008</v>
      </c>
      <c r="I48" s="19"/>
      <c r="J48" s="35">
        <f t="shared" ref="J48:J57" si="13">IF(H$12=0,0,H48/H$12)</f>
        <v>0.28953548934707668</v>
      </c>
      <c r="K48" s="4"/>
      <c r="L48" s="19">
        <f t="shared" ref="L48:L57" si="14">+D48-H48</f>
        <v>10198.609999999993</v>
      </c>
      <c r="M48" s="4"/>
      <c r="N48" s="35">
        <f t="shared" ref="N48:N57" si="15">IF(H48=0,0,L48/H48)</f>
        <v>0.2191618238554055</v>
      </c>
      <c r="O48" s="10"/>
      <c r="P48" s="19">
        <f>SUM(OSRRefP22x_0)</f>
        <v>56733.22</v>
      </c>
      <c r="Q48" s="19"/>
      <c r="R48" s="35">
        <f t="shared" ref="R48:R57" si="16">IF(P$12=0,0,P48/P$12)</f>
        <v>0.31405889867184927</v>
      </c>
      <c r="S48" s="19"/>
      <c r="T48" s="19">
        <f>SUM(OSRRefT22x_0)</f>
        <v>46534.610000000008</v>
      </c>
      <c r="U48" s="19"/>
      <c r="V48" s="35">
        <f t="shared" ref="V48:V57" si="17">IF(T$12=0,0,T48/T$12)</f>
        <v>0.28953548934707668</v>
      </c>
      <c r="W48" s="4"/>
      <c r="X48" s="19">
        <f t="shared" ref="X48:X57" si="18">+P48-T48</f>
        <v>10198.609999999993</v>
      </c>
      <c r="Y48" s="4"/>
      <c r="Z48" s="35">
        <f t="shared" ref="Z48:Z57" si="19">IF(T48=0,0,X48/T48)</f>
        <v>0.2191618238554055</v>
      </c>
    </row>
    <row r="49" spans="1:26" s="28" customFormat="1" outlineLevel="1" collapsed="1" x14ac:dyDescent="0.25">
      <c r="A49" s="27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8618.5499999999993</v>
      </c>
      <c r="E49" s="1"/>
      <c r="F49" s="5">
        <f t="shared" si="12"/>
        <v>4.7709830697927356E-2</v>
      </c>
      <c r="G49" s="1"/>
      <c r="H49" s="1">
        <f>SUM(OSRRefH22_0x_0)</f>
        <v>5788.869999999999</v>
      </c>
      <c r="I49" s="1"/>
      <c r="J49" s="5">
        <f t="shared" si="13"/>
        <v>3.6017994095504637E-2</v>
      </c>
      <c r="K49" s="1"/>
      <c r="L49" s="1">
        <f t="shared" si="14"/>
        <v>2829.6800000000003</v>
      </c>
      <c r="M49" s="1"/>
      <c r="N49" s="5">
        <f t="shared" si="15"/>
        <v>0.48881387904720625</v>
      </c>
      <c r="O49" s="14"/>
      <c r="P49" s="1">
        <f>SUM(OSRRefP22_0x_0)</f>
        <v>8618.5499999999993</v>
      </c>
      <c r="Q49" s="1"/>
      <c r="R49" s="5">
        <f t="shared" si="16"/>
        <v>4.7709830697927356E-2</v>
      </c>
      <c r="S49" s="1"/>
      <c r="T49" s="1">
        <f>SUM(OSRRefT22_0x_0)</f>
        <v>5788.869999999999</v>
      </c>
      <c r="U49" s="1"/>
      <c r="V49" s="5">
        <f t="shared" si="17"/>
        <v>3.6017994095504637E-2</v>
      </c>
      <c r="W49" s="1"/>
      <c r="X49" s="1">
        <f t="shared" si="18"/>
        <v>2829.6800000000003</v>
      </c>
      <c r="Y49" s="1"/>
      <c r="Z49" s="5">
        <f t="shared" si="19"/>
        <v>0.48881387904720625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7">
        <v>1622.58</v>
      </c>
      <c r="E50" s="2"/>
      <c r="F50" s="6">
        <f t="shared" si="12"/>
        <v>8.9821393498724228E-3</v>
      </c>
      <c r="G50" s="2"/>
      <c r="H50" s="7">
        <v>1261.8599999999999</v>
      </c>
      <c r="I50" s="2"/>
      <c r="J50" s="6">
        <f t="shared" si="13"/>
        <v>7.8512155272710375E-3</v>
      </c>
      <c r="K50" s="2"/>
      <c r="L50" s="7">
        <f t="shared" si="14"/>
        <v>360.72</v>
      </c>
      <c r="M50" s="2"/>
      <c r="N50" s="6">
        <f t="shared" si="15"/>
        <v>0.28586372497741436</v>
      </c>
      <c r="O50" s="11"/>
      <c r="P50" s="7">
        <v>1622.58</v>
      </c>
      <c r="Q50" s="2"/>
      <c r="R50" s="6">
        <f t="shared" si="16"/>
        <v>8.9821393498724228E-3</v>
      </c>
      <c r="S50" s="2"/>
      <c r="T50" s="7">
        <v>1261.8599999999999</v>
      </c>
      <c r="U50" s="2"/>
      <c r="V50" s="6">
        <f t="shared" si="17"/>
        <v>7.8512155272710375E-3</v>
      </c>
      <c r="W50" s="2"/>
      <c r="X50" s="7">
        <f t="shared" si="18"/>
        <v>360.72</v>
      </c>
      <c r="Y50" s="2"/>
      <c r="Z50" s="6">
        <f t="shared" si="19"/>
        <v>0.28586372497741436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356.48</v>
      </c>
      <c r="E51" s="2"/>
      <c r="F51" s="6">
        <f t="shared" si="12"/>
        <v>1.9733714426669389E-3</v>
      </c>
      <c r="G51" s="2"/>
      <c r="H51" s="7">
        <v>268.76</v>
      </c>
      <c r="I51" s="2"/>
      <c r="J51" s="6">
        <f t="shared" si="13"/>
        <v>1.672208236341087E-3</v>
      </c>
      <c r="K51" s="2"/>
      <c r="L51" s="7">
        <f t="shared" si="14"/>
        <v>87.720000000000027</v>
      </c>
      <c r="M51" s="2"/>
      <c r="N51" s="6">
        <f t="shared" si="15"/>
        <v>0.32638785533561554</v>
      </c>
      <c r="O51" s="11"/>
      <c r="P51" s="7">
        <v>356.48</v>
      </c>
      <c r="Q51" s="2"/>
      <c r="R51" s="6">
        <f t="shared" si="16"/>
        <v>1.9733714426669389E-3</v>
      </c>
      <c r="S51" s="2"/>
      <c r="T51" s="7">
        <v>268.76</v>
      </c>
      <c r="U51" s="2"/>
      <c r="V51" s="6">
        <f t="shared" si="17"/>
        <v>1.672208236341087E-3</v>
      </c>
      <c r="W51" s="2"/>
      <c r="X51" s="7">
        <f t="shared" si="18"/>
        <v>87.720000000000027</v>
      </c>
      <c r="Y51" s="2"/>
      <c r="Z51" s="6">
        <f t="shared" si="19"/>
        <v>0.32638785533561554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7">
        <v>2753.98</v>
      </c>
      <c r="E52" s="2"/>
      <c r="F52" s="6">
        <f t="shared" si="12"/>
        <v>1.5245246537466046E-2</v>
      </c>
      <c r="G52" s="2"/>
      <c r="H52" s="7">
        <v>442.3</v>
      </c>
      <c r="I52" s="2"/>
      <c r="J52" s="6">
        <f t="shared" si="13"/>
        <v>2.7519634727402246E-3</v>
      </c>
      <c r="K52" s="2"/>
      <c r="L52" s="7">
        <f t="shared" si="14"/>
        <v>2311.6799999999998</v>
      </c>
      <c r="M52" s="2"/>
      <c r="N52" s="6">
        <f t="shared" si="15"/>
        <v>5.2264978521365588</v>
      </c>
      <c r="O52" s="11"/>
      <c r="P52" s="7">
        <v>2753.98</v>
      </c>
      <c r="Q52" s="2"/>
      <c r="R52" s="6">
        <f t="shared" si="16"/>
        <v>1.5245246537466046E-2</v>
      </c>
      <c r="S52" s="2"/>
      <c r="T52" s="7">
        <v>442.3</v>
      </c>
      <c r="U52" s="2"/>
      <c r="V52" s="6">
        <f t="shared" si="17"/>
        <v>2.7519634727402246E-3</v>
      </c>
      <c r="W52" s="2"/>
      <c r="X52" s="7">
        <f t="shared" si="18"/>
        <v>2311.6799999999998</v>
      </c>
      <c r="Y52" s="2"/>
      <c r="Z52" s="6">
        <f t="shared" si="19"/>
        <v>5.2264978521365588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>
        <v>48.78</v>
      </c>
      <c r="E53" s="2"/>
      <c r="F53" s="6">
        <f t="shared" si="12"/>
        <v>2.7003214478594389E-4</v>
      </c>
      <c r="G53" s="2"/>
      <c r="H53" s="7">
        <v>58.72</v>
      </c>
      <c r="I53" s="2"/>
      <c r="J53" s="6">
        <f t="shared" si="13"/>
        <v>3.6535223856953652E-4</v>
      </c>
      <c r="K53" s="2"/>
      <c r="L53" s="7">
        <f t="shared" si="14"/>
        <v>-9.9399999999999977</v>
      </c>
      <c r="M53" s="2"/>
      <c r="N53" s="6">
        <f t="shared" si="15"/>
        <v>-0.16927792915531331</v>
      </c>
      <c r="O53" s="11"/>
      <c r="P53" s="7">
        <v>48.78</v>
      </c>
      <c r="Q53" s="2"/>
      <c r="R53" s="6">
        <f t="shared" si="16"/>
        <v>2.7003214478594389E-4</v>
      </c>
      <c r="S53" s="2"/>
      <c r="T53" s="7">
        <v>58.72</v>
      </c>
      <c r="U53" s="2"/>
      <c r="V53" s="6">
        <f t="shared" si="17"/>
        <v>3.6535223856953652E-4</v>
      </c>
      <c r="W53" s="2"/>
      <c r="X53" s="7">
        <f t="shared" si="18"/>
        <v>-9.9399999999999977</v>
      </c>
      <c r="Y53" s="2"/>
      <c r="Z53" s="6">
        <f t="shared" si="19"/>
        <v>-0.16927792915531331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7">
        <v>672.87</v>
      </c>
      <c r="E54" s="2"/>
      <c r="F54" s="6">
        <f t="shared" si="12"/>
        <v>3.7248160980344006E-3</v>
      </c>
      <c r="G54" s="2"/>
      <c r="H54" s="7">
        <v>916.12</v>
      </c>
      <c r="I54" s="2"/>
      <c r="J54" s="6">
        <f t="shared" si="13"/>
        <v>5.7000424522875301E-3</v>
      </c>
      <c r="K54" s="2"/>
      <c r="L54" s="7">
        <f t="shared" si="14"/>
        <v>-243.25</v>
      </c>
      <c r="M54" s="2"/>
      <c r="N54" s="6">
        <f t="shared" si="15"/>
        <v>-0.26552198401956073</v>
      </c>
      <c r="O54" s="11"/>
      <c r="P54" s="7">
        <v>672.87</v>
      </c>
      <c r="Q54" s="2"/>
      <c r="R54" s="6">
        <f t="shared" si="16"/>
        <v>3.7248160980344006E-3</v>
      </c>
      <c r="S54" s="2"/>
      <c r="T54" s="7">
        <v>916.12</v>
      </c>
      <c r="U54" s="2"/>
      <c r="V54" s="6">
        <f t="shared" si="17"/>
        <v>5.7000424522875301E-3</v>
      </c>
      <c r="W54" s="2"/>
      <c r="X54" s="7">
        <f t="shared" si="18"/>
        <v>-243.25</v>
      </c>
      <c r="Y54" s="2"/>
      <c r="Z54" s="6">
        <f t="shared" si="19"/>
        <v>-0.26552198401956073</v>
      </c>
    </row>
    <row r="55" spans="1:26" s="24" customFormat="1" hidden="1" outlineLevel="2" x14ac:dyDescent="0.25">
      <c r="A55" s="29"/>
      <c r="B55" s="11" t="str">
        <f>CONCATENATE("          ", "6118", " - ", "VACATION")</f>
        <v xml:space="preserve">          6118 - VACATION</v>
      </c>
      <c r="C55" s="11"/>
      <c r="D55" s="7">
        <v>962.15</v>
      </c>
      <c r="E55" s="2"/>
      <c r="F55" s="6">
        <f t="shared" si="12"/>
        <v>5.3261875380441965E-3</v>
      </c>
      <c r="G55" s="2"/>
      <c r="H55" s="7">
        <v>1054.6400000000001</v>
      </c>
      <c r="I55" s="2"/>
      <c r="J55" s="6">
        <f t="shared" si="13"/>
        <v>6.561905396542507E-3</v>
      </c>
      <c r="K55" s="2"/>
      <c r="L55" s="7">
        <f t="shared" si="14"/>
        <v>-92.490000000000123</v>
      </c>
      <c r="M55" s="2"/>
      <c r="N55" s="6">
        <f t="shared" si="15"/>
        <v>-8.7698171888037732E-2</v>
      </c>
      <c r="O55" s="11"/>
      <c r="P55" s="7">
        <v>962.15</v>
      </c>
      <c r="Q55" s="2"/>
      <c r="R55" s="6">
        <f t="shared" si="16"/>
        <v>5.3261875380441965E-3</v>
      </c>
      <c r="S55" s="2"/>
      <c r="T55" s="7">
        <v>1054.6400000000001</v>
      </c>
      <c r="U55" s="2"/>
      <c r="V55" s="6">
        <f t="shared" si="17"/>
        <v>6.561905396542507E-3</v>
      </c>
      <c r="W55" s="2"/>
      <c r="X55" s="7">
        <f t="shared" si="18"/>
        <v>-92.490000000000123</v>
      </c>
      <c r="Y55" s="2"/>
      <c r="Z55" s="6">
        <f t="shared" si="19"/>
        <v>-8.7698171888037732E-2</v>
      </c>
    </row>
    <row r="56" spans="1:26" s="24" customFormat="1" hidden="1" outlineLevel="2" x14ac:dyDescent="0.25">
      <c r="A56" s="29"/>
      <c r="B56" s="11" t="str">
        <f>CONCATENATE("          ", "6119", " - ", "SICK LEAVE")</f>
        <v xml:space="preserve">          6119 - SICK LEAVE</v>
      </c>
      <c r="C56" s="11"/>
      <c r="D56" s="7">
        <v>2053.61</v>
      </c>
      <c r="E56" s="2"/>
      <c r="F56" s="6">
        <f t="shared" si="12"/>
        <v>1.1368198295487131E-2</v>
      </c>
      <c r="G56" s="2"/>
      <c r="H56" s="7">
        <v>1667.74</v>
      </c>
      <c r="I56" s="2"/>
      <c r="J56" s="6">
        <f t="shared" si="13"/>
        <v>1.0376575993732269E-2</v>
      </c>
      <c r="K56" s="2"/>
      <c r="L56" s="7">
        <f t="shared" si="14"/>
        <v>385.87000000000012</v>
      </c>
      <c r="M56" s="2"/>
      <c r="N56" s="6">
        <f t="shared" si="15"/>
        <v>0.23137299579071086</v>
      </c>
      <c r="O56" s="11"/>
      <c r="P56" s="7">
        <v>2053.61</v>
      </c>
      <c r="Q56" s="2"/>
      <c r="R56" s="6">
        <f t="shared" si="16"/>
        <v>1.1368198295487131E-2</v>
      </c>
      <c r="S56" s="2"/>
      <c r="T56" s="7">
        <v>1667.74</v>
      </c>
      <c r="U56" s="2"/>
      <c r="V56" s="6">
        <f t="shared" si="17"/>
        <v>1.0376575993732269E-2</v>
      </c>
      <c r="W56" s="2"/>
      <c r="X56" s="7">
        <f t="shared" si="18"/>
        <v>385.87000000000012</v>
      </c>
      <c r="Y56" s="2"/>
      <c r="Z56" s="6">
        <f t="shared" si="19"/>
        <v>0.23137299579071086</v>
      </c>
    </row>
    <row r="57" spans="1:26" s="24" customFormat="1" hidden="1" outlineLevel="2" x14ac:dyDescent="0.25">
      <c r="A57" s="29"/>
      <c r="B57" s="11" t="str">
        <f>CONCATENATE("          ", "6156", " - ", "EMPLOYEE MEALS")</f>
        <v xml:space="preserve">          6156 - EMPLOYEE MEALS</v>
      </c>
      <c r="C57" s="11"/>
      <c r="D57" s="7">
        <v>148.1</v>
      </c>
      <c r="E57" s="2"/>
      <c r="F57" s="6">
        <f t="shared" si="12"/>
        <v>8.1983929157028056E-4</v>
      </c>
      <c r="G57" s="2"/>
      <c r="H57" s="7">
        <v>118.73</v>
      </c>
      <c r="I57" s="2"/>
      <c r="J57" s="6">
        <f t="shared" si="13"/>
        <v>7.3873077802045421E-4</v>
      </c>
      <c r="K57" s="2"/>
      <c r="L57" s="7">
        <f t="shared" si="14"/>
        <v>29.36999999999999</v>
      </c>
      <c r="M57" s="2"/>
      <c r="N57" s="6">
        <f t="shared" si="15"/>
        <v>0.24736797776467606</v>
      </c>
      <c r="O57" s="11"/>
      <c r="P57" s="7">
        <v>148.1</v>
      </c>
      <c r="Q57" s="2"/>
      <c r="R57" s="6">
        <f t="shared" si="16"/>
        <v>8.1983929157028056E-4</v>
      </c>
      <c r="S57" s="2"/>
      <c r="T57" s="7">
        <v>118.73</v>
      </c>
      <c r="U57" s="2"/>
      <c r="V57" s="6">
        <f t="shared" si="17"/>
        <v>7.3873077802045421E-4</v>
      </c>
      <c r="W57" s="2"/>
      <c r="X57" s="7">
        <f t="shared" si="18"/>
        <v>29.36999999999999</v>
      </c>
      <c r="Y57" s="2"/>
      <c r="Z57" s="6">
        <f t="shared" si="19"/>
        <v>0.24736797776467606</v>
      </c>
    </row>
    <row r="58" spans="1:26" s="28" customFormat="1" outlineLevel="1" collapsed="1" x14ac:dyDescent="0.25">
      <c r="A58" s="27"/>
      <c r="B58" s="14" t="str">
        <f>CONCATENATE("     ","*Payroll                                          ")</f>
        <v xml:space="preserve">     *Payroll                                          </v>
      </c>
      <c r="C58" s="14"/>
      <c r="D58" s="1">
        <f>SUM(OSRRefD22_1x_0)</f>
        <v>25179.64</v>
      </c>
      <c r="E58" s="1"/>
      <c r="F58" s="5">
        <f t="shared" ref="F58:F62" si="20">IF(D$12=0,0,D58/D$12)</f>
        <v>0.13938729385276638</v>
      </c>
      <c r="G58" s="1"/>
      <c r="H58" s="1">
        <f>SUM(OSRRefH22_1x_0)</f>
        <v>19783.25</v>
      </c>
      <c r="I58" s="1"/>
      <c r="J58" s="5">
        <f t="shared" ref="J58:J62" si="21">IF(H$12=0,0,H58/H$12)</f>
        <v>0.1230901681485147</v>
      </c>
      <c r="K58" s="1"/>
      <c r="L58" s="1">
        <f t="shared" ref="L58:L62" si="22">+D58-H58</f>
        <v>5396.3899999999994</v>
      </c>
      <c r="M58" s="1"/>
      <c r="N58" s="5">
        <f t="shared" ref="N58:N62" si="23">IF(H58=0,0,L58/H58)</f>
        <v>0.27277570672159523</v>
      </c>
      <c r="O58" s="14"/>
      <c r="P58" s="1">
        <f>SUM(OSRRefP22_1x_0)</f>
        <v>25179.64</v>
      </c>
      <c r="Q58" s="1"/>
      <c r="R58" s="5">
        <f t="shared" ref="R58:R62" si="24">IF(P$12=0,0,P58/P$12)</f>
        <v>0.13938729385276638</v>
      </c>
      <c r="S58" s="1"/>
      <c r="T58" s="1">
        <f>SUM(OSRRefT22_1x_0)</f>
        <v>19783.25</v>
      </c>
      <c r="U58" s="1"/>
      <c r="V58" s="5">
        <f t="shared" ref="V58:V62" si="25">IF(T$12=0,0,T58/T$12)</f>
        <v>0.1230901681485147</v>
      </c>
      <c r="W58" s="1"/>
      <c r="X58" s="1">
        <f t="shared" ref="X58:X62" si="26">+P58-T58</f>
        <v>5396.3899999999994</v>
      </c>
      <c r="Y58" s="1"/>
      <c r="Z58" s="5">
        <f t="shared" ref="Z58:Z62" si="27">IF(T58=0,0,X58/T58)</f>
        <v>0.27277570672159523</v>
      </c>
    </row>
    <row r="59" spans="1:26" s="24" customFormat="1" hidden="1" outlineLevel="2" x14ac:dyDescent="0.25">
      <c r="A59" s="29"/>
      <c r="B59" s="11" t="str">
        <f>CONCATENATE("          ", "6002", " - ", "STAFF SALARIES")</f>
        <v xml:space="preserve">          6002 - STAFF SALARIES</v>
      </c>
      <c r="C59" s="11"/>
      <c r="D59" s="7">
        <v>8761.74</v>
      </c>
      <c r="E59" s="2"/>
      <c r="F59" s="6">
        <f t="shared" si="20"/>
        <v>4.8502489632160639E-2</v>
      </c>
      <c r="G59" s="2"/>
      <c r="H59" s="7">
        <v>8011.69</v>
      </c>
      <c r="I59" s="2"/>
      <c r="J59" s="6">
        <f t="shared" si="21"/>
        <v>4.9848243804924551E-2</v>
      </c>
      <c r="K59" s="2"/>
      <c r="L59" s="7">
        <f t="shared" si="22"/>
        <v>750.05000000000018</v>
      </c>
      <c r="M59" s="2"/>
      <c r="N59" s="6">
        <f t="shared" si="23"/>
        <v>9.3619448580761391E-2</v>
      </c>
      <c r="O59" s="11"/>
      <c r="P59" s="7">
        <v>8761.74</v>
      </c>
      <c r="Q59" s="2"/>
      <c r="R59" s="6">
        <f t="shared" si="24"/>
        <v>4.8502489632160639E-2</v>
      </c>
      <c r="S59" s="2"/>
      <c r="T59" s="7">
        <v>8011.69</v>
      </c>
      <c r="U59" s="2"/>
      <c r="V59" s="6">
        <f t="shared" si="25"/>
        <v>4.9848243804924551E-2</v>
      </c>
      <c r="W59" s="2"/>
      <c r="X59" s="7">
        <f t="shared" si="26"/>
        <v>750.05000000000018</v>
      </c>
      <c r="Y59" s="2"/>
      <c r="Z59" s="6">
        <f t="shared" si="27"/>
        <v>9.3619448580761391E-2</v>
      </c>
    </row>
    <row r="60" spans="1:26" s="24" customFormat="1" hidden="1" outlineLevel="2" x14ac:dyDescent="0.25">
      <c r="A60" s="29"/>
      <c r="B60" s="11" t="str">
        <f>CONCATENATE("          ", "6005", " - ", "TEMPORARY WAGES-HOURLY")</f>
        <v xml:space="preserve">          6005 - TEMPORARY WAGES-HOURLY</v>
      </c>
      <c r="C60" s="11"/>
      <c r="D60" s="7">
        <v>4193.37</v>
      </c>
      <c r="E60" s="2"/>
      <c r="F60" s="6">
        <f t="shared" si="20"/>
        <v>2.3213298380094987E-2</v>
      </c>
      <c r="G60" s="2"/>
      <c r="H60" s="7">
        <v>1611.86</v>
      </c>
      <c r="I60" s="2"/>
      <c r="J60" s="6">
        <f t="shared" si="21"/>
        <v>1.0028894060979105E-2</v>
      </c>
      <c r="K60" s="2"/>
      <c r="L60" s="7">
        <f t="shared" si="22"/>
        <v>2581.5100000000002</v>
      </c>
      <c r="M60" s="2"/>
      <c r="N60" s="6">
        <f t="shared" si="23"/>
        <v>1.6015720968322313</v>
      </c>
      <c r="O60" s="11"/>
      <c r="P60" s="7">
        <v>4193.37</v>
      </c>
      <c r="Q60" s="2"/>
      <c r="R60" s="6">
        <f t="shared" si="24"/>
        <v>2.3213298380094987E-2</v>
      </c>
      <c r="S60" s="2"/>
      <c r="T60" s="7">
        <v>1611.86</v>
      </c>
      <c r="U60" s="2"/>
      <c r="V60" s="6">
        <f t="shared" si="25"/>
        <v>1.0028894060979105E-2</v>
      </c>
      <c r="W60" s="2"/>
      <c r="X60" s="7">
        <f t="shared" si="26"/>
        <v>2581.5100000000002</v>
      </c>
      <c r="Y60" s="2"/>
      <c r="Z60" s="6">
        <f t="shared" si="27"/>
        <v>1.6015720968322313</v>
      </c>
    </row>
    <row r="61" spans="1:26" s="24" customFormat="1" hidden="1" outlineLevel="2" x14ac:dyDescent="0.25">
      <c r="A61" s="29"/>
      <c r="B61" s="11" t="str">
        <f>CONCATENATE("          ", "6006", " - ", "TEMPORARY PART TIME")</f>
        <v xml:space="preserve">          6006 - TEMPORARY PART TIME</v>
      </c>
      <c r="C61" s="11"/>
      <c r="D61" s="7"/>
      <c r="E61" s="2"/>
      <c r="F61" s="6">
        <f t="shared" si="20"/>
        <v>0</v>
      </c>
      <c r="G61" s="2"/>
      <c r="H61" s="7">
        <v>2231.64</v>
      </c>
      <c r="I61" s="2"/>
      <c r="J61" s="6">
        <f t="shared" si="21"/>
        <v>1.3885127208469353E-2</v>
      </c>
      <c r="K61" s="2"/>
      <c r="L61" s="7">
        <f t="shared" si="22"/>
        <v>-2231.64</v>
      </c>
      <c r="M61" s="2"/>
      <c r="N61" s="6">
        <f t="shared" si="23"/>
        <v>-1</v>
      </c>
      <c r="O61" s="11"/>
      <c r="P61" s="7"/>
      <c r="Q61" s="2"/>
      <c r="R61" s="6">
        <f t="shared" si="24"/>
        <v>0</v>
      </c>
      <c r="S61" s="2"/>
      <c r="T61" s="7">
        <v>2231.64</v>
      </c>
      <c r="U61" s="2"/>
      <c r="V61" s="6">
        <f t="shared" si="25"/>
        <v>1.3885127208469353E-2</v>
      </c>
      <c r="W61" s="2"/>
      <c r="X61" s="7">
        <f t="shared" si="26"/>
        <v>-2231.64</v>
      </c>
      <c r="Y61" s="2"/>
      <c r="Z61" s="6">
        <f t="shared" si="27"/>
        <v>-1</v>
      </c>
    </row>
    <row r="62" spans="1:26" s="24" customFormat="1" hidden="1" outlineLevel="2" x14ac:dyDescent="0.25">
      <c r="A62" s="29"/>
      <c r="B62" s="11" t="str">
        <f>CONCATENATE("          ", "6007", " - ", "STUDENT HOURLY")</f>
        <v xml:space="preserve">          6007 - STUDENT HOURLY</v>
      </c>
      <c r="C62" s="11"/>
      <c r="D62" s="7">
        <v>12224.53</v>
      </c>
      <c r="E62" s="2"/>
      <c r="F62" s="6">
        <f t="shared" si="20"/>
        <v>6.7671505840510765E-2</v>
      </c>
      <c r="G62" s="2"/>
      <c r="H62" s="7">
        <v>7928.06</v>
      </c>
      <c r="I62" s="2"/>
      <c r="J62" s="6">
        <f t="shared" si="21"/>
        <v>4.9327903074141685E-2</v>
      </c>
      <c r="K62" s="2"/>
      <c r="L62" s="7">
        <f t="shared" si="22"/>
        <v>4296.47</v>
      </c>
      <c r="M62" s="2"/>
      <c r="N62" s="6">
        <f t="shared" si="23"/>
        <v>0.54193207417703704</v>
      </c>
      <c r="O62" s="11"/>
      <c r="P62" s="7">
        <v>12224.53</v>
      </c>
      <c r="Q62" s="2"/>
      <c r="R62" s="6">
        <f t="shared" si="24"/>
        <v>6.7671505840510765E-2</v>
      </c>
      <c r="S62" s="2"/>
      <c r="T62" s="7">
        <v>7928.06</v>
      </c>
      <c r="U62" s="2"/>
      <c r="V62" s="6">
        <f t="shared" si="25"/>
        <v>4.9327903074141685E-2</v>
      </c>
      <c r="W62" s="2"/>
      <c r="X62" s="7">
        <f t="shared" si="26"/>
        <v>4296.47</v>
      </c>
      <c r="Y62" s="2"/>
      <c r="Z62" s="6">
        <f t="shared" si="27"/>
        <v>0.54193207417703704</v>
      </c>
    </row>
    <row r="63" spans="1:26" s="28" customFormat="1" outlineLevel="1" collapsed="1" x14ac:dyDescent="0.25">
      <c r="A63" s="27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192</v>
      </c>
      <c r="E63" s="1"/>
      <c r="F63" s="5">
        <f t="shared" ref="F63:F75" si="28">IF(D$12=0,0,D63/D$12)</f>
        <v>1.0628571504489796E-3</v>
      </c>
      <c r="G63" s="1"/>
      <c r="H63" s="1">
        <f>SUM(OSRRefH22_2x_0)</f>
        <v>367.38</v>
      </c>
      <c r="I63" s="1"/>
      <c r="J63" s="5">
        <f t="shared" ref="J63:J75" si="29">IF(H$12=0,0,H63/H$12)</f>
        <v>2.2858158277533434E-3</v>
      </c>
      <c r="K63" s="1"/>
      <c r="L63" s="1">
        <f t="shared" ref="L63:L75" si="30">+D63-H63</f>
        <v>-175.38</v>
      </c>
      <c r="M63" s="1"/>
      <c r="N63" s="5">
        <f t="shared" ref="N63:N75" si="31">IF(H63=0,0,L63/H63)</f>
        <v>-0.47738036910011433</v>
      </c>
      <c r="O63" s="14"/>
      <c r="P63" s="1">
        <f>SUM(OSRRefP22_2x_0)</f>
        <v>192</v>
      </c>
      <c r="Q63" s="1"/>
      <c r="R63" s="5">
        <f t="shared" ref="R63:R75" si="32">IF(P$12=0,0,P63/P$12)</f>
        <v>1.0628571504489796E-3</v>
      </c>
      <c r="S63" s="1"/>
      <c r="T63" s="1">
        <f>SUM(OSRRefT22_2x_0)</f>
        <v>367.38</v>
      </c>
      <c r="U63" s="1"/>
      <c r="V63" s="5">
        <f t="shared" ref="V63:V75" si="33">IF(T$12=0,0,T63/T$12)</f>
        <v>2.2858158277533434E-3</v>
      </c>
      <c r="W63" s="1"/>
      <c r="X63" s="1">
        <f t="shared" ref="X63:X75" si="34">+P63-T63</f>
        <v>-175.38</v>
      </c>
      <c r="Y63" s="1"/>
      <c r="Z63" s="5">
        <f t="shared" ref="Z63:Z75" si="35">IF(T63=0,0,X63/T63)</f>
        <v>-0.47738036910011433</v>
      </c>
    </row>
    <row r="64" spans="1:26" s="24" customFormat="1" hidden="1" outlineLevel="2" x14ac:dyDescent="0.25">
      <c r="A64" s="29"/>
      <c r="B64" s="11" t="str">
        <f>CONCATENATE("          ", "6362", " - ", "ADVERTISING EXPENSE")</f>
        <v xml:space="preserve">          6362 - ADVERTISING EXPENSE</v>
      </c>
      <c r="C64" s="11"/>
      <c r="D64" s="7">
        <v>192</v>
      </c>
      <c r="E64" s="2"/>
      <c r="F64" s="6">
        <f t="shared" si="28"/>
        <v>1.0628571504489796E-3</v>
      </c>
      <c r="G64" s="2"/>
      <c r="H64" s="7">
        <v>367.38</v>
      </c>
      <c r="I64" s="2"/>
      <c r="J64" s="6">
        <f t="shared" si="29"/>
        <v>2.2858158277533434E-3</v>
      </c>
      <c r="K64" s="2"/>
      <c r="L64" s="7">
        <f t="shared" si="30"/>
        <v>-175.38</v>
      </c>
      <c r="M64" s="2"/>
      <c r="N64" s="6">
        <f t="shared" si="31"/>
        <v>-0.47738036910011433</v>
      </c>
      <c r="O64" s="11"/>
      <c r="P64" s="7">
        <v>192</v>
      </c>
      <c r="Q64" s="2"/>
      <c r="R64" s="6">
        <f t="shared" si="32"/>
        <v>1.0628571504489796E-3</v>
      </c>
      <c r="S64" s="2"/>
      <c r="T64" s="7">
        <v>367.38</v>
      </c>
      <c r="U64" s="2"/>
      <c r="V64" s="6">
        <f t="shared" si="33"/>
        <v>2.2858158277533434E-3</v>
      </c>
      <c r="W64" s="2"/>
      <c r="X64" s="7">
        <f t="shared" si="34"/>
        <v>-175.38</v>
      </c>
      <c r="Y64" s="2"/>
      <c r="Z64" s="6">
        <f t="shared" si="35"/>
        <v>-0.47738036910011433</v>
      </c>
    </row>
    <row r="65" spans="1:26" s="28" customFormat="1" outlineLevel="1" collapsed="1" x14ac:dyDescent="0.25">
      <c r="A65" s="27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SUM(OSRRefD22_3x_0)</f>
        <v>13837.64</v>
      </c>
      <c r="E65" s="1"/>
      <c r="F65" s="5">
        <f t="shared" si="28"/>
        <v>7.6601221975723013E-2</v>
      </c>
      <c r="G65" s="1"/>
      <c r="H65" s="1">
        <f>SUM(OSRRefH22_3x_0)</f>
        <v>12250.75</v>
      </c>
      <c r="I65" s="1"/>
      <c r="J65" s="5">
        <f t="shared" si="29"/>
        <v>7.6223415133783196E-2</v>
      </c>
      <c r="K65" s="1"/>
      <c r="L65" s="1">
        <f t="shared" si="30"/>
        <v>1586.8899999999994</v>
      </c>
      <c r="M65" s="1"/>
      <c r="N65" s="5">
        <f t="shared" si="31"/>
        <v>0.12953411015652097</v>
      </c>
      <c r="O65" s="14"/>
      <c r="P65" s="1">
        <f>SUM(OSRRefP22_3x_0)</f>
        <v>13837.64</v>
      </c>
      <c r="Q65" s="1"/>
      <c r="R65" s="5">
        <f t="shared" si="32"/>
        <v>7.6601221975723013E-2</v>
      </c>
      <c r="S65" s="1"/>
      <c r="T65" s="1">
        <f>SUM(OSRRefT22_3x_0)</f>
        <v>12250.75</v>
      </c>
      <c r="U65" s="1"/>
      <c r="V65" s="5">
        <f t="shared" si="33"/>
        <v>7.6223415133783196E-2</v>
      </c>
      <c r="W65" s="1"/>
      <c r="X65" s="1">
        <f t="shared" si="34"/>
        <v>1586.8899999999994</v>
      </c>
      <c r="Y65" s="1"/>
      <c r="Z65" s="5">
        <f t="shared" si="35"/>
        <v>0.12953411015652097</v>
      </c>
    </row>
    <row r="66" spans="1:26" s="24" customFormat="1" hidden="1" outlineLevel="2" x14ac:dyDescent="0.25">
      <c r="A66" s="29"/>
      <c r="B66" s="11" t="str">
        <f>CONCATENATE("          ", "6382", " - ", "DISCOUNTS/MARK DOWNS")</f>
        <v xml:space="preserve">          6382 - DISCOUNTS/MARK DOWNS</v>
      </c>
      <c r="C66" s="11"/>
      <c r="D66" s="7">
        <v>13837.64</v>
      </c>
      <c r="E66" s="2"/>
      <c r="F66" s="6">
        <f t="shared" si="28"/>
        <v>7.6601221975723013E-2</v>
      </c>
      <c r="G66" s="2"/>
      <c r="H66" s="7">
        <v>12250.75</v>
      </c>
      <c r="I66" s="2"/>
      <c r="J66" s="6">
        <f t="shared" si="29"/>
        <v>7.6223415133783196E-2</v>
      </c>
      <c r="K66" s="2"/>
      <c r="L66" s="7">
        <f t="shared" si="30"/>
        <v>1586.8899999999994</v>
      </c>
      <c r="M66" s="2"/>
      <c r="N66" s="6">
        <f t="shared" si="31"/>
        <v>0.12953411015652097</v>
      </c>
      <c r="O66" s="11"/>
      <c r="P66" s="7">
        <v>13837.64</v>
      </c>
      <c r="Q66" s="2"/>
      <c r="R66" s="6">
        <f t="shared" si="32"/>
        <v>7.6601221975723013E-2</v>
      </c>
      <c r="S66" s="2"/>
      <c r="T66" s="7">
        <v>12250.75</v>
      </c>
      <c r="U66" s="2"/>
      <c r="V66" s="6">
        <f t="shared" si="33"/>
        <v>7.6223415133783196E-2</v>
      </c>
      <c r="W66" s="2"/>
      <c r="X66" s="7">
        <f t="shared" si="34"/>
        <v>1586.8899999999994</v>
      </c>
      <c r="Y66" s="2"/>
      <c r="Z66" s="6">
        <f t="shared" si="35"/>
        <v>0.12953411015652097</v>
      </c>
    </row>
    <row r="67" spans="1:26" s="28" customFormat="1" outlineLevel="1" collapsed="1" x14ac:dyDescent="0.25">
      <c r="A67" s="27"/>
      <c r="B67" s="14" t="str">
        <f>CONCATENATE("     ","Employees' Appreciation                           ")</f>
        <v xml:space="preserve">     Employees' Appreciation                           </v>
      </c>
      <c r="C67" s="14"/>
      <c r="D67" s="1">
        <f>SUM(OSRRefD22_4x_0)</f>
        <v>12.98</v>
      </c>
      <c r="E67" s="1"/>
      <c r="F67" s="5">
        <f t="shared" si="28"/>
        <v>7.1853571941811231E-5</v>
      </c>
      <c r="G67" s="1"/>
      <c r="H67" s="1">
        <f>SUM(OSRRefH22_4x_0)</f>
        <v>13.76</v>
      </c>
      <c r="I67" s="1"/>
      <c r="J67" s="5">
        <f t="shared" si="29"/>
        <v>8.561387606806577E-5</v>
      </c>
      <c r="K67" s="1"/>
      <c r="L67" s="1">
        <f t="shared" si="30"/>
        <v>-0.77999999999999936</v>
      </c>
      <c r="M67" s="1"/>
      <c r="N67" s="5">
        <f t="shared" si="31"/>
        <v>-5.6686046511627862E-2</v>
      </c>
      <c r="O67" s="14"/>
      <c r="P67" s="1">
        <f>SUM(OSRRefP22_4x_0)</f>
        <v>12.98</v>
      </c>
      <c r="Q67" s="1"/>
      <c r="R67" s="5">
        <f t="shared" si="32"/>
        <v>7.1853571941811231E-5</v>
      </c>
      <c r="S67" s="1"/>
      <c r="T67" s="1">
        <f>SUM(OSRRefT22_4x_0)</f>
        <v>13.76</v>
      </c>
      <c r="U67" s="1"/>
      <c r="V67" s="5">
        <f t="shared" si="33"/>
        <v>8.561387606806577E-5</v>
      </c>
      <c r="W67" s="1"/>
      <c r="X67" s="1">
        <f t="shared" si="34"/>
        <v>-0.77999999999999936</v>
      </c>
      <c r="Y67" s="1"/>
      <c r="Z67" s="5">
        <f t="shared" si="35"/>
        <v>-5.6686046511627862E-2</v>
      </c>
    </row>
    <row r="68" spans="1:26" s="24" customFormat="1" hidden="1" outlineLevel="2" x14ac:dyDescent="0.25">
      <c r="A68" s="29"/>
      <c r="B68" s="11" t="str">
        <f>CONCATENATE("          ", "6277", " - ", "EMPLOYEE APPRECIATION")</f>
        <v xml:space="preserve">          6277 - EMPLOYEE APPRECIATION</v>
      </c>
      <c r="C68" s="11"/>
      <c r="D68" s="7">
        <v>12.98</v>
      </c>
      <c r="E68" s="2"/>
      <c r="F68" s="6">
        <f t="shared" si="28"/>
        <v>7.1853571941811231E-5</v>
      </c>
      <c r="G68" s="2"/>
      <c r="H68" s="7">
        <v>13.76</v>
      </c>
      <c r="I68" s="2"/>
      <c r="J68" s="6">
        <f t="shared" si="29"/>
        <v>8.561387606806577E-5</v>
      </c>
      <c r="K68" s="2"/>
      <c r="L68" s="7">
        <f t="shared" si="30"/>
        <v>-0.77999999999999936</v>
      </c>
      <c r="M68" s="2"/>
      <c r="N68" s="6">
        <f t="shared" si="31"/>
        <v>-5.6686046511627862E-2</v>
      </c>
      <c r="O68" s="11"/>
      <c r="P68" s="7">
        <v>12.98</v>
      </c>
      <c r="Q68" s="2"/>
      <c r="R68" s="6">
        <f t="shared" si="32"/>
        <v>7.1853571941811231E-5</v>
      </c>
      <c r="S68" s="2"/>
      <c r="T68" s="7">
        <v>13.76</v>
      </c>
      <c r="U68" s="2"/>
      <c r="V68" s="6">
        <f t="shared" si="33"/>
        <v>8.561387606806577E-5</v>
      </c>
      <c r="W68" s="2"/>
      <c r="X68" s="7">
        <f t="shared" si="34"/>
        <v>-0.77999999999999936</v>
      </c>
      <c r="Y68" s="2"/>
      <c r="Z68" s="6">
        <f t="shared" si="35"/>
        <v>-5.6686046511627862E-2</v>
      </c>
    </row>
    <row r="69" spans="1:26" s="28" customFormat="1" outlineLevel="1" collapsed="1" x14ac:dyDescent="0.25">
      <c r="A69" s="27"/>
      <c r="B69" s="14" t="str">
        <f>CONCATENATE("     ","Inventory Adjustment                              ")</f>
        <v xml:space="preserve">     Inventory Adjustment                              </v>
      </c>
      <c r="C69" s="14"/>
      <c r="D69" s="1">
        <f>SUM(OSRRefD22_5x_0)</f>
        <v>2850</v>
      </c>
      <c r="E69" s="1"/>
      <c r="F69" s="5">
        <f t="shared" si="28"/>
        <v>1.577678582697704E-2</v>
      </c>
      <c r="G69" s="1"/>
      <c r="H69" s="1">
        <f>SUM(OSRRefH22_5x_0)</f>
        <v>1000</v>
      </c>
      <c r="I69" s="1"/>
      <c r="J69" s="5">
        <f t="shared" si="29"/>
        <v>6.2219386677373383E-3</v>
      </c>
      <c r="K69" s="1"/>
      <c r="L69" s="1">
        <f t="shared" si="30"/>
        <v>1850</v>
      </c>
      <c r="M69" s="1"/>
      <c r="N69" s="5">
        <f t="shared" si="31"/>
        <v>1.85</v>
      </c>
      <c r="O69" s="14"/>
      <c r="P69" s="1">
        <f>SUM(OSRRefP22_5x_0)</f>
        <v>2850</v>
      </c>
      <c r="Q69" s="1"/>
      <c r="R69" s="5">
        <f t="shared" si="32"/>
        <v>1.577678582697704E-2</v>
      </c>
      <c r="S69" s="1"/>
      <c r="T69" s="1">
        <f>SUM(OSRRefT22_5x_0)</f>
        <v>1000</v>
      </c>
      <c r="U69" s="1"/>
      <c r="V69" s="5">
        <f t="shared" si="33"/>
        <v>6.2219386677373383E-3</v>
      </c>
      <c r="W69" s="1"/>
      <c r="X69" s="1">
        <f t="shared" si="34"/>
        <v>1850</v>
      </c>
      <c r="Y69" s="1"/>
      <c r="Z69" s="5">
        <f t="shared" si="35"/>
        <v>1.85</v>
      </c>
    </row>
    <row r="70" spans="1:26" s="24" customFormat="1" hidden="1" outlineLevel="2" x14ac:dyDescent="0.25">
      <c r="A70" s="29"/>
      <c r="B70" s="11" t="str">
        <f>CONCATENATE("          ", "6408", " - ", "INVENTORY ADJUSTMENT")</f>
        <v xml:space="preserve">          6408 - INVENTORY ADJUSTMENT</v>
      </c>
      <c r="C70" s="11"/>
      <c r="D70" s="7">
        <v>2850</v>
      </c>
      <c r="E70" s="2"/>
      <c r="F70" s="6">
        <f t="shared" si="28"/>
        <v>1.577678582697704E-2</v>
      </c>
      <c r="G70" s="2"/>
      <c r="H70" s="7">
        <v>1000</v>
      </c>
      <c r="I70" s="2"/>
      <c r="J70" s="6">
        <f t="shared" si="29"/>
        <v>6.2219386677373383E-3</v>
      </c>
      <c r="K70" s="2"/>
      <c r="L70" s="7">
        <f t="shared" si="30"/>
        <v>1850</v>
      </c>
      <c r="M70" s="2"/>
      <c r="N70" s="6">
        <f t="shared" si="31"/>
        <v>1.85</v>
      </c>
      <c r="O70" s="11"/>
      <c r="P70" s="7">
        <v>2850</v>
      </c>
      <c r="Q70" s="2"/>
      <c r="R70" s="6">
        <f t="shared" si="32"/>
        <v>1.577678582697704E-2</v>
      </c>
      <c r="S70" s="2"/>
      <c r="T70" s="7">
        <v>1000</v>
      </c>
      <c r="U70" s="2"/>
      <c r="V70" s="6">
        <f t="shared" si="33"/>
        <v>6.2219386677373383E-3</v>
      </c>
      <c r="W70" s="2"/>
      <c r="X70" s="7">
        <f t="shared" si="34"/>
        <v>1850</v>
      </c>
      <c r="Y70" s="2"/>
      <c r="Z70" s="6">
        <f t="shared" si="35"/>
        <v>1.85</v>
      </c>
    </row>
    <row r="71" spans="1:26" s="28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SUM(OSRRefD22_6x_0)</f>
        <v>0</v>
      </c>
      <c r="E71" s="1"/>
      <c r="F71" s="5">
        <f t="shared" si="28"/>
        <v>0</v>
      </c>
      <c r="G71" s="1"/>
      <c r="H71" s="1">
        <f>SUM(OSRRefH22_6x_0)</f>
        <v>186.58</v>
      </c>
      <c r="I71" s="1"/>
      <c r="J71" s="5">
        <f t="shared" si="29"/>
        <v>1.1608893166264328E-3</v>
      </c>
      <c r="K71" s="1"/>
      <c r="L71" s="1">
        <f t="shared" si="30"/>
        <v>-186.58</v>
      </c>
      <c r="M71" s="1"/>
      <c r="N71" s="5">
        <f t="shared" si="31"/>
        <v>-1</v>
      </c>
      <c r="O71" s="14"/>
      <c r="P71" s="1">
        <f>SUM(OSRRefP22_6x_0)</f>
        <v>0</v>
      </c>
      <c r="Q71" s="1"/>
      <c r="R71" s="5">
        <f t="shared" si="32"/>
        <v>0</v>
      </c>
      <c r="S71" s="1"/>
      <c r="T71" s="1">
        <f>SUM(OSRRefT22_6x_0)</f>
        <v>186.58</v>
      </c>
      <c r="U71" s="1"/>
      <c r="V71" s="5">
        <f t="shared" si="33"/>
        <v>1.1608893166264328E-3</v>
      </c>
      <c r="W71" s="1"/>
      <c r="X71" s="1">
        <f t="shared" si="34"/>
        <v>-186.58</v>
      </c>
      <c r="Y71" s="1"/>
      <c r="Z71" s="5">
        <f t="shared" si="35"/>
        <v>-1</v>
      </c>
    </row>
    <row r="72" spans="1:26" s="24" customFormat="1" hidden="1" outlineLevel="2" x14ac:dyDescent="0.2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7"/>
      <c r="E72" s="2"/>
      <c r="F72" s="6">
        <f t="shared" si="28"/>
        <v>0</v>
      </c>
      <c r="G72" s="2"/>
      <c r="H72" s="7">
        <v>186.58</v>
      </c>
      <c r="I72" s="2"/>
      <c r="J72" s="6">
        <f t="shared" si="29"/>
        <v>1.1608893166264328E-3</v>
      </c>
      <c r="K72" s="2"/>
      <c r="L72" s="7">
        <f t="shared" si="30"/>
        <v>-186.58</v>
      </c>
      <c r="M72" s="2"/>
      <c r="N72" s="6">
        <f t="shared" si="31"/>
        <v>-1</v>
      </c>
      <c r="O72" s="11"/>
      <c r="P72" s="7"/>
      <c r="Q72" s="2"/>
      <c r="R72" s="6">
        <f t="shared" si="32"/>
        <v>0</v>
      </c>
      <c r="S72" s="2"/>
      <c r="T72" s="7">
        <v>186.58</v>
      </c>
      <c r="U72" s="2"/>
      <c r="V72" s="6">
        <f t="shared" si="33"/>
        <v>1.1608893166264328E-3</v>
      </c>
      <c r="W72" s="2"/>
      <c r="X72" s="7">
        <f t="shared" si="34"/>
        <v>-186.58</v>
      </c>
      <c r="Y72" s="2"/>
      <c r="Z72" s="6">
        <f t="shared" si="35"/>
        <v>-1</v>
      </c>
    </row>
    <row r="73" spans="1:26" s="28" customFormat="1" outlineLevel="1" collapsed="1" x14ac:dyDescent="0.25">
      <c r="A73" s="27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SUM(OSRRefD22_7x_0)</f>
        <v>4481.04</v>
      </c>
      <c r="E73" s="1"/>
      <c r="F73" s="5">
        <f t="shared" si="28"/>
        <v>2.4805757320041123E-2</v>
      </c>
      <c r="G73" s="1"/>
      <c r="H73" s="1">
        <f>SUM(OSRRefH22_7x_0)</f>
        <v>6645.39</v>
      </c>
      <c r="I73" s="1"/>
      <c r="J73" s="5">
        <f t="shared" si="29"/>
        <v>4.134720900319503E-2</v>
      </c>
      <c r="K73" s="1"/>
      <c r="L73" s="1">
        <f t="shared" si="30"/>
        <v>-2164.3500000000004</v>
      </c>
      <c r="M73" s="1"/>
      <c r="N73" s="5">
        <f t="shared" si="31"/>
        <v>-0.32569194584516487</v>
      </c>
      <c r="O73" s="14"/>
      <c r="P73" s="1">
        <f>SUM(OSRRefP22_7x_0)</f>
        <v>4481.04</v>
      </c>
      <c r="Q73" s="1"/>
      <c r="R73" s="5">
        <f t="shared" si="32"/>
        <v>2.4805757320041123E-2</v>
      </c>
      <c r="S73" s="1"/>
      <c r="T73" s="1">
        <f>SUM(OSRRefT22_7x_0)</f>
        <v>6645.39</v>
      </c>
      <c r="U73" s="1"/>
      <c r="V73" s="5">
        <f t="shared" si="33"/>
        <v>4.134720900319503E-2</v>
      </c>
      <c r="W73" s="1"/>
      <c r="X73" s="1">
        <f t="shared" si="34"/>
        <v>-2164.3500000000004</v>
      </c>
      <c r="Y73" s="1"/>
      <c r="Z73" s="5">
        <f t="shared" si="35"/>
        <v>-0.32569194584516487</v>
      </c>
    </row>
    <row r="74" spans="1:26" s="24" customFormat="1" hidden="1" outlineLevel="2" x14ac:dyDescent="0.25">
      <c r="A74" s="29"/>
      <c r="B74" s="11" t="str">
        <f>CONCATENATE("          ", "6253", " - ", "ROYALTY DUE ATHLETICS-LRG")</f>
        <v xml:space="preserve">          6253 - ROYALTY DUE ATHLETICS-LRG</v>
      </c>
      <c r="C74" s="11"/>
      <c r="D74" s="7">
        <v>4366.95</v>
      </c>
      <c r="E74" s="2"/>
      <c r="F74" s="6">
        <f t="shared" si="28"/>
        <v>2.4174187672672768E-2</v>
      </c>
      <c r="G74" s="2"/>
      <c r="H74" s="7">
        <v>6645.39</v>
      </c>
      <c r="I74" s="2"/>
      <c r="J74" s="6">
        <f t="shared" si="29"/>
        <v>4.134720900319503E-2</v>
      </c>
      <c r="K74" s="2"/>
      <c r="L74" s="7">
        <f t="shared" si="30"/>
        <v>-2278.4400000000005</v>
      </c>
      <c r="M74" s="2"/>
      <c r="N74" s="6">
        <f t="shared" si="31"/>
        <v>-0.34286023845101649</v>
      </c>
      <c r="O74" s="11"/>
      <c r="P74" s="7">
        <v>4366.95</v>
      </c>
      <c r="Q74" s="2"/>
      <c r="R74" s="6">
        <f t="shared" si="32"/>
        <v>2.4174187672672768E-2</v>
      </c>
      <c r="S74" s="2"/>
      <c r="T74" s="7">
        <v>6645.39</v>
      </c>
      <c r="U74" s="2"/>
      <c r="V74" s="6">
        <f t="shared" si="33"/>
        <v>4.134720900319503E-2</v>
      </c>
      <c r="W74" s="2"/>
      <c r="X74" s="7">
        <f t="shared" si="34"/>
        <v>-2278.4400000000005</v>
      </c>
      <c r="Y74" s="2"/>
      <c r="Z74" s="6">
        <f t="shared" si="35"/>
        <v>-0.34286023845101649</v>
      </c>
    </row>
    <row r="75" spans="1:26" s="24" customFormat="1" hidden="1" outlineLevel="2" x14ac:dyDescent="0.25">
      <c r="A75" s="29"/>
      <c r="B75" s="11" t="str">
        <f>CONCATENATE("          ", "6254", " - ", "ROYALTY &amp; COMMISSIONS")</f>
        <v xml:space="preserve">          6254 - ROYALTY &amp; COMMISSIONS</v>
      </c>
      <c r="C75" s="11"/>
      <c r="D75" s="7">
        <v>114.09</v>
      </c>
      <c r="E75" s="2"/>
      <c r="F75" s="6">
        <f t="shared" si="28"/>
        <v>6.3156964736835468E-4</v>
      </c>
      <c r="G75" s="2"/>
      <c r="H75" s="7"/>
      <c r="I75" s="2"/>
      <c r="J75" s="6">
        <f t="shared" si="29"/>
        <v>0</v>
      </c>
      <c r="K75" s="2"/>
      <c r="L75" s="7">
        <f t="shared" si="30"/>
        <v>114.09</v>
      </c>
      <c r="M75" s="2"/>
      <c r="N75" s="6">
        <f t="shared" si="31"/>
        <v>0</v>
      </c>
      <c r="O75" s="11"/>
      <c r="P75" s="7">
        <v>114.09</v>
      </c>
      <c r="Q75" s="2"/>
      <c r="R75" s="6">
        <f t="shared" si="32"/>
        <v>6.3156964736835468E-4</v>
      </c>
      <c r="S75" s="2"/>
      <c r="T75" s="7"/>
      <c r="U75" s="2"/>
      <c r="V75" s="6">
        <f t="shared" si="33"/>
        <v>0</v>
      </c>
      <c r="W75" s="2"/>
      <c r="X75" s="7">
        <f t="shared" si="34"/>
        <v>114.09</v>
      </c>
      <c r="Y75" s="2"/>
      <c r="Z75" s="6">
        <f t="shared" si="35"/>
        <v>0</v>
      </c>
    </row>
    <row r="76" spans="1:26" s="28" customFormat="1" outlineLevel="1" collapsed="1" x14ac:dyDescent="0.25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SUM(OSRRefD22_8x_0)</f>
        <v>869.59999999999991</v>
      </c>
      <c r="E76" s="1"/>
      <c r="F76" s="5">
        <f t="shared" ref="F76:F79" si="36">IF(D$12=0,0,D76/D$12)</f>
        <v>4.8138571772418362E-3</v>
      </c>
      <c r="G76" s="1"/>
      <c r="H76" s="1">
        <f>SUM(OSRRefH22_8x_0)</f>
        <v>306.83</v>
      </c>
      <c r="I76" s="1"/>
      <c r="J76" s="5">
        <f t="shared" ref="J76:J79" si="37">IF(H$12=0,0,H76/H$12)</f>
        <v>1.9090774414218476E-3</v>
      </c>
      <c r="K76" s="1"/>
      <c r="L76" s="1">
        <f t="shared" ref="L76:L79" si="38">+D76-H76</f>
        <v>562.77</v>
      </c>
      <c r="M76" s="1"/>
      <c r="N76" s="5">
        <f t="shared" ref="N76:N79" si="39">IF(H76=0,0,L76/H76)</f>
        <v>1.8341426848743605</v>
      </c>
      <c r="O76" s="14"/>
      <c r="P76" s="1">
        <f>SUM(OSRRefP22_8x_0)</f>
        <v>869.59999999999991</v>
      </c>
      <c r="Q76" s="1"/>
      <c r="R76" s="5">
        <f t="shared" ref="R76:R79" si="40">IF(P$12=0,0,P76/P$12)</f>
        <v>4.8138571772418362E-3</v>
      </c>
      <c r="S76" s="1"/>
      <c r="T76" s="1">
        <f>SUM(OSRRefT22_8x_0)</f>
        <v>306.83</v>
      </c>
      <c r="U76" s="1"/>
      <c r="V76" s="5">
        <f t="shared" ref="V76:V79" si="41">IF(T$12=0,0,T76/T$12)</f>
        <v>1.9090774414218476E-3</v>
      </c>
      <c r="W76" s="1"/>
      <c r="X76" s="1">
        <f t="shared" ref="X76:X79" si="42">+P76-T76</f>
        <v>562.77</v>
      </c>
      <c r="Y76" s="1"/>
      <c r="Z76" s="5">
        <f t="shared" ref="Z76:Z79" si="43">IF(T76=0,0,X76/T76)</f>
        <v>1.8341426848743605</v>
      </c>
    </row>
    <row r="77" spans="1:26" s="24" customFormat="1" hidden="1" outlineLevel="2" x14ac:dyDescent="0.25">
      <c r="A77" s="29"/>
      <c r="B77" s="11" t="str">
        <f>CONCATENATE("          ", "6234", " - ", "EXPENDABLE SUPPLIES &amp; EQUIPMEN")</f>
        <v xml:space="preserve">          6234 - EXPENDABLE SUPPLIES &amp; EQUIPMEN</v>
      </c>
      <c r="C77" s="11"/>
      <c r="D77" s="7">
        <v>-15.95</v>
      </c>
      <c r="E77" s="2"/>
      <c r="F77" s="6">
        <f t="shared" si="36"/>
        <v>-8.8294643487818876E-5</v>
      </c>
      <c r="G77" s="2"/>
      <c r="H77" s="7"/>
      <c r="I77" s="2"/>
      <c r="J77" s="6">
        <f t="shared" si="37"/>
        <v>0</v>
      </c>
      <c r="K77" s="2"/>
      <c r="L77" s="7">
        <f t="shared" si="38"/>
        <v>-15.95</v>
      </c>
      <c r="M77" s="2"/>
      <c r="N77" s="6">
        <f t="shared" si="39"/>
        <v>0</v>
      </c>
      <c r="O77" s="11"/>
      <c r="P77" s="7">
        <v>-15.95</v>
      </c>
      <c r="Q77" s="2"/>
      <c r="R77" s="6">
        <f t="shared" si="40"/>
        <v>-8.8294643487818876E-5</v>
      </c>
      <c r="S77" s="2"/>
      <c r="T77" s="7"/>
      <c r="U77" s="2"/>
      <c r="V77" s="6">
        <f t="shared" si="41"/>
        <v>0</v>
      </c>
      <c r="W77" s="2"/>
      <c r="X77" s="7">
        <f t="shared" si="42"/>
        <v>-15.95</v>
      </c>
      <c r="Y77" s="2"/>
      <c r="Z77" s="6">
        <f t="shared" si="43"/>
        <v>0</v>
      </c>
    </row>
    <row r="78" spans="1:26" s="24" customFormat="1" hidden="1" outlineLevel="2" x14ac:dyDescent="0.25">
      <c r="A78" s="29"/>
      <c r="B78" s="11" t="str">
        <f>CONCATENATE("          ", "6241", " - ", "OFFICE EXPENSE")</f>
        <v xml:space="preserve">          6241 - OFFICE EXPENSE</v>
      </c>
      <c r="C78" s="11"/>
      <c r="D78" s="7">
        <v>885.55</v>
      </c>
      <c r="E78" s="2"/>
      <c r="F78" s="6">
        <f t="shared" si="36"/>
        <v>4.9021518207296557E-3</v>
      </c>
      <c r="G78" s="2"/>
      <c r="H78" s="7">
        <v>86.33</v>
      </c>
      <c r="I78" s="2"/>
      <c r="J78" s="6">
        <f t="shared" si="37"/>
        <v>5.3713996518576438E-4</v>
      </c>
      <c r="K78" s="2"/>
      <c r="L78" s="7">
        <f t="shared" si="38"/>
        <v>799.21999999999991</v>
      </c>
      <c r="M78" s="2"/>
      <c r="N78" s="6">
        <f t="shared" si="39"/>
        <v>9.2577319587628857</v>
      </c>
      <c r="O78" s="11"/>
      <c r="P78" s="7">
        <v>885.55</v>
      </c>
      <c r="Q78" s="2"/>
      <c r="R78" s="6">
        <f t="shared" si="40"/>
        <v>4.9021518207296557E-3</v>
      </c>
      <c r="S78" s="2"/>
      <c r="T78" s="7">
        <v>86.33</v>
      </c>
      <c r="U78" s="2"/>
      <c r="V78" s="6">
        <f t="shared" si="41"/>
        <v>5.3713996518576438E-4</v>
      </c>
      <c r="W78" s="2"/>
      <c r="X78" s="7">
        <f t="shared" si="42"/>
        <v>799.21999999999991</v>
      </c>
      <c r="Y78" s="2"/>
      <c r="Z78" s="6">
        <f t="shared" si="43"/>
        <v>9.2577319587628857</v>
      </c>
    </row>
    <row r="79" spans="1:26" s="24" customFormat="1" hidden="1" outlineLevel="2" x14ac:dyDescent="0.25">
      <c r="A79" s="29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36"/>
        <v>0</v>
      </c>
      <c r="G79" s="2"/>
      <c r="H79" s="7">
        <v>220.5</v>
      </c>
      <c r="I79" s="2"/>
      <c r="J79" s="6">
        <f t="shared" si="37"/>
        <v>1.3719374762360831E-3</v>
      </c>
      <c r="K79" s="2"/>
      <c r="L79" s="7">
        <f t="shared" si="38"/>
        <v>-220.5</v>
      </c>
      <c r="M79" s="2"/>
      <c r="N79" s="6">
        <f t="shared" si="39"/>
        <v>-1</v>
      </c>
      <c r="O79" s="11"/>
      <c r="P79" s="7"/>
      <c r="Q79" s="2"/>
      <c r="R79" s="6">
        <f t="shared" si="40"/>
        <v>0</v>
      </c>
      <c r="S79" s="2"/>
      <c r="T79" s="7">
        <v>220.5</v>
      </c>
      <c r="U79" s="2"/>
      <c r="V79" s="6">
        <f t="shared" si="41"/>
        <v>1.3719374762360831E-3</v>
      </c>
      <c r="W79" s="2"/>
      <c r="X79" s="7">
        <f t="shared" si="42"/>
        <v>-220.5</v>
      </c>
      <c r="Y79" s="2"/>
      <c r="Z79" s="6">
        <f t="shared" si="43"/>
        <v>-1</v>
      </c>
    </row>
    <row r="80" spans="1:26" s="28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SUM(OSRRefD22_9x_0)</f>
        <v>588.27</v>
      </c>
      <c r="E80" s="1"/>
      <c r="F80" s="5">
        <f t="shared" ref="F80:F85" si="44">IF(D$12=0,0,D80/D$12)</f>
        <v>3.2564946661178189E-3</v>
      </c>
      <c r="G80" s="1"/>
      <c r="H80" s="1">
        <f>SUM(OSRRefH22_9x_0)</f>
        <v>468.05</v>
      </c>
      <c r="I80" s="1"/>
      <c r="J80" s="5">
        <f t="shared" ref="J80:J85" si="45">IF(H$12=0,0,H80/H$12)</f>
        <v>2.9121783934344613E-3</v>
      </c>
      <c r="K80" s="1"/>
      <c r="L80" s="1">
        <f t="shared" ref="L80:L85" si="46">+D80-H80</f>
        <v>120.21999999999997</v>
      </c>
      <c r="M80" s="1"/>
      <c r="N80" s="5">
        <f t="shared" ref="N80:N85" si="47">IF(H80=0,0,L80/H80)</f>
        <v>0.25685290033116115</v>
      </c>
      <c r="O80" s="14"/>
      <c r="P80" s="1">
        <f>SUM(OSRRefP22_9x_0)</f>
        <v>588.27</v>
      </c>
      <c r="Q80" s="1"/>
      <c r="R80" s="5">
        <f t="shared" ref="R80:R85" si="48">IF(P$12=0,0,P80/P$12)</f>
        <v>3.2564946661178189E-3</v>
      </c>
      <c r="S80" s="1"/>
      <c r="T80" s="1">
        <f>SUM(OSRRefT22_9x_0)</f>
        <v>468.05</v>
      </c>
      <c r="U80" s="1"/>
      <c r="V80" s="5">
        <f t="shared" ref="V80:V85" si="49">IF(T$12=0,0,T80/T$12)</f>
        <v>2.9121783934344613E-3</v>
      </c>
      <c r="W80" s="1"/>
      <c r="X80" s="1">
        <f t="shared" ref="X80:X85" si="50">+P80-T80</f>
        <v>120.21999999999997</v>
      </c>
      <c r="Y80" s="1"/>
      <c r="Z80" s="5">
        <f t="shared" ref="Z80:Z85" si="51">IF(T80=0,0,X80/T80)</f>
        <v>0.25685290033116115</v>
      </c>
    </row>
    <row r="81" spans="1:26" s="24" customFormat="1" hidden="1" outlineLevel="2" x14ac:dyDescent="0.25">
      <c r="A81" s="29"/>
      <c r="B81" s="11" t="str">
        <f>CONCATENATE("          ", "6309", " - ", "TELEPHONE")</f>
        <v xml:space="preserve">          6309 - TELEPHONE</v>
      </c>
      <c r="C81" s="11"/>
      <c r="D81" s="7">
        <v>588.27</v>
      </c>
      <c r="E81" s="2"/>
      <c r="F81" s="6">
        <f t="shared" si="44"/>
        <v>3.2564946661178189E-3</v>
      </c>
      <c r="G81" s="2"/>
      <c r="H81" s="7">
        <v>468.05</v>
      </c>
      <c r="I81" s="2"/>
      <c r="J81" s="6">
        <f t="shared" si="45"/>
        <v>2.9121783934344613E-3</v>
      </c>
      <c r="K81" s="2"/>
      <c r="L81" s="7">
        <f t="shared" si="46"/>
        <v>120.21999999999997</v>
      </c>
      <c r="M81" s="2"/>
      <c r="N81" s="6">
        <f t="shared" si="47"/>
        <v>0.25685290033116115</v>
      </c>
      <c r="O81" s="11"/>
      <c r="P81" s="7">
        <v>588.27</v>
      </c>
      <c r="Q81" s="2"/>
      <c r="R81" s="6">
        <f t="shared" si="48"/>
        <v>3.2564946661178189E-3</v>
      </c>
      <c r="S81" s="2"/>
      <c r="T81" s="7">
        <v>468.05</v>
      </c>
      <c r="U81" s="2"/>
      <c r="V81" s="6">
        <f t="shared" si="49"/>
        <v>2.9121783934344613E-3</v>
      </c>
      <c r="W81" s="2"/>
      <c r="X81" s="7">
        <f t="shared" si="50"/>
        <v>120.21999999999997</v>
      </c>
      <c r="Y81" s="2"/>
      <c r="Z81" s="6">
        <f t="shared" si="51"/>
        <v>0.25685290033116115</v>
      </c>
    </row>
    <row r="82" spans="1:26" s="28" customFormat="1" outlineLevel="1" collapsed="1" x14ac:dyDescent="0.25">
      <c r="A82" s="27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SUM(OSRRefD22_10x_0)</f>
        <v>103.5</v>
      </c>
      <c r="E82" s="1"/>
      <c r="F82" s="5">
        <f t="shared" si="44"/>
        <v>5.7294643266390304E-4</v>
      </c>
      <c r="G82" s="1"/>
      <c r="H82" s="1">
        <f>SUM(OSRRefH22_10x_0)</f>
        <v>-315.60000000000002</v>
      </c>
      <c r="I82" s="1"/>
      <c r="J82" s="5">
        <f t="shared" si="45"/>
        <v>-1.9636438435379042E-3</v>
      </c>
      <c r="K82" s="1"/>
      <c r="L82" s="1">
        <f t="shared" si="46"/>
        <v>419.1</v>
      </c>
      <c r="M82" s="1"/>
      <c r="N82" s="5">
        <f t="shared" si="47"/>
        <v>-1.3279467680608366</v>
      </c>
      <c r="O82" s="14"/>
      <c r="P82" s="1">
        <f>SUM(OSRRefP22_10x_0)</f>
        <v>103.5</v>
      </c>
      <c r="Q82" s="1"/>
      <c r="R82" s="5">
        <f t="shared" si="48"/>
        <v>5.7294643266390304E-4</v>
      </c>
      <c r="S82" s="1"/>
      <c r="T82" s="1">
        <f>SUM(OSRRefT22_10x_0)</f>
        <v>-315.60000000000002</v>
      </c>
      <c r="U82" s="1"/>
      <c r="V82" s="5">
        <f t="shared" si="49"/>
        <v>-1.9636438435379042E-3</v>
      </c>
      <c r="W82" s="1"/>
      <c r="X82" s="1">
        <f t="shared" si="50"/>
        <v>419.1</v>
      </c>
      <c r="Y82" s="1"/>
      <c r="Z82" s="5">
        <f t="shared" si="51"/>
        <v>-1.3279467680608366</v>
      </c>
    </row>
    <row r="83" spans="1:26" s="24" customFormat="1" hidden="1" outlineLevel="2" x14ac:dyDescent="0.25">
      <c r="A83" s="29"/>
      <c r="B83" s="11" t="str">
        <f>CONCATENATE("          ", "6376", " - ", "TRAINING")</f>
        <v xml:space="preserve">          6376 - TRAINING</v>
      </c>
      <c r="C83" s="11"/>
      <c r="D83" s="7">
        <v>103.5</v>
      </c>
      <c r="E83" s="2"/>
      <c r="F83" s="6">
        <f t="shared" si="44"/>
        <v>5.7294643266390304E-4</v>
      </c>
      <c r="G83" s="2"/>
      <c r="H83" s="7">
        <v>-315.60000000000002</v>
      </c>
      <c r="I83" s="2"/>
      <c r="J83" s="6">
        <f t="shared" si="45"/>
        <v>-1.9636438435379042E-3</v>
      </c>
      <c r="K83" s="2"/>
      <c r="L83" s="7">
        <f t="shared" si="46"/>
        <v>419.1</v>
      </c>
      <c r="M83" s="2"/>
      <c r="N83" s="6">
        <f t="shared" si="47"/>
        <v>-1.3279467680608366</v>
      </c>
      <c r="O83" s="11"/>
      <c r="P83" s="7">
        <v>103.5</v>
      </c>
      <c r="Q83" s="2"/>
      <c r="R83" s="6">
        <f t="shared" si="48"/>
        <v>5.7294643266390304E-4</v>
      </c>
      <c r="S83" s="2"/>
      <c r="T83" s="7">
        <v>-315.60000000000002</v>
      </c>
      <c r="U83" s="2"/>
      <c r="V83" s="6">
        <f t="shared" si="49"/>
        <v>-1.9636438435379042E-3</v>
      </c>
      <c r="W83" s="2"/>
      <c r="X83" s="7">
        <f t="shared" si="50"/>
        <v>419.1</v>
      </c>
      <c r="Y83" s="2"/>
      <c r="Z83" s="6">
        <f t="shared" si="51"/>
        <v>-1.3279467680608366</v>
      </c>
    </row>
    <row r="84" spans="1:26" s="28" customFormat="1" outlineLevel="1" collapsed="1" x14ac:dyDescent="0.25">
      <c r="A84" s="27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SUM(OSRRefD22_11x_0)</f>
        <v>0</v>
      </c>
      <c r="E84" s="1"/>
      <c r="F84" s="5">
        <f t="shared" si="44"/>
        <v>0</v>
      </c>
      <c r="G84" s="1"/>
      <c r="H84" s="1">
        <f>SUM(OSRRefH22_11x_0)</f>
        <v>39.35</v>
      </c>
      <c r="I84" s="1"/>
      <c r="J84" s="5">
        <f t="shared" si="45"/>
        <v>2.4483328657546428E-4</v>
      </c>
      <c r="K84" s="1"/>
      <c r="L84" s="1">
        <f t="shared" si="46"/>
        <v>-39.35</v>
      </c>
      <c r="M84" s="1"/>
      <c r="N84" s="5">
        <f t="shared" si="47"/>
        <v>-1</v>
      </c>
      <c r="O84" s="14"/>
      <c r="P84" s="1">
        <f>SUM(OSRRefP22_11x_0)</f>
        <v>0</v>
      </c>
      <c r="Q84" s="1"/>
      <c r="R84" s="5">
        <f t="shared" si="48"/>
        <v>0</v>
      </c>
      <c r="S84" s="1"/>
      <c r="T84" s="1">
        <f>SUM(OSRRefT22_11x_0)</f>
        <v>39.35</v>
      </c>
      <c r="U84" s="1"/>
      <c r="V84" s="5">
        <f t="shared" si="49"/>
        <v>2.4483328657546428E-4</v>
      </c>
      <c r="W84" s="1"/>
      <c r="X84" s="1">
        <f t="shared" si="50"/>
        <v>-39.35</v>
      </c>
      <c r="Y84" s="1"/>
      <c r="Z84" s="5">
        <f t="shared" si="51"/>
        <v>-1</v>
      </c>
    </row>
    <row r="85" spans="1:26" s="24" customFormat="1" hidden="1" outlineLevel="2" x14ac:dyDescent="0.25">
      <c r="A85" s="29"/>
      <c r="B85" s="11" t="str">
        <f>CONCATENATE("          ", "6294", " - ", "TRAVEL OPERATIONAL")</f>
        <v xml:space="preserve">          6294 - TRAVEL OPERATIONAL</v>
      </c>
      <c r="C85" s="11"/>
      <c r="D85" s="7"/>
      <c r="E85" s="2"/>
      <c r="F85" s="6">
        <f t="shared" si="44"/>
        <v>0</v>
      </c>
      <c r="G85" s="2"/>
      <c r="H85" s="7">
        <v>39.35</v>
      </c>
      <c r="I85" s="2"/>
      <c r="J85" s="6">
        <f t="shared" si="45"/>
        <v>2.4483328657546428E-4</v>
      </c>
      <c r="K85" s="2"/>
      <c r="L85" s="7">
        <f t="shared" si="46"/>
        <v>-39.35</v>
      </c>
      <c r="M85" s="2"/>
      <c r="N85" s="6">
        <f t="shared" si="47"/>
        <v>-1</v>
      </c>
      <c r="O85" s="11"/>
      <c r="P85" s="7"/>
      <c r="Q85" s="2"/>
      <c r="R85" s="6">
        <f t="shared" si="48"/>
        <v>0</v>
      </c>
      <c r="S85" s="2"/>
      <c r="T85" s="7">
        <v>39.35</v>
      </c>
      <c r="U85" s="2"/>
      <c r="V85" s="6">
        <f t="shared" si="49"/>
        <v>2.4483328657546428E-4</v>
      </c>
      <c r="W85" s="2"/>
      <c r="X85" s="7">
        <f t="shared" si="50"/>
        <v>-39.35</v>
      </c>
      <c r="Y85" s="2"/>
      <c r="Z85" s="6">
        <f t="shared" si="51"/>
        <v>-1</v>
      </c>
    </row>
    <row r="86" spans="1:26" s="54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6" t="s">
        <v>0</v>
      </c>
      <c r="C87" s="10"/>
      <c r="D87" s="4">
        <f>SUM(OSRRefD25x_0)</f>
        <v>9374.82</v>
      </c>
      <c r="E87" s="4"/>
      <c r="F87" s="12">
        <f t="shared" ref="F87:F88" si="52">IF(D$12=0,0,D87/D$12)</f>
        <v>5.1896325370688036E-2</v>
      </c>
      <c r="G87" s="4"/>
      <c r="H87" s="4">
        <f>SUM(OSRRefH25x_0)</f>
        <v>13620.23</v>
      </c>
      <c r="I87" s="4"/>
      <c r="J87" s="12">
        <f t="shared" ref="J87:J88" si="53">IF(H$12=0,0,H87/H$12)</f>
        <v>8.4744235700476123E-2</v>
      </c>
      <c r="K87" s="4"/>
      <c r="L87" s="4">
        <f t="shared" ref="L87:L88" si="54">+D87-H87</f>
        <v>-4245.41</v>
      </c>
      <c r="M87" s="4"/>
      <c r="N87" s="12">
        <f t="shared" ref="N87:N88" si="55">IF(H87=0,0,L87/H87)</f>
        <v>-0.31169884796365405</v>
      </c>
      <c r="O87" s="10"/>
      <c r="P87" s="4">
        <f>SUM(OSRRefP25x_0)</f>
        <v>9374.82</v>
      </c>
      <c r="Q87" s="4"/>
      <c r="R87" s="12">
        <f t="shared" ref="R87:R88" si="56">IF(P$12=0,0,P87/P$12)</f>
        <v>5.1896325370688036E-2</v>
      </c>
      <c r="S87" s="4"/>
      <c r="T87" s="4">
        <f>SUM(OSRRefT25x_0)</f>
        <v>13620.23</v>
      </c>
      <c r="U87" s="4"/>
      <c r="V87" s="12">
        <f t="shared" ref="V87:V88" si="57">IF(T$12=0,0,T87/T$12)</f>
        <v>8.4744235700476123E-2</v>
      </c>
      <c r="W87" s="4"/>
      <c r="X87" s="4">
        <f t="shared" ref="X87:X88" si="58">+P87-T87</f>
        <v>-4245.41</v>
      </c>
      <c r="Y87" s="4"/>
      <c r="Z87" s="12">
        <f t="shared" ref="Z87:Z88" si="59">IF(T87=0,0,X87/T87)</f>
        <v>-0.31169884796365405</v>
      </c>
    </row>
    <row r="88" spans="1:26" s="24" customFormat="1" hidden="1" outlineLevel="1" x14ac:dyDescent="0.25">
      <c r="A88" s="50"/>
      <c r="B88" s="11" t="str">
        <f>CONCATENATE("          ", "9150", " - ", "MISC. INCOME")</f>
        <v xml:space="preserve">          9150 - MISC. INCOME</v>
      </c>
      <c r="C88" s="11"/>
      <c r="D88" s="2">
        <f>--9374.82</f>
        <v>9374.82</v>
      </c>
      <c r="E88" s="2"/>
      <c r="F88" s="22">
        <f t="shared" si="52"/>
        <v>5.1896325370688036E-2</v>
      </c>
      <c r="G88" s="2"/>
      <c r="H88" s="2">
        <f>--13620.23</f>
        <v>13620.23</v>
      </c>
      <c r="I88" s="2"/>
      <c r="J88" s="22">
        <f t="shared" si="53"/>
        <v>8.4744235700476123E-2</v>
      </c>
      <c r="K88" s="2"/>
      <c r="L88" s="2">
        <f t="shared" si="54"/>
        <v>-4245.41</v>
      </c>
      <c r="M88" s="2"/>
      <c r="N88" s="22">
        <f t="shared" si="55"/>
        <v>-0.31169884796365405</v>
      </c>
      <c r="O88" s="11"/>
      <c r="P88" s="2">
        <f>--9374.82</f>
        <v>9374.82</v>
      </c>
      <c r="Q88" s="2"/>
      <c r="R88" s="22">
        <f t="shared" si="56"/>
        <v>5.1896325370688036E-2</v>
      </c>
      <c r="S88" s="2"/>
      <c r="T88" s="2">
        <f>--13620.23</f>
        <v>13620.23</v>
      </c>
      <c r="U88" s="2"/>
      <c r="V88" s="22">
        <f t="shared" si="57"/>
        <v>8.4744235700476123E-2</v>
      </c>
      <c r="W88" s="2"/>
      <c r="X88" s="2">
        <f t="shared" si="58"/>
        <v>-4245.41</v>
      </c>
      <c r="Y88" s="2"/>
      <c r="Z88" s="22">
        <f t="shared" si="59"/>
        <v>-0.31169884796365405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3</v>
      </c>
      <c r="C90" s="25"/>
      <c r="D90" s="21">
        <f>+D46-D48+D87</f>
        <v>47439.979999999989</v>
      </c>
      <c r="E90" s="13"/>
      <c r="F90" s="20">
        <f>IF(D$12=0,0,D90/D$12)</f>
        <v>0.26261417687581551</v>
      </c>
      <c r="G90" s="13"/>
      <c r="H90" s="21">
        <f>+H46-H48+H87</f>
        <v>49985.89</v>
      </c>
      <c r="I90" s="13"/>
      <c r="J90" s="20">
        <f>IF(H$12=0,0,H90/H$12)</f>
        <v>0.31100914183226513</v>
      </c>
      <c r="K90" s="16"/>
      <c r="L90" s="21">
        <f>+D90-H90</f>
        <v>-2545.9100000000108</v>
      </c>
      <c r="M90" s="16"/>
      <c r="N90" s="20">
        <f>IF(H90=0,0,L90/H90)</f>
        <v>-5.0932573172149394E-2</v>
      </c>
      <c r="O90" s="26"/>
      <c r="P90" s="21">
        <f>+P46-P48+P87</f>
        <v>47439.979999999989</v>
      </c>
      <c r="Q90" s="13"/>
      <c r="R90" s="20">
        <f>IF(P$12=0,0,P90/P$12)</f>
        <v>0.26261417687581551</v>
      </c>
      <c r="S90" s="13"/>
      <c r="T90" s="21">
        <f>+T46-T48+T87</f>
        <v>49985.89</v>
      </c>
      <c r="U90" s="13"/>
      <c r="V90" s="20">
        <f>IF(T$12=0,0,T90/T$12)</f>
        <v>0.31100914183226513</v>
      </c>
      <c r="W90" s="16"/>
      <c r="X90" s="21">
        <f>+P90-T90</f>
        <v>-2545.9100000000108</v>
      </c>
      <c r="Y90" s="16"/>
      <c r="Z90" s="20">
        <f>IF(T90=0,0,X90/T90)</f>
        <v>-5.0932573172149394E-2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>
        <v>37561.449999999997</v>
      </c>
      <c r="E92" s="4"/>
      <c r="F92" s="12">
        <f>IF(D$12=0,0,D92/D$12)</f>
        <v>0.20792945684235326</v>
      </c>
      <c r="G92" s="4"/>
      <c r="H92" s="4">
        <v>32996.25</v>
      </c>
      <c r="I92" s="4"/>
      <c r="J92" s="12">
        <f>IF(H$12=0,0,H92/H$12)</f>
        <v>0.20530064376532814</v>
      </c>
      <c r="K92" s="4"/>
      <c r="L92" s="4">
        <f>+D92-H92</f>
        <v>4565.1999999999971</v>
      </c>
      <c r="M92" s="4"/>
      <c r="N92" s="12">
        <f>IF(H92=0,0,L92/H92)</f>
        <v>0.13835511611167928</v>
      </c>
      <c r="O92" s="10"/>
      <c r="P92" s="4">
        <v>37561.449999999997</v>
      </c>
      <c r="Q92" s="4"/>
      <c r="R92" s="12">
        <f>IF(P$12=0,0,P92/P$12)</f>
        <v>0.20792945684235326</v>
      </c>
      <c r="S92" s="4"/>
      <c r="T92" s="4">
        <v>32996.25</v>
      </c>
      <c r="U92" s="4"/>
      <c r="V92" s="12">
        <f>IF(T$12=0,0,T92/T$12)</f>
        <v>0.20530064376532814</v>
      </c>
      <c r="W92" s="4"/>
      <c r="X92" s="4">
        <f>+P92-T92</f>
        <v>4565.1999999999971</v>
      </c>
      <c r="Y92" s="4"/>
      <c r="Z92" s="12">
        <f>IF(T92=0,0,X92/T92)</f>
        <v>0.13835511611167928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4</v>
      </c>
      <c r="C94" s="25"/>
      <c r="D94" s="33">
        <f>+D90-D92</f>
        <v>9878.5299999999916</v>
      </c>
      <c r="E94" s="13"/>
      <c r="F94" s="34">
        <f>IF(D$12=0,0,D94/D$12)</f>
        <v>5.4684720033462239E-2</v>
      </c>
      <c r="G94" s="13"/>
      <c r="H94" s="33">
        <f>+H90-H92</f>
        <v>16989.64</v>
      </c>
      <c r="I94" s="13"/>
      <c r="J94" s="34">
        <f>IF(H$12=0,0,H94/H$12)</f>
        <v>0.105708498066937</v>
      </c>
      <c r="K94" s="16"/>
      <c r="L94" s="33">
        <f>D94-H94</f>
        <v>-7111.1100000000079</v>
      </c>
      <c r="M94" s="16"/>
      <c r="N94" s="34">
        <f>IF(H94=0,0,L94/H94)</f>
        <v>-0.4185556609792796</v>
      </c>
      <c r="O94" s="26"/>
      <c r="P94" s="33">
        <f>+P90-P92</f>
        <v>9878.5299999999916</v>
      </c>
      <c r="Q94" s="13"/>
      <c r="R94" s="34">
        <f>IF(P$12=0,0,P94/P$12)</f>
        <v>5.4684720033462239E-2</v>
      </c>
      <c r="S94" s="13"/>
      <c r="T94" s="33">
        <f>+T90-T92</f>
        <v>16989.64</v>
      </c>
      <c r="U94" s="13"/>
      <c r="V94" s="34">
        <f>IF(T$12=0,0,T94/T$12)</f>
        <v>0.105708498066937</v>
      </c>
      <c r="W94" s="16"/>
      <c r="X94" s="33">
        <f>P94-T94</f>
        <v>-7111.1100000000079</v>
      </c>
      <c r="Y94" s="16"/>
      <c r="Z94" s="34">
        <f>IF(T94=0,0,X94/T94)</f>
        <v>-0.4185556609792796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5</v>
      </c>
      <c r="C97" s="25"/>
      <c r="D97" s="31">
        <f>SUM(D94:D96)</f>
        <v>9878.5299999999916</v>
      </c>
      <c r="E97" s="13"/>
      <c r="F97" s="30">
        <f>IF(D$12=0,0,D97/D$12)</f>
        <v>5.4684720033462239E-2</v>
      </c>
      <c r="G97" s="13"/>
      <c r="H97" s="31">
        <f>SUM(H94:H96)</f>
        <v>16989.64</v>
      </c>
      <c r="I97" s="13"/>
      <c r="J97" s="30">
        <f>IF(H$12=0,0,H97/H$12)</f>
        <v>0.105708498066937</v>
      </c>
      <c r="K97" s="16"/>
      <c r="L97" s="31">
        <f>+D97-H97</f>
        <v>-7111.1100000000079</v>
      </c>
      <c r="M97" s="16"/>
      <c r="N97" s="30">
        <f>IF(H97=0,0,L97/H97)</f>
        <v>-0.4185556609792796</v>
      </c>
      <c r="O97" s="26"/>
      <c r="P97" s="31">
        <f>SUM(P94:P96)</f>
        <v>9878.5299999999916</v>
      </c>
      <c r="Q97" s="13"/>
      <c r="R97" s="30">
        <f>IF(P$12=0,0,P97/P$12)</f>
        <v>5.4684720033462239E-2</v>
      </c>
      <c r="S97" s="13"/>
      <c r="T97" s="31">
        <f>SUM(T94:T96)</f>
        <v>16989.64</v>
      </c>
      <c r="U97" s="13"/>
      <c r="V97" s="30">
        <f>IF(T$12=0,0,T97/T$12)</f>
        <v>0.105708498066937</v>
      </c>
      <c r="W97" s="16"/>
      <c r="X97" s="31">
        <f>+P97-T97</f>
        <v>-7111.1100000000079</v>
      </c>
      <c r="Y97" s="16"/>
      <c r="Z97" s="30">
        <f>IF(T97=0,0,X97/T97)</f>
        <v>-0.4185556609792796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56">
        <v>43726.681927164354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3" t="s">
        <v>313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9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51482.15</v>
      </c>
      <c r="E12" s="4"/>
      <c r="F12" s="12"/>
      <c r="G12" s="4"/>
      <c r="H12" s="4">
        <f>SUM(OSRRefH13x_0)</f>
        <v>50053.489999999991</v>
      </c>
      <c r="I12" s="4"/>
      <c r="J12" s="12"/>
      <c r="K12" s="4"/>
      <c r="L12" s="4">
        <f t="shared" ref="L12:L28" si="0">+D12-H12</f>
        <v>1428.6600000000108</v>
      </c>
      <c r="M12" s="4"/>
      <c r="N12" s="12">
        <f t="shared" ref="N12:N28" si="1">IF(H12=0,0,L12/H12)</f>
        <v>2.8542665056922326E-2</v>
      </c>
      <c r="O12" s="10"/>
      <c r="P12" s="4">
        <f>SUM(OSRRefP13x_0)</f>
        <v>51482.15</v>
      </c>
      <c r="Q12" s="4"/>
      <c r="R12" s="12"/>
      <c r="S12" s="4"/>
      <c r="T12" s="4">
        <f>SUM(OSRRefT13x_0)</f>
        <v>50053.489999999991</v>
      </c>
      <c r="U12" s="4"/>
      <c r="V12" s="12"/>
      <c r="W12" s="4"/>
      <c r="X12" s="4">
        <f t="shared" ref="X12:X28" si="2">+P12-T12</f>
        <v>1428.6600000000108</v>
      </c>
      <c r="Y12" s="4"/>
      <c r="Z12" s="12">
        <f t="shared" ref="Z12:Z28" si="3">IF(T12=0,0,X12/T12)</f>
        <v>2.8542665056922326E-2</v>
      </c>
    </row>
    <row r="13" spans="1:26" s="24" customFormat="1" hidden="1" outlineLevel="1" x14ac:dyDescent="0.25">
      <c r="A13" s="50"/>
      <c r="B13" s="11" t="str">
        <f>CONCATENATE("          ", "4026", " - ", "TAXABLE SALES-WRITING INSTRUME")</f>
        <v xml:space="preserve">          4026 - TAXABLE SALES-WRITING INSTRUME</v>
      </c>
      <c r="C13" s="11"/>
      <c r="D13" s="2">
        <f>--38.56</f>
        <v>38.56</v>
      </c>
      <c r="E13" s="2"/>
      <c r="F13" s="22"/>
      <c r="G13" s="2"/>
      <c r="H13" s="2">
        <f>--31.83</f>
        <v>31.83</v>
      </c>
      <c r="I13" s="2"/>
      <c r="J13" s="22"/>
      <c r="K13" s="2"/>
      <c r="L13" s="2">
        <f t="shared" si="0"/>
        <v>6.730000000000004</v>
      </c>
      <c r="M13" s="2"/>
      <c r="N13" s="22">
        <f t="shared" si="1"/>
        <v>0.21143575243481005</v>
      </c>
      <c r="O13" s="11"/>
      <c r="P13" s="2">
        <f>--38.56</f>
        <v>38.56</v>
      </c>
      <c r="Q13" s="2"/>
      <c r="R13" s="22"/>
      <c r="S13" s="2"/>
      <c r="T13" s="2">
        <f>--31.83</f>
        <v>31.83</v>
      </c>
      <c r="U13" s="2"/>
      <c r="V13" s="22"/>
      <c r="W13" s="2"/>
      <c r="X13" s="2">
        <f t="shared" si="2"/>
        <v>6.730000000000004</v>
      </c>
      <c r="Y13" s="2"/>
      <c r="Z13" s="22">
        <f t="shared" si="3"/>
        <v>0.21143575243481005</v>
      </c>
    </row>
    <row r="14" spans="1:26" s="24" customFormat="1" hidden="1" outlineLevel="1" x14ac:dyDescent="0.25">
      <c r="A14" s="50"/>
      <c r="B14" s="11" t="str">
        <f>CONCATENATE("          ", "4027", " - ", "TAXABLE SALES-SCHOOL SUPPLIES")</f>
        <v xml:space="preserve">          4027 - TAXABLE SALES-SCHOOL SUPPLIES</v>
      </c>
      <c r="C14" s="11"/>
      <c r="D14" s="2">
        <f t="shared" ref="D14:D15" si="4">0</f>
        <v>0</v>
      </c>
      <c r="E14" s="2"/>
      <c r="F14" s="22"/>
      <c r="G14" s="2"/>
      <c r="H14" s="2">
        <f>--16.37</f>
        <v>16.37</v>
      </c>
      <c r="I14" s="2"/>
      <c r="J14" s="22"/>
      <c r="K14" s="2"/>
      <c r="L14" s="2">
        <f t="shared" si="0"/>
        <v>-16.37</v>
      </c>
      <c r="M14" s="2"/>
      <c r="N14" s="22">
        <f t="shared" si="1"/>
        <v>-1</v>
      </c>
      <c r="O14" s="11"/>
      <c r="P14" s="2">
        <f t="shared" ref="P14:P15" si="5">0</f>
        <v>0</v>
      </c>
      <c r="Q14" s="2"/>
      <c r="R14" s="22"/>
      <c r="S14" s="2"/>
      <c r="T14" s="2">
        <f>--16.37</f>
        <v>16.37</v>
      </c>
      <c r="U14" s="2"/>
      <c r="V14" s="22"/>
      <c r="W14" s="2"/>
      <c r="X14" s="2">
        <f t="shared" si="2"/>
        <v>-16.37</v>
      </c>
      <c r="Y14" s="2"/>
      <c r="Z14" s="22">
        <f t="shared" si="3"/>
        <v>-1</v>
      </c>
    </row>
    <row r="15" spans="1:26" s="24" customFormat="1" hidden="1" outlineLevel="1" x14ac:dyDescent="0.25">
      <c r="A15" s="50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22"/>
      <c r="G15" s="2"/>
      <c r="H15" s="2">
        <f>--10.5</f>
        <v>10.5</v>
      </c>
      <c r="I15" s="2"/>
      <c r="J15" s="22"/>
      <c r="K15" s="2"/>
      <c r="L15" s="2">
        <f t="shared" si="0"/>
        <v>-10.5</v>
      </c>
      <c r="M15" s="2"/>
      <c r="N15" s="22">
        <f t="shared" si="1"/>
        <v>-1</v>
      </c>
      <c r="O15" s="11"/>
      <c r="P15" s="2">
        <f t="shared" si="5"/>
        <v>0</v>
      </c>
      <c r="Q15" s="2"/>
      <c r="R15" s="22"/>
      <c r="S15" s="2"/>
      <c r="T15" s="2">
        <f>--10.5</f>
        <v>10.5</v>
      </c>
      <c r="U15" s="2"/>
      <c r="V15" s="22"/>
      <c r="W15" s="2"/>
      <c r="X15" s="2">
        <f t="shared" si="2"/>
        <v>-10.5</v>
      </c>
      <c r="Y15" s="2"/>
      <c r="Z15" s="22">
        <f t="shared" si="3"/>
        <v>-1</v>
      </c>
    </row>
    <row r="16" spans="1:26" s="24" customFormat="1" hidden="1" outlineLevel="1" x14ac:dyDescent="0.25">
      <c r="A16" s="50"/>
      <c r="B16" s="11" t="str">
        <f>CONCATENATE("          ", "4040", " - ", "TAXABLE SALES-LOGO CLOTHING")</f>
        <v xml:space="preserve">          4040 - TAXABLE SALES-LOGO CLOTHING</v>
      </c>
      <c r="C16" s="11"/>
      <c r="D16" s="2">
        <f>--43752.41</f>
        <v>43752.41</v>
      </c>
      <c r="E16" s="2"/>
      <c r="F16" s="22"/>
      <c r="G16" s="2"/>
      <c r="H16" s="2">
        <f>--42476.2</f>
        <v>42476.2</v>
      </c>
      <c r="I16" s="2"/>
      <c r="J16" s="22"/>
      <c r="K16" s="2"/>
      <c r="L16" s="2">
        <f t="shared" si="0"/>
        <v>1276.2100000000064</v>
      </c>
      <c r="M16" s="2"/>
      <c r="N16" s="22">
        <f t="shared" si="1"/>
        <v>3.004529595396967E-2</v>
      </c>
      <c r="O16" s="11"/>
      <c r="P16" s="2">
        <f>--43752.41</f>
        <v>43752.41</v>
      </c>
      <c r="Q16" s="2"/>
      <c r="R16" s="22"/>
      <c r="S16" s="2"/>
      <c r="T16" s="2">
        <f>--42476.2</f>
        <v>42476.2</v>
      </c>
      <c r="U16" s="2"/>
      <c r="V16" s="22"/>
      <c r="W16" s="2"/>
      <c r="X16" s="2">
        <f t="shared" si="2"/>
        <v>1276.2100000000064</v>
      </c>
      <c r="Y16" s="2"/>
      <c r="Z16" s="22">
        <f t="shared" si="3"/>
        <v>3.004529595396967E-2</v>
      </c>
    </row>
    <row r="17" spans="1:26" s="24" customFormat="1" hidden="1" outlineLevel="1" x14ac:dyDescent="0.25">
      <c r="A17" s="50"/>
      <c r="B17" s="11" t="str">
        <f>CONCATENATE("          ", "4041", " - ", "TAXABLE SALES-LOGO GIFTS")</f>
        <v xml:space="preserve">          4041 - TAXABLE SALES-LOGO GIFTS</v>
      </c>
      <c r="C17" s="11"/>
      <c r="D17" s="2">
        <f>--6225.53</f>
        <v>6225.53</v>
      </c>
      <c r="E17" s="2"/>
      <c r="F17" s="22"/>
      <c r="G17" s="2"/>
      <c r="H17" s="2">
        <f>--6532.73</f>
        <v>6532.73</v>
      </c>
      <c r="I17" s="2"/>
      <c r="J17" s="22"/>
      <c r="K17" s="2"/>
      <c r="L17" s="2">
        <f t="shared" si="0"/>
        <v>-307.19999999999982</v>
      </c>
      <c r="M17" s="2"/>
      <c r="N17" s="22">
        <f t="shared" si="1"/>
        <v>-4.7024750755044191E-2</v>
      </c>
      <c r="O17" s="11"/>
      <c r="P17" s="2">
        <f>--6225.53</f>
        <v>6225.53</v>
      </c>
      <c r="Q17" s="2"/>
      <c r="R17" s="22"/>
      <c r="S17" s="2"/>
      <c r="T17" s="2">
        <f>--6532.73</f>
        <v>6532.73</v>
      </c>
      <c r="U17" s="2"/>
      <c r="V17" s="22"/>
      <c r="W17" s="2"/>
      <c r="X17" s="2">
        <f t="shared" si="2"/>
        <v>-307.19999999999982</v>
      </c>
      <c r="Y17" s="2"/>
      <c r="Z17" s="22">
        <f t="shared" si="3"/>
        <v>-4.7024750755044191E-2</v>
      </c>
    </row>
    <row r="18" spans="1:26" s="24" customFormat="1" hidden="1" outlineLevel="1" x14ac:dyDescent="0.25">
      <c r="A18" s="50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--2433.61</f>
        <v>2433.61</v>
      </c>
      <c r="E18" s="2"/>
      <c r="F18" s="22"/>
      <c r="G18" s="2"/>
      <c r="H18" s="2">
        <f>--2252.92</f>
        <v>2252.92</v>
      </c>
      <c r="I18" s="2"/>
      <c r="J18" s="22"/>
      <c r="K18" s="2"/>
      <c r="L18" s="2">
        <f t="shared" si="0"/>
        <v>180.69000000000005</v>
      </c>
      <c r="M18" s="2"/>
      <c r="N18" s="22">
        <f t="shared" si="1"/>
        <v>8.0202581538625445E-2</v>
      </c>
      <c r="O18" s="11"/>
      <c r="P18" s="2">
        <f>--2433.61</f>
        <v>2433.61</v>
      </c>
      <c r="Q18" s="2"/>
      <c r="R18" s="22"/>
      <c r="S18" s="2"/>
      <c r="T18" s="2">
        <f>--2252.92</f>
        <v>2252.92</v>
      </c>
      <c r="U18" s="2"/>
      <c r="V18" s="22"/>
      <c r="W18" s="2"/>
      <c r="X18" s="2">
        <f t="shared" si="2"/>
        <v>180.69000000000005</v>
      </c>
      <c r="Y18" s="2"/>
      <c r="Z18" s="22">
        <f t="shared" si="3"/>
        <v>8.0202581538625445E-2</v>
      </c>
    </row>
    <row r="19" spans="1:26" s="24" customFormat="1" hidden="1" outlineLevel="1" x14ac:dyDescent="0.25">
      <c r="A19" s="50"/>
      <c r="B19" s="11" t="str">
        <f>CONCATENATE("          ", "4043", " - ", "TAXABLE SALES-CARDS")</f>
        <v xml:space="preserve">          4043 - TAXABLE SALES-CARDS</v>
      </c>
      <c r="C19" s="11"/>
      <c r="D19" s="2">
        <f>0</f>
        <v>0</v>
      </c>
      <c r="E19" s="2"/>
      <c r="F19" s="22"/>
      <c r="G19" s="2"/>
      <c r="H19" s="2">
        <f>--41.98</f>
        <v>41.98</v>
      </c>
      <c r="I19" s="2"/>
      <c r="J19" s="22"/>
      <c r="K19" s="2"/>
      <c r="L19" s="2">
        <f t="shared" si="0"/>
        <v>-41.98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f>--41.98</f>
        <v>41.98</v>
      </c>
      <c r="U19" s="2"/>
      <c r="V19" s="22"/>
      <c r="W19" s="2"/>
      <c r="X19" s="2">
        <f t="shared" si="2"/>
        <v>-41.98</v>
      </c>
      <c r="Y19" s="2"/>
      <c r="Z19" s="22">
        <f t="shared" si="3"/>
        <v>-1</v>
      </c>
    </row>
    <row r="20" spans="1:26" s="24" customFormat="1" hidden="1" outlineLevel="1" x14ac:dyDescent="0.25">
      <c r="A20" s="50"/>
      <c r="B20" s="11" t="str">
        <f>CONCATENATE("          ", "4044", " - ", "TAXABLE SALES-ACCESSORIES")</f>
        <v xml:space="preserve">          4044 - TAXABLE SALES-ACCESSORIES</v>
      </c>
      <c r="C20" s="11"/>
      <c r="D20" s="2">
        <f>--248.2</f>
        <v>248.2</v>
      </c>
      <c r="E20" s="2"/>
      <c r="F20" s="22"/>
      <c r="G20" s="2"/>
      <c r="H20" s="2">
        <f>--659.24</f>
        <v>659.24</v>
      </c>
      <c r="I20" s="2"/>
      <c r="J20" s="22"/>
      <c r="K20" s="2"/>
      <c r="L20" s="2">
        <f t="shared" si="0"/>
        <v>-411.04</v>
      </c>
      <c r="M20" s="2"/>
      <c r="N20" s="22">
        <f t="shared" si="1"/>
        <v>-0.62350585522723134</v>
      </c>
      <c r="O20" s="11"/>
      <c r="P20" s="2">
        <f>--248.2</f>
        <v>248.2</v>
      </c>
      <c r="Q20" s="2"/>
      <c r="R20" s="22"/>
      <c r="S20" s="2"/>
      <c r="T20" s="2">
        <f>--659.24</f>
        <v>659.24</v>
      </c>
      <c r="U20" s="2"/>
      <c r="V20" s="22"/>
      <c r="W20" s="2"/>
      <c r="X20" s="2">
        <f t="shared" si="2"/>
        <v>-411.04</v>
      </c>
      <c r="Y20" s="2"/>
      <c r="Z20" s="22">
        <f t="shared" si="3"/>
        <v>-0.62350585522723134</v>
      </c>
    </row>
    <row r="21" spans="1:26" s="24" customFormat="1" hidden="1" outlineLevel="1" x14ac:dyDescent="0.25">
      <c r="A21" s="50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--237.89</f>
        <v>237.89</v>
      </c>
      <c r="E21" s="2"/>
      <c r="F21" s="22"/>
      <c r="G21" s="2"/>
      <c r="H21" s="2">
        <f>--285.25</f>
        <v>285.25</v>
      </c>
      <c r="I21" s="2"/>
      <c r="J21" s="22"/>
      <c r="K21" s="2"/>
      <c r="L21" s="2">
        <f t="shared" si="0"/>
        <v>-47.360000000000014</v>
      </c>
      <c r="M21" s="2"/>
      <c r="N21" s="22">
        <f t="shared" si="1"/>
        <v>-0.16602979842243651</v>
      </c>
      <c r="O21" s="11"/>
      <c r="P21" s="2">
        <f>--237.89</f>
        <v>237.89</v>
      </c>
      <c r="Q21" s="2"/>
      <c r="R21" s="22"/>
      <c r="S21" s="2"/>
      <c r="T21" s="2">
        <f>--285.25</f>
        <v>285.25</v>
      </c>
      <c r="U21" s="2"/>
      <c r="V21" s="22"/>
      <c r="W21" s="2"/>
      <c r="X21" s="2">
        <f t="shared" si="2"/>
        <v>-47.360000000000014</v>
      </c>
      <c r="Y21" s="2"/>
      <c r="Z21" s="22">
        <f t="shared" si="3"/>
        <v>-0.16602979842243651</v>
      </c>
    </row>
    <row r="22" spans="1:26" s="24" customFormat="1" hidden="1" outlineLevel="1" x14ac:dyDescent="0.25">
      <c r="A22" s="50"/>
      <c r="B22" s="11" t="str">
        <f>CONCATENATE("          ", "4095", " - ", "TAXABLE SALES-CUSTOMER SERVICE")</f>
        <v xml:space="preserve">          4095 - TAXABLE SALES-CUSTOMER SERVICE</v>
      </c>
      <c r="C22" s="11"/>
      <c r="D22" s="2">
        <f>--10.89</f>
        <v>10.89</v>
      </c>
      <c r="E22" s="2"/>
      <c r="F22" s="22"/>
      <c r="G22" s="2"/>
      <c r="H22" s="2">
        <f>--5.94</f>
        <v>5.94</v>
      </c>
      <c r="I22" s="2"/>
      <c r="J22" s="22"/>
      <c r="K22" s="2"/>
      <c r="L22" s="2">
        <f t="shared" si="0"/>
        <v>4.95</v>
      </c>
      <c r="M22" s="2"/>
      <c r="N22" s="22">
        <f t="shared" si="1"/>
        <v>0.83333333333333326</v>
      </c>
      <c r="O22" s="11"/>
      <c r="P22" s="2">
        <f>--10.89</f>
        <v>10.89</v>
      </c>
      <c r="Q22" s="2"/>
      <c r="R22" s="22"/>
      <c r="S22" s="2"/>
      <c r="T22" s="2">
        <f>--5.94</f>
        <v>5.94</v>
      </c>
      <c r="U22" s="2"/>
      <c r="V22" s="22"/>
      <c r="W22" s="2"/>
      <c r="X22" s="2">
        <f t="shared" si="2"/>
        <v>4.95</v>
      </c>
      <c r="Y22" s="2"/>
      <c r="Z22" s="22">
        <f t="shared" si="3"/>
        <v>0.83333333333333326</v>
      </c>
    </row>
    <row r="23" spans="1:26" s="24" customFormat="1" hidden="1" outlineLevel="1" x14ac:dyDescent="0.25">
      <c r="A23" s="50"/>
      <c r="B23" s="11" t="str">
        <f>CONCATENATE("          ", "4137", " - ", "NON-TAXABLE SALES-WATER")</f>
        <v xml:space="preserve">          4137 - NON-TAXABLE SALES-WATER</v>
      </c>
      <c r="C23" s="11"/>
      <c r="D23" s="2">
        <f>--22.5</f>
        <v>22.5</v>
      </c>
      <c r="E23" s="2"/>
      <c r="F23" s="22"/>
      <c r="G23" s="2"/>
      <c r="H23" s="2">
        <f>--22.5</f>
        <v>22.5</v>
      </c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--22.5</f>
        <v>22.5</v>
      </c>
      <c r="Q23" s="2"/>
      <c r="R23" s="22"/>
      <c r="S23" s="2"/>
      <c r="T23" s="2">
        <f>--22.5</f>
        <v>22.5</v>
      </c>
      <c r="U23" s="2"/>
      <c r="V23" s="22"/>
      <c r="W23" s="2"/>
      <c r="X23" s="2">
        <f t="shared" si="2"/>
        <v>0</v>
      </c>
      <c r="Y23" s="2"/>
      <c r="Z23" s="22">
        <f t="shared" si="3"/>
        <v>0</v>
      </c>
    </row>
    <row r="24" spans="1:26" s="24" customFormat="1" hidden="1" outlineLevel="1" x14ac:dyDescent="0.25">
      <c r="A24" s="50"/>
      <c r="B24" s="11" t="str">
        <f>CONCATENATE("          ", "4142", " - ", "NON-TAXABLE SALES-EVERYDAY GIF")</f>
        <v xml:space="preserve">          4142 - NON-TAXABLE SALES-EVERYDAY GIF</v>
      </c>
      <c r="C24" s="11"/>
      <c r="D24" s="2">
        <f>--79.92</f>
        <v>79.92</v>
      </c>
      <c r="E24" s="2"/>
      <c r="F24" s="22"/>
      <c r="G24" s="2"/>
      <c r="H24" s="2">
        <f>0</f>
        <v>0</v>
      </c>
      <c r="I24" s="2"/>
      <c r="J24" s="22"/>
      <c r="K24" s="2"/>
      <c r="L24" s="2">
        <f t="shared" si="0"/>
        <v>79.92</v>
      </c>
      <c r="M24" s="2"/>
      <c r="N24" s="22">
        <f t="shared" si="1"/>
        <v>0</v>
      </c>
      <c r="O24" s="11"/>
      <c r="P24" s="2">
        <f>--79.92</f>
        <v>79.92</v>
      </c>
      <c r="Q24" s="2"/>
      <c r="R24" s="22"/>
      <c r="S24" s="2"/>
      <c r="T24" s="2">
        <f>0</f>
        <v>0</v>
      </c>
      <c r="U24" s="2"/>
      <c r="V24" s="22"/>
      <c r="W24" s="2"/>
      <c r="X24" s="2">
        <f t="shared" si="2"/>
        <v>79.92</v>
      </c>
      <c r="Y24" s="2"/>
      <c r="Z24" s="22">
        <f t="shared" si="3"/>
        <v>0</v>
      </c>
    </row>
    <row r="25" spans="1:26" s="24" customFormat="1" hidden="1" outlineLevel="1" x14ac:dyDescent="0.25">
      <c r="A25" s="50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-1357.95</f>
        <v>-1357.95</v>
      </c>
      <c r="E25" s="2"/>
      <c r="F25" s="22"/>
      <c r="G25" s="2"/>
      <c r="H25" s="2">
        <f>-2044.53</f>
        <v>-2044.53</v>
      </c>
      <c r="I25" s="2"/>
      <c r="J25" s="22"/>
      <c r="K25" s="2"/>
      <c r="L25" s="2">
        <f t="shared" si="0"/>
        <v>686.57999999999993</v>
      </c>
      <c r="M25" s="2"/>
      <c r="N25" s="22">
        <f t="shared" si="1"/>
        <v>-0.33581312086396381</v>
      </c>
      <c r="O25" s="11"/>
      <c r="P25" s="2">
        <f>-1357.95</f>
        <v>-1357.95</v>
      </c>
      <c r="Q25" s="2"/>
      <c r="R25" s="22"/>
      <c r="S25" s="2"/>
      <c r="T25" s="2">
        <f>-2044.53</f>
        <v>-2044.53</v>
      </c>
      <c r="U25" s="2"/>
      <c r="V25" s="22"/>
      <c r="W25" s="2"/>
      <c r="X25" s="2">
        <f t="shared" si="2"/>
        <v>686.57999999999993</v>
      </c>
      <c r="Y25" s="2"/>
      <c r="Z25" s="22">
        <f t="shared" si="3"/>
        <v>-0.33581312086396381</v>
      </c>
    </row>
    <row r="26" spans="1:26" s="24" customFormat="1" hidden="1" outlineLevel="1" x14ac:dyDescent="0.25">
      <c r="A26" s="50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-166.46</f>
        <v>-166.46</v>
      </c>
      <c r="E26" s="2"/>
      <c r="F26" s="22"/>
      <c r="G26" s="2"/>
      <c r="H26" s="2">
        <f>-106.55</f>
        <v>-106.55</v>
      </c>
      <c r="I26" s="2"/>
      <c r="J26" s="22"/>
      <c r="K26" s="2"/>
      <c r="L26" s="2">
        <f t="shared" si="0"/>
        <v>-59.910000000000011</v>
      </c>
      <c r="M26" s="2"/>
      <c r="N26" s="22">
        <f t="shared" si="1"/>
        <v>0.56227123416236524</v>
      </c>
      <c r="O26" s="11"/>
      <c r="P26" s="2">
        <f>-166.46</f>
        <v>-166.46</v>
      </c>
      <c r="Q26" s="2"/>
      <c r="R26" s="22"/>
      <c r="S26" s="2"/>
      <c r="T26" s="2">
        <f>-106.55</f>
        <v>-106.55</v>
      </c>
      <c r="U26" s="2"/>
      <c r="V26" s="22"/>
      <c r="W26" s="2"/>
      <c r="X26" s="2">
        <f t="shared" si="2"/>
        <v>-59.910000000000011</v>
      </c>
      <c r="Y26" s="2"/>
      <c r="Z26" s="22">
        <f t="shared" si="3"/>
        <v>0.56227123416236524</v>
      </c>
    </row>
    <row r="27" spans="1:26" s="24" customFormat="1" hidden="1" outlineLevel="1" x14ac:dyDescent="0.25">
      <c r="A27" s="50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-42.95</f>
        <v>-42.95</v>
      </c>
      <c r="E27" s="2"/>
      <c r="F27" s="22"/>
      <c r="G27" s="2"/>
      <c r="H27" s="2">
        <f>-30.94</f>
        <v>-30.94</v>
      </c>
      <c r="I27" s="2"/>
      <c r="J27" s="22"/>
      <c r="K27" s="2"/>
      <c r="L27" s="2">
        <f t="shared" si="0"/>
        <v>-12.010000000000002</v>
      </c>
      <c r="M27" s="2"/>
      <c r="N27" s="22">
        <f t="shared" si="1"/>
        <v>0.38817065287653524</v>
      </c>
      <c r="O27" s="11"/>
      <c r="P27" s="2">
        <f>-42.95</f>
        <v>-42.95</v>
      </c>
      <c r="Q27" s="2"/>
      <c r="R27" s="22"/>
      <c r="S27" s="2"/>
      <c r="T27" s="2">
        <f>-30.94</f>
        <v>-30.94</v>
      </c>
      <c r="U27" s="2"/>
      <c r="V27" s="22"/>
      <c r="W27" s="2"/>
      <c r="X27" s="2">
        <f t="shared" si="2"/>
        <v>-12.010000000000002</v>
      </c>
      <c r="Y27" s="2"/>
      <c r="Z27" s="22">
        <f t="shared" si="3"/>
        <v>0.38817065287653524</v>
      </c>
    </row>
    <row r="28" spans="1:26" s="24" customFormat="1" hidden="1" outlineLevel="1" x14ac:dyDescent="0.25">
      <c r="A28" s="50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0</f>
        <v>0</v>
      </c>
      <c r="E28" s="2"/>
      <c r="F28" s="22"/>
      <c r="G28" s="2"/>
      <c r="H28" s="2">
        <f>-99.95</f>
        <v>-99.95</v>
      </c>
      <c r="I28" s="2"/>
      <c r="J28" s="22"/>
      <c r="K28" s="2"/>
      <c r="L28" s="2">
        <f t="shared" si="0"/>
        <v>99.95</v>
      </c>
      <c r="M28" s="2"/>
      <c r="N28" s="22">
        <f t="shared" si="1"/>
        <v>-1</v>
      </c>
      <c r="O28" s="11"/>
      <c r="P28" s="2">
        <f>0</f>
        <v>0</v>
      </c>
      <c r="Q28" s="2"/>
      <c r="R28" s="22"/>
      <c r="S28" s="2"/>
      <c r="T28" s="2">
        <f>-99.95</f>
        <v>-99.95</v>
      </c>
      <c r="U28" s="2"/>
      <c r="V28" s="22"/>
      <c r="W28" s="2"/>
      <c r="X28" s="2">
        <f t="shared" si="2"/>
        <v>99.95</v>
      </c>
      <c r="Y28" s="2"/>
      <c r="Z28" s="22">
        <f t="shared" si="3"/>
        <v>-1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6" t="s">
        <v>8</v>
      </c>
      <c r="C30" s="10"/>
      <c r="D30" s="4">
        <f>SUM(OSRRefD16x_0)</f>
        <v>21526.560000000005</v>
      </c>
      <c r="E30" s="4"/>
      <c r="F30" s="12">
        <f t="shared" ref="F30:F43" si="6">IF(D$12=0,0,D30/D$12)</f>
        <v>0.41813638319300972</v>
      </c>
      <c r="G30" s="4"/>
      <c r="H30" s="4">
        <f>SUM(OSRRefH16x_0)</f>
        <v>21320.49</v>
      </c>
      <c r="I30" s="4"/>
      <c r="J30" s="12">
        <f t="shared" ref="J30:J43" si="7">IF(H$12=0,0,H30/H$12)</f>
        <v>0.42595411428853425</v>
      </c>
      <c r="K30" s="4"/>
      <c r="L30" s="4">
        <f t="shared" ref="L30:L43" si="8">+D30-H30</f>
        <v>206.07000000000335</v>
      </c>
      <c r="M30" s="4"/>
      <c r="N30" s="12">
        <f t="shared" ref="N30:N43" si="9">IF(H30=0,0,L30/H30)</f>
        <v>9.6653500927982115E-3</v>
      </c>
      <c r="O30" s="10"/>
      <c r="P30" s="4">
        <f>SUM(OSRRefP16x_0)</f>
        <v>21526.560000000005</v>
      </c>
      <c r="Q30" s="4"/>
      <c r="R30" s="12">
        <f t="shared" ref="R30:R43" si="10">IF(P$12=0,0,P30/P$12)</f>
        <v>0.41813638319300972</v>
      </c>
      <c r="S30" s="4"/>
      <c r="T30" s="4">
        <f>SUM(OSRRefT16x_0)</f>
        <v>21320.49</v>
      </c>
      <c r="U30" s="4"/>
      <c r="V30" s="12">
        <f t="shared" ref="V30:V43" si="11">IF(T$12=0,0,T30/T$12)</f>
        <v>0.42595411428853425</v>
      </c>
      <c r="W30" s="4"/>
      <c r="X30" s="4">
        <f t="shared" ref="X30:X43" si="12">+P30-T30</f>
        <v>206.07000000000335</v>
      </c>
      <c r="Y30" s="4"/>
      <c r="Z30" s="12">
        <f t="shared" ref="Z30:Z43" si="13">IF(T30=0,0,X30/T30)</f>
        <v>9.6653500927982115E-3</v>
      </c>
    </row>
    <row r="31" spans="1:26" s="24" customFormat="1" hidden="1" outlineLevel="1" x14ac:dyDescent="0.25">
      <c r="A31" s="50"/>
      <c r="B31" s="11" t="str">
        <f>CONCATENATE("          ", "5025", " - ", "PURCHASES @ COST-TEST FORMS")</f>
        <v xml:space="preserve">          5025 - PURCHASES @ COST-TEST FORMS</v>
      </c>
      <c r="C31" s="11"/>
      <c r="D31" s="2"/>
      <c r="E31" s="2"/>
      <c r="F31" s="22">
        <f t="shared" si="6"/>
        <v>0</v>
      </c>
      <c r="G31" s="2"/>
      <c r="H31" s="2">
        <v>15</v>
      </c>
      <c r="I31" s="2"/>
      <c r="J31" s="22">
        <f t="shared" si="7"/>
        <v>2.9967940297469773E-4</v>
      </c>
      <c r="K31" s="2"/>
      <c r="L31" s="2">
        <f t="shared" si="8"/>
        <v>-15</v>
      </c>
      <c r="M31" s="2"/>
      <c r="N31" s="22">
        <f t="shared" si="9"/>
        <v>-1</v>
      </c>
      <c r="O31" s="11"/>
      <c r="P31" s="2"/>
      <c r="Q31" s="2"/>
      <c r="R31" s="22">
        <f t="shared" si="10"/>
        <v>0</v>
      </c>
      <c r="S31" s="2"/>
      <c r="T31" s="2">
        <v>15</v>
      </c>
      <c r="U31" s="2"/>
      <c r="V31" s="22">
        <f t="shared" si="11"/>
        <v>2.9967940297469773E-4</v>
      </c>
      <c r="W31" s="2"/>
      <c r="X31" s="2">
        <f t="shared" si="12"/>
        <v>-15</v>
      </c>
      <c r="Y31" s="2"/>
      <c r="Z31" s="22">
        <f t="shared" si="13"/>
        <v>-1</v>
      </c>
    </row>
    <row r="32" spans="1:26" s="24" customFormat="1" hidden="1" outlineLevel="1" x14ac:dyDescent="0.25">
      <c r="A32" s="50"/>
      <c r="B32" s="11" t="str">
        <f>CONCATENATE("          ", "5026", " - ", "PURCHASES @ COST-WRITING INSTR")</f>
        <v xml:space="preserve">          5026 - PURCHASES @ COST-WRITING INSTR</v>
      </c>
      <c r="C32" s="11"/>
      <c r="D32" s="2">
        <v>-74.72</v>
      </c>
      <c r="E32" s="2"/>
      <c r="F32" s="22">
        <f t="shared" si="6"/>
        <v>-1.4513768364374836E-3</v>
      </c>
      <c r="G32" s="2"/>
      <c r="H32" s="2">
        <v>170.46</v>
      </c>
      <c r="I32" s="2"/>
      <c r="J32" s="22">
        <f t="shared" si="7"/>
        <v>3.4055567354044653E-3</v>
      </c>
      <c r="K32" s="2"/>
      <c r="L32" s="2">
        <f t="shared" si="8"/>
        <v>-245.18</v>
      </c>
      <c r="M32" s="2"/>
      <c r="N32" s="22">
        <f t="shared" si="9"/>
        <v>-1.4383433063475302</v>
      </c>
      <c r="O32" s="11"/>
      <c r="P32" s="2">
        <v>-74.72</v>
      </c>
      <c r="Q32" s="2"/>
      <c r="R32" s="22">
        <f t="shared" si="10"/>
        <v>-1.4513768364374836E-3</v>
      </c>
      <c r="S32" s="2"/>
      <c r="T32" s="2">
        <v>170.46</v>
      </c>
      <c r="U32" s="2"/>
      <c r="V32" s="22">
        <f t="shared" si="11"/>
        <v>3.4055567354044653E-3</v>
      </c>
      <c r="W32" s="2"/>
      <c r="X32" s="2">
        <f t="shared" si="12"/>
        <v>-245.18</v>
      </c>
      <c r="Y32" s="2"/>
      <c r="Z32" s="22">
        <f t="shared" si="13"/>
        <v>-1.4383433063475302</v>
      </c>
    </row>
    <row r="33" spans="1:26" s="24" customFormat="1" hidden="1" outlineLevel="1" x14ac:dyDescent="0.25">
      <c r="A33" s="50"/>
      <c r="B33" s="11" t="str">
        <f>CONCATENATE("          ", "5027", " - ", "PURCHASES @ COST-SCHOOL SUPPLI")</f>
        <v xml:space="preserve">          5027 - PURCHASES @ COST-SCHOOL SUPPLI</v>
      </c>
      <c r="C33" s="11"/>
      <c r="D33" s="2">
        <v>1.32</v>
      </c>
      <c r="E33" s="2"/>
      <c r="F33" s="22">
        <f t="shared" si="6"/>
        <v>2.5639954819291737E-5</v>
      </c>
      <c r="G33" s="2"/>
      <c r="H33" s="2">
        <v>349.54</v>
      </c>
      <c r="I33" s="2"/>
      <c r="J33" s="22">
        <f t="shared" si="7"/>
        <v>6.9833292343850564E-3</v>
      </c>
      <c r="K33" s="2"/>
      <c r="L33" s="2">
        <f t="shared" si="8"/>
        <v>-348.22</v>
      </c>
      <c r="M33" s="2"/>
      <c r="N33" s="22">
        <f t="shared" si="9"/>
        <v>-0.99622360817073874</v>
      </c>
      <c r="O33" s="11"/>
      <c r="P33" s="2">
        <v>1.32</v>
      </c>
      <c r="Q33" s="2"/>
      <c r="R33" s="22">
        <f t="shared" si="10"/>
        <v>2.5639954819291737E-5</v>
      </c>
      <c r="S33" s="2"/>
      <c r="T33" s="2">
        <v>349.54</v>
      </c>
      <c r="U33" s="2"/>
      <c r="V33" s="22">
        <f t="shared" si="11"/>
        <v>6.9833292343850564E-3</v>
      </c>
      <c r="W33" s="2"/>
      <c r="X33" s="2">
        <f t="shared" si="12"/>
        <v>-348.22</v>
      </c>
      <c r="Y33" s="2"/>
      <c r="Z33" s="22">
        <f t="shared" si="13"/>
        <v>-0.99622360817073874</v>
      </c>
    </row>
    <row r="34" spans="1:26" s="24" customFormat="1" hidden="1" outlineLevel="1" x14ac:dyDescent="0.25">
      <c r="A34" s="50"/>
      <c r="B34" s="11" t="str">
        <f>CONCATENATE("          ", "5034", " - ", "PURCHASES @ COST-SODA")</f>
        <v xml:space="preserve">          5034 - PURCHASES @ COST-SODA</v>
      </c>
      <c r="C34" s="11"/>
      <c r="D34" s="2"/>
      <c r="E34" s="2"/>
      <c r="F34" s="22">
        <f t="shared" si="6"/>
        <v>0</v>
      </c>
      <c r="G34" s="2"/>
      <c r="H34" s="2">
        <v>-9.24</v>
      </c>
      <c r="I34" s="2"/>
      <c r="J34" s="22">
        <f t="shared" si="7"/>
        <v>-1.8460251223241381E-4</v>
      </c>
      <c r="K34" s="2"/>
      <c r="L34" s="2">
        <f t="shared" si="8"/>
        <v>9.24</v>
      </c>
      <c r="M34" s="2"/>
      <c r="N34" s="22">
        <f t="shared" si="9"/>
        <v>-1</v>
      </c>
      <c r="O34" s="11"/>
      <c r="P34" s="2"/>
      <c r="Q34" s="2"/>
      <c r="R34" s="22">
        <f t="shared" si="10"/>
        <v>0</v>
      </c>
      <c r="S34" s="2"/>
      <c r="T34" s="2">
        <v>-9.24</v>
      </c>
      <c r="U34" s="2"/>
      <c r="V34" s="22">
        <f t="shared" si="11"/>
        <v>-1.8460251223241381E-4</v>
      </c>
      <c r="W34" s="2"/>
      <c r="X34" s="2">
        <f t="shared" si="12"/>
        <v>9.24</v>
      </c>
      <c r="Y34" s="2"/>
      <c r="Z34" s="22">
        <f t="shared" si="13"/>
        <v>-1</v>
      </c>
    </row>
    <row r="35" spans="1:26" s="24" customFormat="1" hidden="1" outlineLevel="1" x14ac:dyDescent="0.25">
      <c r="A35" s="50"/>
      <c r="B35" s="11" t="str">
        <f>CONCATENATE("          ", "5037", " - ", "PURCHASES @ COST-WATER")</f>
        <v xml:space="preserve">          5037 - PURCHASES @ COST-WATER</v>
      </c>
      <c r="C35" s="11"/>
      <c r="D35" s="2">
        <v>17.04</v>
      </c>
      <c r="E35" s="2"/>
      <c r="F35" s="22">
        <f t="shared" si="6"/>
        <v>3.3098850766722054E-4</v>
      </c>
      <c r="G35" s="2"/>
      <c r="H35" s="2"/>
      <c r="I35" s="2"/>
      <c r="J35" s="22">
        <f t="shared" si="7"/>
        <v>0</v>
      </c>
      <c r="K35" s="2"/>
      <c r="L35" s="2">
        <f t="shared" si="8"/>
        <v>17.04</v>
      </c>
      <c r="M35" s="2"/>
      <c r="N35" s="22">
        <f t="shared" si="9"/>
        <v>0</v>
      </c>
      <c r="O35" s="11"/>
      <c r="P35" s="2">
        <v>17.04</v>
      </c>
      <c r="Q35" s="2"/>
      <c r="R35" s="22">
        <f t="shared" si="10"/>
        <v>3.3098850766722054E-4</v>
      </c>
      <c r="S35" s="2"/>
      <c r="T35" s="2"/>
      <c r="U35" s="2"/>
      <c r="V35" s="22">
        <f t="shared" si="11"/>
        <v>0</v>
      </c>
      <c r="W35" s="2"/>
      <c r="X35" s="2">
        <f t="shared" si="12"/>
        <v>17.04</v>
      </c>
      <c r="Y35" s="2"/>
      <c r="Z35" s="22">
        <f t="shared" si="13"/>
        <v>0</v>
      </c>
    </row>
    <row r="36" spans="1:26" s="24" customFormat="1" hidden="1" outlineLevel="1" x14ac:dyDescent="0.25">
      <c r="A36" s="50"/>
      <c r="B36" s="11" t="str">
        <f>CONCATENATE("          ", "5040", " - ", "PURCHASES @ COST-LOGO CLOTHING")</f>
        <v xml:space="preserve">          5040 - PURCHASES @ COST-LOGO CLOTHING</v>
      </c>
      <c r="C36" s="11"/>
      <c r="D36" s="2">
        <v>24784.58</v>
      </c>
      <c r="E36" s="2"/>
      <c r="F36" s="22">
        <f t="shared" si="6"/>
        <v>0.4814208419811527</v>
      </c>
      <c r="G36" s="2"/>
      <c r="H36" s="2">
        <v>19651.310000000001</v>
      </c>
      <c r="I36" s="2"/>
      <c r="J36" s="22">
        <f t="shared" si="7"/>
        <v>0.39260618989804719</v>
      </c>
      <c r="K36" s="2"/>
      <c r="L36" s="2">
        <f t="shared" si="8"/>
        <v>5133.2700000000004</v>
      </c>
      <c r="M36" s="2"/>
      <c r="N36" s="22">
        <f t="shared" si="9"/>
        <v>0.26121769999048411</v>
      </c>
      <c r="O36" s="11"/>
      <c r="P36" s="2">
        <v>24784.58</v>
      </c>
      <c r="Q36" s="2"/>
      <c r="R36" s="22">
        <f t="shared" si="10"/>
        <v>0.4814208419811527</v>
      </c>
      <c r="S36" s="2"/>
      <c r="T36" s="2">
        <v>19651.310000000001</v>
      </c>
      <c r="U36" s="2"/>
      <c r="V36" s="22">
        <f t="shared" si="11"/>
        <v>0.39260618989804719</v>
      </c>
      <c r="W36" s="2"/>
      <c r="X36" s="2">
        <f t="shared" si="12"/>
        <v>5133.2700000000004</v>
      </c>
      <c r="Y36" s="2"/>
      <c r="Z36" s="22">
        <f t="shared" si="13"/>
        <v>0.26121769999048411</v>
      </c>
    </row>
    <row r="37" spans="1:26" s="24" customFormat="1" hidden="1" outlineLevel="1" x14ac:dyDescent="0.25">
      <c r="A37" s="50"/>
      <c r="B37" s="11" t="str">
        <f>CONCATENATE("          ", "5041", " - ", "PURCHASES @ COST-LOGO GIFTS")</f>
        <v xml:space="preserve">          5041 - PURCHASES @ COST-LOGO GIFTS</v>
      </c>
      <c r="C37" s="11"/>
      <c r="D37" s="2">
        <v>5182.76</v>
      </c>
      <c r="E37" s="2"/>
      <c r="F37" s="22">
        <f t="shared" si="6"/>
        <v>0.10067100927214578</v>
      </c>
      <c r="G37" s="2"/>
      <c r="H37" s="2">
        <v>2035.54</v>
      </c>
      <c r="I37" s="2"/>
      <c r="J37" s="22">
        <f t="shared" si="7"/>
        <v>4.066729412874108E-2</v>
      </c>
      <c r="K37" s="2"/>
      <c r="L37" s="2">
        <f t="shared" si="8"/>
        <v>3147.2200000000003</v>
      </c>
      <c r="M37" s="2"/>
      <c r="N37" s="22">
        <f t="shared" si="9"/>
        <v>1.5461351778889141</v>
      </c>
      <c r="O37" s="11"/>
      <c r="P37" s="2">
        <v>5182.76</v>
      </c>
      <c r="Q37" s="2"/>
      <c r="R37" s="22">
        <f t="shared" si="10"/>
        <v>0.10067100927214578</v>
      </c>
      <c r="S37" s="2"/>
      <c r="T37" s="2">
        <v>2035.54</v>
      </c>
      <c r="U37" s="2"/>
      <c r="V37" s="22">
        <f t="shared" si="11"/>
        <v>4.066729412874108E-2</v>
      </c>
      <c r="W37" s="2"/>
      <c r="X37" s="2">
        <f t="shared" si="12"/>
        <v>3147.2200000000003</v>
      </c>
      <c r="Y37" s="2"/>
      <c r="Z37" s="22">
        <f t="shared" si="13"/>
        <v>1.5461351778889141</v>
      </c>
    </row>
    <row r="38" spans="1:26" s="24" customFormat="1" hidden="1" outlineLevel="1" x14ac:dyDescent="0.25">
      <c r="A38" s="50"/>
      <c r="B38" s="11" t="str">
        <f>CONCATENATE("          ", "5042", " - ", "PURCHASES @ COST-EVERYDAY GIFT")</f>
        <v xml:space="preserve">          5042 - PURCHASES @ COST-EVERYDAY GIFT</v>
      </c>
      <c r="C38" s="11"/>
      <c r="D38" s="2">
        <v>2619.3200000000002</v>
      </c>
      <c r="E38" s="2"/>
      <c r="F38" s="22">
        <f t="shared" si="6"/>
        <v>5.0878217013081234E-2</v>
      </c>
      <c r="G38" s="2"/>
      <c r="H38" s="2">
        <v>1367.18</v>
      </c>
      <c r="I38" s="2"/>
      <c r="J38" s="22">
        <f t="shared" si="7"/>
        <v>2.731437907726315E-2</v>
      </c>
      <c r="K38" s="2"/>
      <c r="L38" s="2">
        <f t="shared" si="8"/>
        <v>1252.1400000000001</v>
      </c>
      <c r="M38" s="2"/>
      <c r="N38" s="22">
        <f t="shared" si="9"/>
        <v>0.91585599555288988</v>
      </c>
      <c r="O38" s="11"/>
      <c r="P38" s="2">
        <v>2619.3200000000002</v>
      </c>
      <c r="Q38" s="2"/>
      <c r="R38" s="22">
        <f t="shared" si="10"/>
        <v>5.0878217013081234E-2</v>
      </c>
      <c r="S38" s="2"/>
      <c r="T38" s="2">
        <v>1367.18</v>
      </c>
      <c r="U38" s="2"/>
      <c r="V38" s="22">
        <f t="shared" si="11"/>
        <v>2.731437907726315E-2</v>
      </c>
      <c r="W38" s="2"/>
      <c r="X38" s="2">
        <f t="shared" si="12"/>
        <v>1252.1400000000001</v>
      </c>
      <c r="Y38" s="2"/>
      <c r="Z38" s="22">
        <f t="shared" si="13"/>
        <v>0.91585599555288988</v>
      </c>
    </row>
    <row r="39" spans="1:26" s="24" customFormat="1" hidden="1" outlineLevel="1" x14ac:dyDescent="0.25">
      <c r="A39" s="50"/>
      <c r="B39" s="11" t="str">
        <f>CONCATENATE("          ", "5044", " - ", "PURCHASES @ COST-ACCESSORIES")</f>
        <v xml:space="preserve">          5044 - PURCHASES @ COST-ACCESSORIES</v>
      </c>
      <c r="C39" s="11"/>
      <c r="D39" s="2">
        <v>334.11</v>
      </c>
      <c r="E39" s="2"/>
      <c r="F39" s="22">
        <f t="shared" si="6"/>
        <v>6.4898222005102743E-3</v>
      </c>
      <c r="G39" s="2"/>
      <c r="H39" s="2">
        <v>1000.95</v>
      </c>
      <c r="I39" s="2"/>
      <c r="J39" s="22">
        <f t="shared" si="7"/>
        <v>1.999760656050158E-2</v>
      </c>
      <c r="K39" s="2"/>
      <c r="L39" s="2">
        <f t="shared" si="8"/>
        <v>-666.84</v>
      </c>
      <c r="M39" s="2"/>
      <c r="N39" s="22">
        <f t="shared" si="9"/>
        <v>-0.66620710325191068</v>
      </c>
      <c r="O39" s="11"/>
      <c r="P39" s="2">
        <v>334.11</v>
      </c>
      <c r="Q39" s="2"/>
      <c r="R39" s="22">
        <f t="shared" si="10"/>
        <v>6.4898222005102743E-3</v>
      </c>
      <c r="S39" s="2"/>
      <c r="T39" s="2">
        <v>1000.95</v>
      </c>
      <c r="U39" s="2"/>
      <c r="V39" s="22">
        <f t="shared" si="11"/>
        <v>1.999760656050158E-2</v>
      </c>
      <c r="W39" s="2"/>
      <c r="X39" s="2">
        <f t="shared" si="12"/>
        <v>-666.84</v>
      </c>
      <c r="Y39" s="2"/>
      <c r="Z39" s="22">
        <f t="shared" si="13"/>
        <v>-0.66620710325191068</v>
      </c>
    </row>
    <row r="40" spans="1:26" s="24" customFormat="1" hidden="1" outlineLevel="1" x14ac:dyDescent="0.25">
      <c r="A40" s="50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45</v>
      </c>
      <c r="E40" s="2"/>
      <c r="F40" s="22">
        <f t="shared" si="6"/>
        <v>8.7408936883949094E-4</v>
      </c>
      <c r="G40" s="2"/>
      <c r="H40" s="2">
        <v>-40.25</v>
      </c>
      <c r="I40" s="2"/>
      <c r="J40" s="22">
        <f t="shared" si="7"/>
        <v>-8.0413973131543892E-4</v>
      </c>
      <c r="K40" s="2"/>
      <c r="L40" s="2">
        <f t="shared" si="8"/>
        <v>85.25</v>
      </c>
      <c r="M40" s="2"/>
      <c r="N40" s="22">
        <f t="shared" si="9"/>
        <v>-2.1180124223602483</v>
      </c>
      <c r="O40" s="11"/>
      <c r="P40" s="2">
        <v>45</v>
      </c>
      <c r="Q40" s="2"/>
      <c r="R40" s="22">
        <f t="shared" si="10"/>
        <v>8.7408936883949094E-4</v>
      </c>
      <c r="S40" s="2"/>
      <c r="T40" s="2">
        <v>-40.25</v>
      </c>
      <c r="U40" s="2"/>
      <c r="V40" s="22">
        <f t="shared" si="11"/>
        <v>-8.0413973131543892E-4</v>
      </c>
      <c r="W40" s="2"/>
      <c r="X40" s="2">
        <f t="shared" si="12"/>
        <v>85.25</v>
      </c>
      <c r="Y40" s="2"/>
      <c r="Z40" s="22">
        <f t="shared" si="13"/>
        <v>-2.1180124223602483</v>
      </c>
    </row>
    <row r="41" spans="1:26" s="24" customFormat="1" hidden="1" outlineLevel="1" x14ac:dyDescent="0.25">
      <c r="A41" s="50"/>
      <c r="B41" s="11" t="str">
        <f>CONCATENATE("          ", "5095", " - ", "PURCHASES @ COST-CUSTOMER SERV")</f>
        <v xml:space="preserve">          5095 - PURCHASES @ COST-CUSTOMER SERV</v>
      </c>
      <c r="C41" s="11"/>
      <c r="D41" s="2">
        <v>-11.85</v>
      </c>
      <c r="E41" s="2"/>
      <c r="F41" s="22">
        <f t="shared" si="6"/>
        <v>-2.3017686712773261E-4</v>
      </c>
      <c r="G41" s="2"/>
      <c r="H41" s="2"/>
      <c r="I41" s="2"/>
      <c r="J41" s="22">
        <f t="shared" si="7"/>
        <v>0</v>
      </c>
      <c r="K41" s="2"/>
      <c r="L41" s="2">
        <f t="shared" si="8"/>
        <v>-11.85</v>
      </c>
      <c r="M41" s="2"/>
      <c r="N41" s="22">
        <f t="shared" si="9"/>
        <v>0</v>
      </c>
      <c r="O41" s="11"/>
      <c r="P41" s="2">
        <v>-11.85</v>
      </c>
      <c r="Q41" s="2"/>
      <c r="R41" s="22">
        <f t="shared" si="10"/>
        <v>-2.3017686712773261E-4</v>
      </c>
      <c r="S41" s="2"/>
      <c r="T41" s="2"/>
      <c r="U41" s="2"/>
      <c r="V41" s="22">
        <f t="shared" si="11"/>
        <v>0</v>
      </c>
      <c r="W41" s="2"/>
      <c r="X41" s="2">
        <f t="shared" si="12"/>
        <v>-11.85</v>
      </c>
      <c r="Y41" s="2"/>
      <c r="Z41" s="22">
        <f t="shared" si="13"/>
        <v>0</v>
      </c>
    </row>
    <row r="42" spans="1:26" s="24" customFormat="1" hidden="1" outlineLevel="1" x14ac:dyDescent="0.25">
      <c r="A42" s="50"/>
      <c r="B42" s="11" t="str">
        <f>CONCATENATE("          ", "5200", " - ", "PURCHASES OFFSET")</f>
        <v xml:space="preserve">          5200 - PURCHASES OFFSET</v>
      </c>
      <c r="C42" s="11"/>
      <c r="D42" s="2">
        <v>-32897</v>
      </c>
      <c r="E42" s="2"/>
      <c r="F42" s="22">
        <f t="shared" si="6"/>
        <v>-0.63899817703806072</v>
      </c>
      <c r="G42" s="2"/>
      <c r="H42" s="2">
        <v>-24541</v>
      </c>
      <c r="I42" s="2"/>
      <c r="J42" s="22">
        <f t="shared" si="7"/>
        <v>-0.49029548189347044</v>
      </c>
      <c r="K42" s="2"/>
      <c r="L42" s="2">
        <f t="shared" si="8"/>
        <v>-8356</v>
      </c>
      <c r="M42" s="2"/>
      <c r="N42" s="22">
        <f t="shared" si="9"/>
        <v>0.34049142251741982</v>
      </c>
      <c r="O42" s="11"/>
      <c r="P42" s="2">
        <v>-32897</v>
      </c>
      <c r="Q42" s="2"/>
      <c r="R42" s="22">
        <f t="shared" si="10"/>
        <v>-0.63899817703806072</v>
      </c>
      <c r="S42" s="2"/>
      <c r="T42" s="2">
        <v>-24541</v>
      </c>
      <c r="U42" s="2"/>
      <c r="V42" s="22">
        <f t="shared" si="11"/>
        <v>-0.49029548189347044</v>
      </c>
      <c r="W42" s="2"/>
      <c r="X42" s="2">
        <f t="shared" si="12"/>
        <v>-8356</v>
      </c>
      <c r="Y42" s="2"/>
      <c r="Z42" s="22">
        <f t="shared" si="13"/>
        <v>0.34049142251741982</v>
      </c>
    </row>
    <row r="43" spans="1:26" s="24" customFormat="1" hidden="1" outlineLevel="1" x14ac:dyDescent="0.25">
      <c r="A43" s="50"/>
      <c r="B43" s="11" t="str">
        <f>CONCATENATE("          ", "5300", " - ", "COG$ OFFSET")</f>
        <v xml:space="preserve">          5300 - COG$ OFFSET</v>
      </c>
      <c r="C43" s="11"/>
      <c r="D43" s="2">
        <v>21526</v>
      </c>
      <c r="E43" s="2"/>
      <c r="F43" s="22">
        <f t="shared" si="6"/>
        <v>0.41812550563641959</v>
      </c>
      <c r="G43" s="2"/>
      <c r="H43" s="2">
        <v>21321</v>
      </c>
      <c r="I43" s="2"/>
      <c r="J43" s="22">
        <f t="shared" si="7"/>
        <v>0.42596430338823532</v>
      </c>
      <c r="K43" s="2"/>
      <c r="L43" s="2">
        <f t="shared" si="8"/>
        <v>205</v>
      </c>
      <c r="M43" s="2"/>
      <c r="N43" s="22">
        <f t="shared" si="9"/>
        <v>9.6149336335068711E-3</v>
      </c>
      <c r="O43" s="11"/>
      <c r="P43" s="2">
        <v>21526</v>
      </c>
      <c r="Q43" s="2"/>
      <c r="R43" s="22">
        <f t="shared" si="10"/>
        <v>0.41812550563641959</v>
      </c>
      <c r="S43" s="2"/>
      <c r="T43" s="2">
        <v>21321</v>
      </c>
      <c r="U43" s="2"/>
      <c r="V43" s="22">
        <f t="shared" si="11"/>
        <v>0.42596430338823532</v>
      </c>
      <c r="W43" s="2"/>
      <c r="X43" s="2">
        <f t="shared" si="12"/>
        <v>205</v>
      </c>
      <c r="Y43" s="2"/>
      <c r="Z43" s="22">
        <f t="shared" si="13"/>
        <v>9.6149336335068711E-3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5" t="s">
        <v>6</v>
      </c>
      <c r="C45" s="25"/>
      <c r="D45" s="21">
        <f>D12-D30</f>
        <v>29955.589999999997</v>
      </c>
      <c r="E45" s="13"/>
      <c r="F45" s="20">
        <f>IF(D$12=0,0,D45/D$12)</f>
        <v>0.58186361680699028</v>
      </c>
      <c r="G45" s="13"/>
      <c r="H45" s="21">
        <f>H12-H30</f>
        <v>28732.999999999989</v>
      </c>
      <c r="I45" s="13"/>
      <c r="J45" s="20">
        <f>IF(H$12=0,0,H45/H$12)</f>
        <v>0.57404588571146575</v>
      </c>
      <c r="K45" s="16"/>
      <c r="L45" s="21">
        <f>+D45-H45</f>
        <v>1222.5900000000074</v>
      </c>
      <c r="M45" s="16"/>
      <c r="N45" s="20">
        <f>IF(H45=0,0,L45/H45)</f>
        <v>4.255002958271005E-2</v>
      </c>
      <c r="O45" s="26"/>
      <c r="P45" s="21">
        <f>P12-P30</f>
        <v>29955.589999999997</v>
      </c>
      <c r="Q45" s="13"/>
      <c r="R45" s="20">
        <f>IF(P$12=0,0,P45/P$12)</f>
        <v>0.58186361680699028</v>
      </c>
      <c r="S45" s="13"/>
      <c r="T45" s="21">
        <f>T12-T30</f>
        <v>28732.999999999989</v>
      </c>
      <c r="U45" s="13"/>
      <c r="V45" s="20">
        <f>IF(T$12=0,0,T45/T$12)</f>
        <v>0.57404588571146575</v>
      </c>
      <c r="W45" s="16"/>
      <c r="X45" s="21">
        <f>+P45-T45</f>
        <v>1222.5900000000074</v>
      </c>
      <c r="Y45" s="16"/>
      <c r="Z45" s="20">
        <f>IF(T45=0,0,X45/T45)</f>
        <v>4.255002958271005E-2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9</v>
      </c>
      <c r="C47" s="10"/>
      <c r="D47" s="19">
        <f>SUM(OSRRefD22x_0)</f>
        <v>27441.069999999996</v>
      </c>
      <c r="E47" s="19"/>
      <c r="F47" s="35">
        <f t="shared" ref="F47:F56" si="14">IF(D$12=0,0,D47/D$12)</f>
        <v>0.53302105681289524</v>
      </c>
      <c r="G47" s="19"/>
      <c r="H47" s="19">
        <f>SUM(OSRRefH22x_0)</f>
        <v>34762.459999999992</v>
      </c>
      <c r="I47" s="19"/>
      <c r="J47" s="35">
        <f t="shared" ref="J47:J56" si="15">IF(H$12=0,0,H47/H$12)</f>
        <v>0.69450621724878725</v>
      </c>
      <c r="K47" s="4"/>
      <c r="L47" s="19">
        <f t="shared" ref="L47:L56" si="16">+D47-H47</f>
        <v>-7321.3899999999958</v>
      </c>
      <c r="M47" s="4"/>
      <c r="N47" s="35">
        <f t="shared" ref="N47:N56" si="17">IF(H47=0,0,L47/H47)</f>
        <v>-0.21061196474587809</v>
      </c>
      <c r="O47" s="10"/>
      <c r="P47" s="19">
        <f>SUM(OSRRefP22x_0)</f>
        <v>27441.069999999996</v>
      </c>
      <c r="Q47" s="19"/>
      <c r="R47" s="35">
        <f t="shared" ref="R47:R56" si="18">IF(P$12=0,0,P47/P$12)</f>
        <v>0.53302105681289524</v>
      </c>
      <c r="S47" s="19"/>
      <c r="T47" s="19">
        <f>SUM(OSRRefT22x_0)</f>
        <v>34762.459999999992</v>
      </c>
      <c r="U47" s="19"/>
      <c r="V47" s="35">
        <f t="shared" ref="V47:V56" si="19">IF(T$12=0,0,T47/T$12)</f>
        <v>0.69450621724878725</v>
      </c>
      <c r="W47" s="4"/>
      <c r="X47" s="19">
        <f t="shared" ref="X47:X56" si="20">+P47-T47</f>
        <v>-7321.3899999999958</v>
      </c>
      <c r="Y47" s="4"/>
      <c r="Z47" s="35">
        <f t="shared" ref="Z47:Z56" si="21">IF(T47=0,0,X47/T47)</f>
        <v>-0.21061196474587809</v>
      </c>
    </row>
    <row r="48" spans="1:26" s="28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1438.26</v>
      </c>
      <c r="E48" s="1"/>
      <c r="F48" s="5">
        <f t="shared" si="14"/>
        <v>2.7937061680601918E-2</v>
      </c>
      <c r="G48" s="1"/>
      <c r="H48" s="1">
        <f>SUM(OSRRefH22_0x_0)</f>
        <v>3677.28</v>
      </c>
      <c r="I48" s="1"/>
      <c r="J48" s="5">
        <f t="shared" si="15"/>
        <v>7.3467004998053101E-2</v>
      </c>
      <c r="K48" s="1"/>
      <c r="L48" s="1">
        <f t="shared" si="16"/>
        <v>-2239.0200000000004</v>
      </c>
      <c r="M48" s="1"/>
      <c r="N48" s="5">
        <f t="shared" si="17"/>
        <v>-0.60887938911369277</v>
      </c>
      <c r="O48" s="14"/>
      <c r="P48" s="1">
        <f>SUM(OSRRefP22_0x_0)</f>
        <v>1438.26</v>
      </c>
      <c r="Q48" s="1"/>
      <c r="R48" s="5">
        <f t="shared" si="18"/>
        <v>2.7937061680601918E-2</v>
      </c>
      <c r="S48" s="1"/>
      <c r="T48" s="1">
        <f>SUM(OSRRefT22_0x_0)</f>
        <v>3677.28</v>
      </c>
      <c r="U48" s="1"/>
      <c r="V48" s="5">
        <f t="shared" si="19"/>
        <v>7.3467004998053101E-2</v>
      </c>
      <c r="W48" s="1"/>
      <c r="X48" s="1">
        <f t="shared" si="20"/>
        <v>-2239.0200000000004</v>
      </c>
      <c r="Y48" s="1"/>
      <c r="Z48" s="5">
        <f t="shared" si="21"/>
        <v>-0.60887938911369277</v>
      </c>
    </row>
    <row r="49" spans="1:26" s="24" customFormat="1" hidden="1" outlineLevel="2" x14ac:dyDescent="0.25">
      <c r="A49" s="29"/>
      <c r="B49" s="11" t="str">
        <f>CONCATENATE("          ", "6111", " - ", "F.I.C.A.")</f>
        <v xml:space="preserve">          6111 - F.I.C.A.</v>
      </c>
      <c r="C49" s="11"/>
      <c r="D49" s="7">
        <v>713.71</v>
      </c>
      <c r="E49" s="2"/>
      <c r="F49" s="6">
        <f t="shared" si="14"/>
        <v>1.3863251631876291E-2</v>
      </c>
      <c r="G49" s="2"/>
      <c r="H49" s="7">
        <v>857.8</v>
      </c>
      <c r="I49" s="2"/>
      <c r="J49" s="6">
        <f t="shared" si="15"/>
        <v>1.7137666124779714E-2</v>
      </c>
      <c r="K49" s="2"/>
      <c r="L49" s="7">
        <f t="shared" si="16"/>
        <v>-144.08999999999992</v>
      </c>
      <c r="M49" s="2"/>
      <c r="N49" s="6">
        <f t="shared" si="17"/>
        <v>-0.16797621823268818</v>
      </c>
      <c r="O49" s="11"/>
      <c r="P49" s="7">
        <v>713.71</v>
      </c>
      <c r="Q49" s="2"/>
      <c r="R49" s="6">
        <f t="shared" si="18"/>
        <v>1.3863251631876291E-2</v>
      </c>
      <c r="S49" s="2"/>
      <c r="T49" s="7">
        <v>857.8</v>
      </c>
      <c r="U49" s="2"/>
      <c r="V49" s="6">
        <f t="shared" si="19"/>
        <v>1.7137666124779714E-2</v>
      </c>
      <c r="W49" s="2"/>
      <c r="X49" s="7">
        <f t="shared" si="20"/>
        <v>-144.08999999999992</v>
      </c>
      <c r="Y49" s="2"/>
      <c r="Z49" s="6">
        <f t="shared" si="21"/>
        <v>-0.16797621823268818</v>
      </c>
    </row>
    <row r="50" spans="1:26" s="24" customFormat="1" hidden="1" outlineLevel="2" x14ac:dyDescent="0.25">
      <c r="A50" s="29"/>
      <c r="B50" s="11" t="str">
        <f>CONCATENATE("          ", "6112", " - ", "COMPENSATION INSURANCE")</f>
        <v xml:space="preserve">          6112 - COMPENSATION INSURANCE</v>
      </c>
      <c r="C50" s="11"/>
      <c r="D50" s="7">
        <v>188.78</v>
      </c>
      <c r="E50" s="2"/>
      <c r="F50" s="6">
        <f t="shared" si="14"/>
        <v>3.6669020233226469E-3</v>
      </c>
      <c r="G50" s="2"/>
      <c r="H50" s="7">
        <v>231.25</v>
      </c>
      <c r="I50" s="2"/>
      <c r="J50" s="6">
        <f t="shared" si="15"/>
        <v>4.6200574625265903E-3</v>
      </c>
      <c r="K50" s="2"/>
      <c r="L50" s="7">
        <f t="shared" si="16"/>
        <v>-42.47</v>
      </c>
      <c r="M50" s="2"/>
      <c r="N50" s="6">
        <f t="shared" si="17"/>
        <v>-0.18365405405405405</v>
      </c>
      <c r="O50" s="11"/>
      <c r="P50" s="7">
        <v>188.78</v>
      </c>
      <c r="Q50" s="2"/>
      <c r="R50" s="6">
        <f t="shared" si="18"/>
        <v>3.6669020233226469E-3</v>
      </c>
      <c r="S50" s="2"/>
      <c r="T50" s="7">
        <v>231.25</v>
      </c>
      <c r="U50" s="2"/>
      <c r="V50" s="6">
        <f t="shared" si="19"/>
        <v>4.6200574625265903E-3</v>
      </c>
      <c r="W50" s="2"/>
      <c r="X50" s="7">
        <f t="shared" si="20"/>
        <v>-42.47</v>
      </c>
      <c r="Y50" s="2"/>
      <c r="Z50" s="6">
        <f t="shared" si="21"/>
        <v>-0.18365405405405405</v>
      </c>
    </row>
    <row r="51" spans="1:26" s="24" customFormat="1" hidden="1" outlineLevel="2" x14ac:dyDescent="0.25">
      <c r="A51" s="29"/>
      <c r="B51" s="11" t="str">
        <f>CONCATENATE("          ", "6113", " - ", "GROUP INSURANCE")</f>
        <v xml:space="preserve">          6113 - GROUP INSURANCE</v>
      </c>
      <c r="C51" s="11"/>
      <c r="D51" s="7">
        <v>31.11</v>
      </c>
      <c r="E51" s="2"/>
      <c r="F51" s="6">
        <f t="shared" si="14"/>
        <v>6.0428711699103471E-4</v>
      </c>
      <c r="G51" s="2"/>
      <c r="H51" s="7">
        <v>622.91</v>
      </c>
      <c r="I51" s="2"/>
      <c r="J51" s="6">
        <f t="shared" si="15"/>
        <v>1.2444886460464597E-2</v>
      </c>
      <c r="K51" s="2"/>
      <c r="L51" s="7">
        <f t="shared" si="16"/>
        <v>-591.79999999999995</v>
      </c>
      <c r="M51" s="2"/>
      <c r="N51" s="6">
        <f t="shared" si="17"/>
        <v>-0.95005699057648774</v>
      </c>
      <c r="O51" s="11"/>
      <c r="P51" s="7">
        <v>31.11</v>
      </c>
      <c r="Q51" s="2"/>
      <c r="R51" s="6">
        <f t="shared" si="18"/>
        <v>6.0428711699103471E-4</v>
      </c>
      <c r="S51" s="2"/>
      <c r="T51" s="7">
        <v>622.91</v>
      </c>
      <c r="U51" s="2"/>
      <c r="V51" s="6">
        <f t="shared" si="19"/>
        <v>1.2444886460464597E-2</v>
      </c>
      <c r="W51" s="2"/>
      <c r="X51" s="7">
        <f t="shared" si="20"/>
        <v>-591.79999999999995</v>
      </c>
      <c r="Y51" s="2"/>
      <c r="Z51" s="6">
        <f t="shared" si="21"/>
        <v>-0.95005699057648774</v>
      </c>
    </row>
    <row r="52" spans="1:26" s="24" customFormat="1" hidden="1" outlineLevel="2" x14ac:dyDescent="0.25">
      <c r="A52" s="29"/>
      <c r="B52" s="11" t="str">
        <f>CONCATENATE("          ", "6114", " - ", "STATE UNEMPLOYMENT INSURANCE")</f>
        <v xml:space="preserve">          6114 - STATE UNEMPLOYMENT INSURANCE</v>
      </c>
      <c r="C52" s="11"/>
      <c r="D52" s="7">
        <v>25.83</v>
      </c>
      <c r="E52" s="2"/>
      <c r="F52" s="6">
        <f t="shared" si="14"/>
        <v>5.0172729771386776E-4</v>
      </c>
      <c r="G52" s="2"/>
      <c r="H52" s="7">
        <v>50.53</v>
      </c>
      <c r="I52" s="2"/>
      <c r="J52" s="6">
        <f t="shared" si="15"/>
        <v>1.0095200154874317E-3</v>
      </c>
      <c r="K52" s="2"/>
      <c r="L52" s="7">
        <f t="shared" si="16"/>
        <v>-24.700000000000003</v>
      </c>
      <c r="M52" s="2"/>
      <c r="N52" s="6">
        <f t="shared" si="17"/>
        <v>-0.48881852364931727</v>
      </c>
      <c r="O52" s="11"/>
      <c r="P52" s="7">
        <v>25.83</v>
      </c>
      <c r="Q52" s="2"/>
      <c r="R52" s="6">
        <f t="shared" si="18"/>
        <v>5.0172729771386776E-4</v>
      </c>
      <c r="S52" s="2"/>
      <c r="T52" s="7">
        <v>50.53</v>
      </c>
      <c r="U52" s="2"/>
      <c r="V52" s="6">
        <f t="shared" si="19"/>
        <v>1.0095200154874317E-3</v>
      </c>
      <c r="W52" s="2"/>
      <c r="X52" s="7">
        <f t="shared" si="20"/>
        <v>-24.700000000000003</v>
      </c>
      <c r="Y52" s="2"/>
      <c r="Z52" s="6">
        <f t="shared" si="21"/>
        <v>-0.48881852364931727</v>
      </c>
    </row>
    <row r="53" spans="1:26" s="24" customFormat="1" hidden="1" outlineLevel="2" x14ac:dyDescent="0.25">
      <c r="A53" s="29"/>
      <c r="B53" s="11" t="str">
        <f>CONCATENATE("          ", "6115", " - ", "P.E.R.S.")</f>
        <v xml:space="preserve">          6115 - P.E.R.S.</v>
      </c>
      <c r="C53" s="11"/>
      <c r="D53" s="7">
        <v>153.06</v>
      </c>
      <c r="E53" s="2"/>
      <c r="F53" s="6">
        <f t="shared" si="14"/>
        <v>2.9730693065460551E-3</v>
      </c>
      <c r="G53" s="2"/>
      <c r="H53" s="7">
        <v>305.37</v>
      </c>
      <c r="I53" s="2"/>
      <c r="J53" s="6">
        <f t="shared" si="15"/>
        <v>6.1008732857588963E-3</v>
      </c>
      <c r="K53" s="2"/>
      <c r="L53" s="7">
        <f t="shared" si="16"/>
        <v>-152.31</v>
      </c>
      <c r="M53" s="2"/>
      <c r="N53" s="6">
        <f t="shared" si="17"/>
        <v>-0.4987719815306022</v>
      </c>
      <c r="O53" s="11"/>
      <c r="P53" s="7">
        <v>153.06</v>
      </c>
      <c r="Q53" s="2"/>
      <c r="R53" s="6">
        <f t="shared" si="18"/>
        <v>2.9730693065460551E-3</v>
      </c>
      <c r="S53" s="2"/>
      <c r="T53" s="7">
        <v>305.37</v>
      </c>
      <c r="U53" s="2"/>
      <c r="V53" s="6">
        <f t="shared" si="19"/>
        <v>6.1008732857588963E-3</v>
      </c>
      <c r="W53" s="2"/>
      <c r="X53" s="7">
        <f t="shared" si="20"/>
        <v>-152.31</v>
      </c>
      <c r="Y53" s="2"/>
      <c r="Z53" s="6">
        <f t="shared" si="21"/>
        <v>-0.4987719815306022</v>
      </c>
    </row>
    <row r="54" spans="1:26" s="24" customFormat="1" hidden="1" outlineLevel="2" x14ac:dyDescent="0.25">
      <c r="A54" s="29"/>
      <c r="B54" s="11" t="str">
        <f>CONCATENATE("          ", "6118", " - ", "VACATION")</f>
        <v xml:space="preserve">          6118 - VACATION</v>
      </c>
      <c r="C54" s="11"/>
      <c r="D54" s="7">
        <v>191.01</v>
      </c>
      <c r="E54" s="2"/>
      <c r="F54" s="6">
        <f t="shared" si="14"/>
        <v>3.7102180076006926E-3</v>
      </c>
      <c r="G54" s="2"/>
      <c r="H54" s="7">
        <v>905.87</v>
      </c>
      <c r="I54" s="2"/>
      <c r="J54" s="6">
        <f t="shared" si="15"/>
        <v>1.8098038718179294E-2</v>
      </c>
      <c r="K54" s="2"/>
      <c r="L54" s="7">
        <f t="shared" si="16"/>
        <v>-714.86</v>
      </c>
      <c r="M54" s="2"/>
      <c r="N54" s="6">
        <f t="shared" si="17"/>
        <v>-0.7891419298574851</v>
      </c>
      <c r="O54" s="11"/>
      <c r="P54" s="7">
        <v>191.01</v>
      </c>
      <c r="Q54" s="2"/>
      <c r="R54" s="6">
        <f t="shared" si="18"/>
        <v>3.7102180076006926E-3</v>
      </c>
      <c r="S54" s="2"/>
      <c r="T54" s="7">
        <v>905.87</v>
      </c>
      <c r="U54" s="2"/>
      <c r="V54" s="6">
        <f t="shared" si="19"/>
        <v>1.8098038718179294E-2</v>
      </c>
      <c r="W54" s="2"/>
      <c r="X54" s="7">
        <f t="shared" si="20"/>
        <v>-714.86</v>
      </c>
      <c r="Y54" s="2"/>
      <c r="Z54" s="6">
        <f t="shared" si="21"/>
        <v>-0.7891419298574851</v>
      </c>
    </row>
    <row r="55" spans="1:26" s="24" customFormat="1" hidden="1" outlineLevel="2" x14ac:dyDescent="0.25">
      <c r="A55" s="29"/>
      <c r="B55" s="11" t="str">
        <f>CONCATENATE("          ", "6119", " - ", "SICK LEAVE")</f>
        <v xml:space="preserve">          6119 - SICK LEAVE</v>
      </c>
      <c r="C55" s="11"/>
      <c r="D55" s="7">
        <v>134.76</v>
      </c>
      <c r="E55" s="2"/>
      <c r="F55" s="6">
        <f t="shared" si="14"/>
        <v>2.6176062965513288E-3</v>
      </c>
      <c r="G55" s="2"/>
      <c r="H55" s="7">
        <v>555.91999999999996</v>
      </c>
      <c r="I55" s="2"/>
      <c r="J55" s="6">
        <f t="shared" si="15"/>
        <v>1.1106518246779596E-2</v>
      </c>
      <c r="K55" s="2"/>
      <c r="L55" s="7">
        <f t="shared" si="16"/>
        <v>-421.15999999999997</v>
      </c>
      <c r="M55" s="2"/>
      <c r="N55" s="6">
        <f t="shared" si="17"/>
        <v>-0.75759102029068925</v>
      </c>
      <c r="O55" s="11"/>
      <c r="P55" s="7">
        <v>134.76</v>
      </c>
      <c r="Q55" s="2"/>
      <c r="R55" s="6">
        <f t="shared" si="18"/>
        <v>2.6176062965513288E-3</v>
      </c>
      <c r="S55" s="2"/>
      <c r="T55" s="7">
        <v>555.91999999999996</v>
      </c>
      <c r="U55" s="2"/>
      <c r="V55" s="6">
        <f t="shared" si="19"/>
        <v>1.1106518246779596E-2</v>
      </c>
      <c r="W55" s="2"/>
      <c r="X55" s="7">
        <f t="shared" si="20"/>
        <v>-421.15999999999997</v>
      </c>
      <c r="Y55" s="2"/>
      <c r="Z55" s="6">
        <f t="shared" si="21"/>
        <v>-0.75759102029068925</v>
      </c>
    </row>
    <row r="56" spans="1:26" s="24" customFormat="1" hidden="1" outlineLevel="2" x14ac:dyDescent="0.25">
      <c r="A56" s="29"/>
      <c r="B56" s="11" t="str">
        <f>CONCATENATE("          ", "6156", " - ", "EMPLOYEE MEALS")</f>
        <v xml:space="preserve">          6156 - EMPLOYEE MEALS</v>
      </c>
      <c r="C56" s="11"/>
      <c r="D56" s="7"/>
      <c r="E56" s="2"/>
      <c r="F56" s="6">
        <f t="shared" si="14"/>
        <v>0</v>
      </c>
      <c r="G56" s="2"/>
      <c r="H56" s="7">
        <v>147.63</v>
      </c>
      <c r="I56" s="2"/>
      <c r="J56" s="6">
        <f t="shared" si="15"/>
        <v>2.949444684076975E-3</v>
      </c>
      <c r="K56" s="2"/>
      <c r="L56" s="7">
        <f t="shared" si="16"/>
        <v>-147.63</v>
      </c>
      <c r="M56" s="2"/>
      <c r="N56" s="6">
        <f t="shared" si="17"/>
        <v>-1</v>
      </c>
      <c r="O56" s="11"/>
      <c r="P56" s="7"/>
      <c r="Q56" s="2"/>
      <c r="R56" s="6">
        <f t="shared" si="18"/>
        <v>0</v>
      </c>
      <c r="S56" s="2"/>
      <c r="T56" s="7">
        <v>147.63</v>
      </c>
      <c r="U56" s="2"/>
      <c r="V56" s="6">
        <f t="shared" si="19"/>
        <v>2.949444684076975E-3</v>
      </c>
      <c r="W56" s="2"/>
      <c r="X56" s="7">
        <f t="shared" si="20"/>
        <v>-147.63</v>
      </c>
      <c r="Y56" s="2"/>
      <c r="Z56" s="6">
        <f t="shared" si="21"/>
        <v>-1</v>
      </c>
    </row>
    <row r="57" spans="1:26" s="28" customFormat="1" outlineLevel="1" collapsed="1" x14ac:dyDescent="0.25">
      <c r="A57" s="27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10026.82</v>
      </c>
      <c r="E57" s="1"/>
      <c r="F57" s="5">
        <f t="shared" ref="F57:F61" si="22">IF(D$12=0,0,D57/D$12)</f>
        <v>0.19476303922815966</v>
      </c>
      <c r="G57" s="1"/>
      <c r="H57" s="1">
        <f>SUM(OSRRefH22_1x_0)</f>
        <v>14592.18</v>
      </c>
      <c r="I57" s="1"/>
      <c r="J57" s="5">
        <f t="shared" ref="J57:J61" si="23">IF(H$12=0,0,H57/H$12)</f>
        <v>0.29153171936662164</v>
      </c>
      <c r="K57" s="1"/>
      <c r="L57" s="1">
        <f t="shared" ref="L57:L61" si="24">+D57-H57</f>
        <v>-4565.3600000000006</v>
      </c>
      <c r="M57" s="1"/>
      <c r="N57" s="5">
        <f t="shared" ref="N57:N61" si="25">IF(H57=0,0,L57/H57)</f>
        <v>-0.31286346522589498</v>
      </c>
      <c r="O57" s="14"/>
      <c r="P57" s="1">
        <f>SUM(OSRRefP22_1x_0)</f>
        <v>10026.82</v>
      </c>
      <c r="Q57" s="1"/>
      <c r="R57" s="5">
        <f t="shared" ref="R57:R61" si="26">IF(P$12=0,0,P57/P$12)</f>
        <v>0.19476303922815966</v>
      </c>
      <c r="S57" s="1"/>
      <c r="T57" s="1">
        <f>SUM(OSRRefT22_1x_0)</f>
        <v>14592.18</v>
      </c>
      <c r="U57" s="1"/>
      <c r="V57" s="5">
        <f t="shared" ref="V57:V61" si="27">IF(T$12=0,0,T57/T$12)</f>
        <v>0.29153171936662164</v>
      </c>
      <c r="W57" s="1"/>
      <c r="X57" s="1">
        <f t="shared" ref="X57:X61" si="28">+P57-T57</f>
        <v>-4565.3600000000006</v>
      </c>
      <c r="Y57" s="1"/>
      <c r="Z57" s="5">
        <f t="shared" ref="Z57:Z61" si="29">IF(T57=0,0,X57/T57)</f>
        <v>-0.31286346522589498</v>
      </c>
    </row>
    <row r="58" spans="1:26" s="24" customFormat="1" hidden="1" outlineLevel="2" x14ac:dyDescent="0.25">
      <c r="A58" s="29"/>
      <c r="B58" s="11" t="str">
        <f>CONCATENATE("          ", "6002", " - ", "STAFF SALARIES")</f>
        <v xml:space="preserve">          6002 - STAFF SALARIES</v>
      </c>
      <c r="C58" s="11"/>
      <c r="D58" s="7">
        <v>-486.86</v>
      </c>
      <c r="E58" s="2"/>
      <c r="F58" s="6">
        <f t="shared" si="22"/>
        <v>-9.4568700025154349E-3</v>
      </c>
      <c r="G58" s="2"/>
      <c r="H58" s="7">
        <v>2669.88</v>
      </c>
      <c r="I58" s="2"/>
      <c r="J58" s="6">
        <f t="shared" si="23"/>
        <v>5.3340536294272399E-2</v>
      </c>
      <c r="K58" s="2"/>
      <c r="L58" s="7">
        <f t="shared" si="24"/>
        <v>-3156.7400000000002</v>
      </c>
      <c r="M58" s="2"/>
      <c r="N58" s="6">
        <f t="shared" si="25"/>
        <v>-1.1823527649182735</v>
      </c>
      <c r="O58" s="11"/>
      <c r="P58" s="7">
        <v>-486.86</v>
      </c>
      <c r="Q58" s="2"/>
      <c r="R58" s="6">
        <f t="shared" si="26"/>
        <v>-9.4568700025154349E-3</v>
      </c>
      <c r="S58" s="2"/>
      <c r="T58" s="7">
        <v>2669.88</v>
      </c>
      <c r="U58" s="2"/>
      <c r="V58" s="6">
        <f t="shared" si="27"/>
        <v>5.3340536294272399E-2</v>
      </c>
      <c r="W58" s="2"/>
      <c r="X58" s="7">
        <f t="shared" si="28"/>
        <v>-3156.7400000000002</v>
      </c>
      <c r="Y58" s="2"/>
      <c r="Z58" s="6">
        <f t="shared" si="29"/>
        <v>-1.1823527649182735</v>
      </c>
    </row>
    <row r="59" spans="1:26" s="24" customFormat="1" hidden="1" outlineLevel="2" x14ac:dyDescent="0.25">
      <c r="A59" s="29"/>
      <c r="B59" s="11" t="str">
        <f>CONCATENATE("          ", "6005", " - ", "TEMPORARY WAGES-HOURLY")</f>
        <v xml:space="preserve">          6005 - TEMPORARY WAGES-HOURLY</v>
      </c>
      <c r="C59" s="11"/>
      <c r="D59" s="7">
        <v>332.35</v>
      </c>
      <c r="E59" s="2"/>
      <c r="F59" s="6">
        <f t="shared" si="22"/>
        <v>6.4556355940845519E-3</v>
      </c>
      <c r="G59" s="2"/>
      <c r="H59" s="7">
        <v>1740.03</v>
      </c>
      <c r="I59" s="2"/>
      <c r="J59" s="6">
        <f t="shared" si="23"/>
        <v>3.4763410103870886E-2</v>
      </c>
      <c r="K59" s="2"/>
      <c r="L59" s="7">
        <f t="shared" si="24"/>
        <v>-1407.6799999999998</v>
      </c>
      <c r="M59" s="2"/>
      <c r="N59" s="6">
        <f t="shared" si="25"/>
        <v>-0.80899754601932139</v>
      </c>
      <c r="O59" s="11"/>
      <c r="P59" s="7">
        <v>332.35</v>
      </c>
      <c r="Q59" s="2"/>
      <c r="R59" s="6">
        <f t="shared" si="26"/>
        <v>6.4556355940845519E-3</v>
      </c>
      <c r="S59" s="2"/>
      <c r="T59" s="7">
        <v>1740.03</v>
      </c>
      <c r="U59" s="2"/>
      <c r="V59" s="6">
        <f t="shared" si="27"/>
        <v>3.4763410103870886E-2</v>
      </c>
      <c r="W59" s="2"/>
      <c r="X59" s="7">
        <f t="shared" si="28"/>
        <v>-1407.6799999999998</v>
      </c>
      <c r="Y59" s="2"/>
      <c r="Z59" s="6">
        <f t="shared" si="29"/>
        <v>-0.80899754601932139</v>
      </c>
    </row>
    <row r="60" spans="1:26" s="24" customFormat="1" hidden="1" outlineLevel="2" x14ac:dyDescent="0.25">
      <c r="A60" s="29"/>
      <c r="B60" s="11" t="str">
        <f>CONCATENATE("          ", "6006", " - ", "TEMPORARY PART TIME")</f>
        <v xml:space="preserve">          6006 - TEMPORARY PART TIME</v>
      </c>
      <c r="C60" s="11"/>
      <c r="D60" s="7"/>
      <c r="E60" s="2"/>
      <c r="F60" s="6">
        <f t="shared" si="22"/>
        <v>0</v>
      </c>
      <c r="G60" s="2"/>
      <c r="H60" s="7">
        <v>1275.1300000000001</v>
      </c>
      <c r="I60" s="2"/>
      <c r="J60" s="6">
        <f t="shared" si="23"/>
        <v>2.5475346474341756E-2</v>
      </c>
      <c r="K60" s="2"/>
      <c r="L60" s="7">
        <f t="shared" si="24"/>
        <v>-1275.1300000000001</v>
      </c>
      <c r="M60" s="2"/>
      <c r="N60" s="6">
        <f t="shared" si="25"/>
        <v>-1</v>
      </c>
      <c r="O60" s="11"/>
      <c r="P60" s="7"/>
      <c r="Q60" s="2"/>
      <c r="R60" s="6">
        <f t="shared" si="26"/>
        <v>0</v>
      </c>
      <c r="S60" s="2"/>
      <c r="T60" s="7">
        <v>1275.1300000000001</v>
      </c>
      <c r="U60" s="2"/>
      <c r="V60" s="6">
        <f t="shared" si="27"/>
        <v>2.5475346474341756E-2</v>
      </c>
      <c r="W60" s="2"/>
      <c r="X60" s="7">
        <f t="shared" si="28"/>
        <v>-1275.1300000000001</v>
      </c>
      <c r="Y60" s="2"/>
      <c r="Z60" s="6">
        <f t="shared" si="29"/>
        <v>-1</v>
      </c>
    </row>
    <row r="61" spans="1:26" s="24" customFormat="1" hidden="1" outlineLevel="2" x14ac:dyDescent="0.25">
      <c r="A61" s="29"/>
      <c r="B61" s="11" t="str">
        <f>CONCATENATE("          ", "6007", " - ", "STUDENT HOURLY")</f>
        <v xml:space="preserve">          6007 - STUDENT HOURLY</v>
      </c>
      <c r="C61" s="11"/>
      <c r="D61" s="7">
        <v>10181.33</v>
      </c>
      <c r="E61" s="2"/>
      <c r="F61" s="6">
        <f t="shared" si="22"/>
        <v>0.19776427363659055</v>
      </c>
      <c r="G61" s="2"/>
      <c r="H61" s="7">
        <v>8907.14</v>
      </c>
      <c r="I61" s="2"/>
      <c r="J61" s="6">
        <f t="shared" si="23"/>
        <v>0.17795242649413659</v>
      </c>
      <c r="K61" s="2"/>
      <c r="L61" s="7">
        <f t="shared" si="24"/>
        <v>1274.1900000000005</v>
      </c>
      <c r="M61" s="2"/>
      <c r="N61" s="6">
        <f t="shared" si="25"/>
        <v>0.14305265214198953</v>
      </c>
      <c r="O61" s="11"/>
      <c r="P61" s="7">
        <v>10181.33</v>
      </c>
      <c r="Q61" s="2"/>
      <c r="R61" s="6">
        <f t="shared" si="26"/>
        <v>0.19776427363659055</v>
      </c>
      <c r="S61" s="2"/>
      <c r="T61" s="7">
        <v>8907.14</v>
      </c>
      <c r="U61" s="2"/>
      <c r="V61" s="6">
        <f t="shared" si="27"/>
        <v>0.17795242649413659</v>
      </c>
      <c r="W61" s="2"/>
      <c r="X61" s="7">
        <f t="shared" si="28"/>
        <v>1274.1900000000005</v>
      </c>
      <c r="Y61" s="2"/>
      <c r="Z61" s="6">
        <f t="shared" si="29"/>
        <v>0.14305265214198953</v>
      </c>
    </row>
    <row r="62" spans="1:26" s="28" customFormat="1" outlineLevel="1" collapsed="1" x14ac:dyDescent="0.25">
      <c r="A62" s="27"/>
      <c r="B62" s="14" t="str">
        <f>CONCATENATE("     ","Advertising/Promo                                 ")</f>
        <v xml:space="preserve">     Advertising/Promo                                 </v>
      </c>
      <c r="C62" s="14"/>
      <c r="D62" s="1">
        <f>SUM(OSRRefD22_2x_0)</f>
        <v>0</v>
      </c>
      <c r="E62" s="1"/>
      <c r="F62" s="5">
        <f t="shared" ref="F62:F85" si="30">IF(D$12=0,0,D62/D$12)</f>
        <v>0</v>
      </c>
      <c r="G62" s="1"/>
      <c r="H62" s="1">
        <f>SUM(OSRRefH22_2x_0)</f>
        <v>449.79</v>
      </c>
      <c r="I62" s="1"/>
      <c r="J62" s="5">
        <f t="shared" ref="J62:J85" si="31">IF(H$12=0,0,H62/H$12)</f>
        <v>8.9861865775992863E-3</v>
      </c>
      <c r="K62" s="1"/>
      <c r="L62" s="1">
        <f t="shared" ref="L62:L85" si="32">+D62-H62</f>
        <v>-449.79</v>
      </c>
      <c r="M62" s="1"/>
      <c r="N62" s="5">
        <f t="shared" ref="N62:N85" si="33">IF(H62=0,0,L62/H62)</f>
        <v>-1</v>
      </c>
      <c r="O62" s="14"/>
      <c r="P62" s="1">
        <f>SUM(OSRRefP22_2x_0)</f>
        <v>0</v>
      </c>
      <c r="Q62" s="1"/>
      <c r="R62" s="5">
        <f t="shared" ref="R62:R85" si="34">IF(P$12=0,0,P62/P$12)</f>
        <v>0</v>
      </c>
      <c r="S62" s="1"/>
      <c r="T62" s="1">
        <f>SUM(OSRRefT22_2x_0)</f>
        <v>449.79</v>
      </c>
      <c r="U62" s="1"/>
      <c r="V62" s="5">
        <f t="shared" ref="V62:V85" si="35">IF(T$12=0,0,T62/T$12)</f>
        <v>8.9861865775992863E-3</v>
      </c>
      <c r="W62" s="1"/>
      <c r="X62" s="1">
        <f t="shared" ref="X62:X85" si="36">+P62-T62</f>
        <v>-449.79</v>
      </c>
      <c r="Y62" s="1"/>
      <c r="Z62" s="5">
        <f t="shared" ref="Z62:Z85" si="37">IF(T62=0,0,X62/T62)</f>
        <v>-1</v>
      </c>
    </row>
    <row r="63" spans="1:26" s="24" customFormat="1" hidden="1" outlineLevel="2" x14ac:dyDescent="0.25">
      <c r="A63" s="29"/>
      <c r="B63" s="11" t="str">
        <f>CONCATENATE("          ", "6362", " - ", "ADVERTISING EXPENSE")</f>
        <v xml:space="preserve">          6362 - ADVERTISING EXPENSE</v>
      </c>
      <c r="C63" s="11"/>
      <c r="D63" s="7"/>
      <c r="E63" s="2"/>
      <c r="F63" s="6">
        <f t="shared" si="30"/>
        <v>0</v>
      </c>
      <c r="G63" s="2"/>
      <c r="H63" s="7">
        <v>449.79</v>
      </c>
      <c r="I63" s="2"/>
      <c r="J63" s="6">
        <f t="shared" si="31"/>
        <v>8.9861865775992863E-3</v>
      </c>
      <c r="K63" s="2"/>
      <c r="L63" s="7">
        <f t="shared" si="32"/>
        <v>-449.79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449.79</v>
      </c>
      <c r="U63" s="2"/>
      <c r="V63" s="6">
        <f t="shared" si="35"/>
        <v>8.9861865775992863E-3</v>
      </c>
      <c r="W63" s="2"/>
      <c r="X63" s="7">
        <f t="shared" si="36"/>
        <v>-449.79</v>
      </c>
      <c r="Y63" s="2"/>
      <c r="Z63" s="6">
        <f t="shared" si="37"/>
        <v>-1</v>
      </c>
    </row>
    <row r="64" spans="1:26" s="28" customFormat="1" outlineLevel="1" collapsed="1" x14ac:dyDescent="0.25">
      <c r="A64" s="27"/>
      <c r="B64" s="14" t="str">
        <f>CONCATENATE("     ","Bad Debts/Over/Short                              ")</f>
        <v xml:space="preserve">     Bad Debts/Over/Short                              </v>
      </c>
      <c r="C64" s="14"/>
      <c r="D64" s="1">
        <f>SUM(OSRRefD22_3x_0)</f>
        <v>-6.13</v>
      </c>
      <c r="E64" s="1"/>
      <c r="F64" s="5">
        <f t="shared" si="30"/>
        <v>-1.190703962441351E-4</v>
      </c>
      <c r="G64" s="1"/>
      <c r="H64" s="1">
        <f>SUM(OSRRefH22_3x_0)</f>
        <v>1.02</v>
      </c>
      <c r="I64" s="1"/>
      <c r="J64" s="5">
        <f t="shared" si="31"/>
        <v>2.0378199402279445E-5</v>
      </c>
      <c r="K64" s="1"/>
      <c r="L64" s="1">
        <f t="shared" si="32"/>
        <v>-7.15</v>
      </c>
      <c r="M64" s="1"/>
      <c r="N64" s="5">
        <f t="shared" si="33"/>
        <v>-7.0098039215686274</v>
      </c>
      <c r="O64" s="14"/>
      <c r="P64" s="1">
        <f>SUM(OSRRefP22_3x_0)</f>
        <v>-6.13</v>
      </c>
      <c r="Q64" s="1"/>
      <c r="R64" s="5">
        <f t="shared" si="34"/>
        <v>-1.190703962441351E-4</v>
      </c>
      <c r="S64" s="1"/>
      <c r="T64" s="1">
        <f>SUM(OSRRefT22_3x_0)</f>
        <v>1.02</v>
      </c>
      <c r="U64" s="1"/>
      <c r="V64" s="5">
        <f t="shared" si="35"/>
        <v>2.0378199402279445E-5</v>
      </c>
      <c r="W64" s="1"/>
      <c r="X64" s="1">
        <f t="shared" si="36"/>
        <v>-7.15</v>
      </c>
      <c r="Y64" s="1"/>
      <c r="Z64" s="5">
        <f t="shared" si="37"/>
        <v>-7.0098039215686274</v>
      </c>
    </row>
    <row r="65" spans="1:26" s="24" customFormat="1" hidden="1" outlineLevel="2" x14ac:dyDescent="0.25">
      <c r="A65" s="29"/>
      <c r="B65" s="11" t="str">
        <f>CONCATENATE("          ", "6272", " - ", "CASH (OVER/SHORT)")</f>
        <v xml:space="preserve">          6272 - CASH (OVER/SHORT)</v>
      </c>
      <c r="C65" s="11"/>
      <c r="D65" s="7">
        <v>-6.13</v>
      </c>
      <c r="E65" s="2"/>
      <c r="F65" s="6">
        <f t="shared" si="30"/>
        <v>-1.190703962441351E-4</v>
      </c>
      <c r="G65" s="2"/>
      <c r="H65" s="7">
        <v>1.02</v>
      </c>
      <c r="I65" s="2"/>
      <c r="J65" s="6">
        <f t="shared" si="31"/>
        <v>2.0378199402279445E-5</v>
      </c>
      <c r="K65" s="2"/>
      <c r="L65" s="7">
        <f t="shared" si="32"/>
        <v>-7.15</v>
      </c>
      <c r="M65" s="2"/>
      <c r="N65" s="6">
        <f t="shared" si="33"/>
        <v>-7.0098039215686274</v>
      </c>
      <c r="O65" s="11"/>
      <c r="P65" s="7">
        <v>-6.13</v>
      </c>
      <c r="Q65" s="2"/>
      <c r="R65" s="6">
        <f t="shared" si="34"/>
        <v>-1.190703962441351E-4</v>
      </c>
      <c r="S65" s="2"/>
      <c r="T65" s="7">
        <v>1.02</v>
      </c>
      <c r="U65" s="2"/>
      <c r="V65" s="6">
        <f t="shared" si="35"/>
        <v>2.0378199402279445E-5</v>
      </c>
      <c r="W65" s="2"/>
      <c r="X65" s="7">
        <f t="shared" si="36"/>
        <v>-7.15</v>
      </c>
      <c r="Y65" s="2"/>
      <c r="Z65" s="6">
        <f t="shared" si="37"/>
        <v>-7.0098039215686274</v>
      </c>
    </row>
    <row r="66" spans="1:26" s="28" customFormat="1" outlineLevel="1" collapsed="1" x14ac:dyDescent="0.25">
      <c r="A66" s="27"/>
      <c r="B66" s="14" t="str">
        <f>CONCATENATE("     ","Bank/card Fees                                    ")</f>
        <v xml:space="preserve">     Bank/card Fees                                    </v>
      </c>
      <c r="C66" s="14"/>
      <c r="D66" s="1">
        <f>SUM(OSRRefD22_4x_0)</f>
        <v>677.71</v>
      </c>
      <c r="E66" s="1"/>
      <c r="F66" s="5">
        <f t="shared" si="30"/>
        <v>1.3163980136804698E-2</v>
      </c>
      <c r="G66" s="1"/>
      <c r="H66" s="1">
        <f>SUM(OSRRefH22_4x_0)</f>
        <v>1878.72</v>
      </c>
      <c r="I66" s="1"/>
      <c r="J66" s="5">
        <f t="shared" si="31"/>
        <v>3.7534245863774941E-2</v>
      </c>
      <c r="K66" s="1"/>
      <c r="L66" s="1">
        <f t="shared" si="32"/>
        <v>-1201.01</v>
      </c>
      <c r="M66" s="1"/>
      <c r="N66" s="5">
        <f t="shared" si="33"/>
        <v>-0.63927035428376766</v>
      </c>
      <c r="O66" s="14"/>
      <c r="P66" s="1">
        <f>SUM(OSRRefP22_4x_0)</f>
        <v>677.71</v>
      </c>
      <c r="Q66" s="1"/>
      <c r="R66" s="5">
        <f t="shared" si="34"/>
        <v>1.3163980136804698E-2</v>
      </c>
      <c r="S66" s="1"/>
      <c r="T66" s="1">
        <f>SUM(OSRRefT22_4x_0)</f>
        <v>1878.72</v>
      </c>
      <c r="U66" s="1"/>
      <c r="V66" s="5">
        <f t="shared" si="35"/>
        <v>3.7534245863774941E-2</v>
      </c>
      <c r="W66" s="1"/>
      <c r="X66" s="1">
        <f t="shared" si="36"/>
        <v>-1201.01</v>
      </c>
      <c r="Y66" s="1"/>
      <c r="Z66" s="5">
        <f t="shared" si="37"/>
        <v>-0.63927035428376766</v>
      </c>
    </row>
    <row r="67" spans="1:26" s="24" customFormat="1" hidden="1" outlineLevel="2" x14ac:dyDescent="0.25">
      <c r="A67" s="29"/>
      <c r="B67" s="11" t="str">
        <f>CONCATENATE("          ", "6381", " - ", "BANK/CREDIT CARD FEES")</f>
        <v xml:space="preserve">          6381 - BANK/CREDIT CARD FEES</v>
      </c>
      <c r="C67" s="11"/>
      <c r="D67" s="7">
        <v>677.71</v>
      </c>
      <c r="E67" s="2"/>
      <c r="F67" s="6">
        <f t="shared" si="30"/>
        <v>1.3163980136804698E-2</v>
      </c>
      <c r="G67" s="2"/>
      <c r="H67" s="7">
        <v>1878.72</v>
      </c>
      <c r="I67" s="2"/>
      <c r="J67" s="6">
        <f t="shared" si="31"/>
        <v>3.7534245863774941E-2</v>
      </c>
      <c r="K67" s="2"/>
      <c r="L67" s="7">
        <f t="shared" si="32"/>
        <v>-1201.01</v>
      </c>
      <c r="M67" s="2"/>
      <c r="N67" s="6">
        <f t="shared" si="33"/>
        <v>-0.63927035428376766</v>
      </c>
      <c r="O67" s="11"/>
      <c r="P67" s="7">
        <v>677.71</v>
      </c>
      <c r="Q67" s="2"/>
      <c r="R67" s="6">
        <f t="shared" si="34"/>
        <v>1.3163980136804698E-2</v>
      </c>
      <c r="S67" s="2"/>
      <c r="T67" s="7">
        <v>1878.72</v>
      </c>
      <c r="U67" s="2"/>
      <c r="V67" s="6">
        <f t="shared" si="35"/>
        <v>3.7534245863774941E-2</v>
      </c>
      <c r="W67" s="2"/>
      <c r="X67" s="7">
        <f t="shared" si="36"/>
        <v>-1201.01</v>
      </c>
      <c r="Y67" s="2"/>
      <c r="Z67" s="6">
        <f t="shared" si="37"/>
        <v>-0.63927035428376766</v>
      </c>
    </row>
    <row r="68" spans="1:26" s="28" customFormat="1" outlineLevel="1" collapsed="1" x14ac:dyDescent="0.25">
      <c r="A68" s="27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SUM(OSRRefD22_5x_0)</f>
        <v>6180.14</v>
      </c>
      <c r="E68" s="1"/>
      <c r="F68" s="5">
        <f t="shared" si="30"/>
        <v>0.12004432604310426</v>
      </c>
      <c r="G68" s="1"/>
      <c r="H68" s="1">
        <f>SUM(OSRRefH22_5x_0)</f>
        <v>3460.03</v>
      </c>
      <c r="I68" s="1"/>
      <c r="J68" s="5">
        <f t="shared" si="31"/>
        <v>6.912664831163623E-2</v>
      </c>
      <c r="K68" s="1"/>
      <c r="L68" s="1">
        <f t="shared" si="32"/>
        <v>2720.11</v>
      </c>
      <c r="M68" s="1"/>
      <c r="N68" s="5">
        <f t="shared" si="33"/>
        <v>0.78615214318950988</v>
      </c>
      <c r="O68" s="14"/>
      <c r="P68" s="1">
        <f>SUM(OSRRefP22_5x_0)</f>
        <v>6180.14</v>
      </c>
      <c r="Q68" s="1"/>
      <c r="R68" s="5">
        <f t="shared" si="34"/>
        <v>0.12004432604310426</v>
      </c>
      <c r="S68" s="1"/>
      <c r="T68" s="1">
        <f>SUM(OSRRefT22_5x_0)</f>
        <v>3460.03</v>
      </c>
      <c r="U68" s="1"/>
      <c r="V68" s="5">
        <f t="shared" si="35"/>
        <v>6.912664831163623E-2</v>
      </c>
      <c r="W68" s="1"/>
      <c r="X68" s="1">
        <f t="shared" si="36"/>
        <v>2720.11</v>
      </c>
      <c r="Y68" s="1"/>
      <c r="Z68" s="5">
        <f t="shared" si="37"/>
        <v>0.78615214318950988</v>
      </c>
    </row>
    <row r="69" spans="1:26" s="24" customFormat="1" hidden="1" outlineLevel="2" x14ac:dyDescent="0.25">
      <c r="A69" s="29"/>
      <c r="B69" s="11" t="str">
        <f>CONCATENATE("          ", "6382", " - ", "DISCOUNTS/MARK DOWNS")</f>
        <v xml:space="preserve">          6382 - DISCOUNTS/MARK DOWNS</v>
      </c>
      <c r="C69" s="11"/>
      <c r="D69" s="7">
        <v>6180.14</v>
      </c>
      <c r="E69" s="2"/>
      <c r="F69" s="6">
        <f t="shared" si="30"/>
        <v>0.12004432604310426</v>
      </c>
      <c r="G69" s="2"/>
      <c r="H69" s="7">
        <v>3460.03</v>
      </c>
      <c r="I69" s="2"/>
      <c r="J69" s="6">
        <f t="shared" si="31"/>
        <v>6.912664831163623E-2</v>
      </c>
      <c r="K69" s="2"/>
      <c r="L69" s="7">
        <f t="shared" si="32"/>
        <v>2720.11</v>
      </c>
      <c r="M69" s="2"/>
      <c r="N69" s="6">
        <f t="shared" si="33"/>
        <v>0.78615214318950988</v>
      </c>
      <c r="O69" s="11"/>
      <c r="P69" s="7">
        <v>6180.14</v>
      </c>
      <c r="Q69" s="2"/>
      <c r="R69" s="6">
        <f t="shared" si="34"/>
        <v>0.12004432604310426</v>
      </c>
      <c r="S69" s="2"/>
      <c r="T69" s="7">
        <v>3460.03</v>
      </c>
      <c r="U69" s="2"/>
      <c r="V69" s="6">
        <f t="shared" si="35"/>
        <v>6.912664831163623E-2</v>
      </c>
      <c r="W69" s="2"/>
      <c r="X69" s="7">
        <f t="shared" si="36"/>
        <v>2720.11</v>
      </c>
      <c r="Y69" s="2"/>
      <c r="Z69" s="6">
        <f t="shared" si="37"/>
        <v>0.78615214318950988</v>
      </c>
    </row>
    <row r="70" spans="1:26" s="28" customFormat="1" outlineLevel="1" collapsed="1" x14ac:dyDescent="0.25">
      <c r="A70" s="27"/>
      <c r="B70" s="14" t="str">
        <f>CONCATENATE("     ","Donations                                         ")</f>
        <v xml:space="preserve">     Donations                                         </v>
      </c>
      <c r="C70" s="14"/>
      <c r="D70" s="1">
        <f>SUM(OSRRefD22_6x_0)</f>
        <v>0</v>
      </c>
      <c r="E70" s="1"/>
      <c r="F70" s="5">
        <f t="shared" si="30"/>
        <v>0</v>
      </c>
      <c r="G70" s="1"/>
      <c r="H70" s="1">
        <f>SUM(OSRRefH22_6x_0)</f>
        <v>100</v>
      </c>
      <c r="I70" s="1"/>
      <c r="J70" s="5">
        <f t="shared" si="31"/>
        <v>1.9978626864979847E-3</v>
      </c>
      <c r="K70" s="1"/>
      <c r="L70" s="1">
        <f t="shared" si="32"/>
        <v>-100</v>
      </c>
      <c r="M70" s="1"/>
      <c r="N70" s="5">
        <f t="shared" si="33"/>
        <v>-1</v>
      </c>
      <c r="O70" s="14"/>
      <c r="P70" s="1">
        <f>SUM(OSRRefP22_6x_0)</f>
        <v>0</v>
      </c>
      <c r="Q70" s="1"/>
      <c r="R70" s="5">
        <f t="shared" si="34"/>
        <v>0</v>
      </c>
      <c r="S70" s="1"/>
      <c r="T70" s="1">
        <f>SUM(OSRRefT22_6x_0)</f>
        <v>100</v>
      </c>
      <c r="U70" s="1"/>
      <c r="V70" s="5">
        <f t="shared" si="35"/>
        <v>1.9978626864979847E-3</v>
      </c>
      <c r="W70" s="1"/>
      <c r="X70" s="1">
        <f t="shared" si="36"/>
        <v>-100</v>
      </c>
      <c r="Y70" s="1"/>
      <c r="Z70" s="5">
        <f t="shared" si="37"/>
        <v>-1</v>
      </c>
    </row>
    <row r="71" spans="1:26" s="24" customFormat="1" hidden="1" outlineLevel="2" x14ac:dyDescent="0.25">
      <c r="A71" s="29"/>
      <c r="B71" s="11" t="str">
        <f>CONCATENATE("          ", "6399", " - ", "DONATION-ON CAMPUS")</f>
        <v xml:space="preserve">          6399 - DONATION-ON CAMPUS</v>
      </c>
      <c r="C71" s="11"/>
      <c r="D71" s="7"/>
      <c r="E71" s="2"/>
      <c r="F71" s="6">
        <f t="shared" si="30"/>
        <v>0</v>
      </c>
      <c r="G71" s="2"/>
      <c r="H71" s="7">
        <v>100</v>
      </c>
      <c r="I71" s="2"/>
      <c r="J71" s="6">
        <f t="shared" si="31"/>
        <v>1.9978626864979847E-3</v>
      </c>
      <c r="K71" s="2"/>
      <c r="L71" s="7">
        <f t="shared" si="32"/>
        <v>-100</v>
      </c>
      <c r="M71" s="2"/>
      <c r="N71" s="6">
        <f t="shared" si="33"/>
        <v>-1</v>
      </c>
      <c r="O71" s="11"/>
      <c r="P71" s="7"/>
      <c r="Q71" s="2"/>
      <c r="R71" s="6">
        <f t="shared" si="34"/>
        <v>0</v>
      </c>
      <c r="S71" s="2"/>
      <c r="T71" s="7">
        <v>100</v>
      </c>
      <c r="U71" s="2"/>
      <c r="V71" s="6">
        <f t="shared" si="35"/>
        <v>1.9978626864979847E-3</v>
      </c>
      <c r="W71" s="2"/>
      <c r="X71" s="7">
        <f t="shared" si="36"/>
        <v>-100</v>
      </c>
      <c r="Y71" s="2"/>
      <c r="Z71" s="6">
        <f t="shared" si="37"/>
        <v>-1</v>
      </c>
    </row>
    <row r="72" spans="1:26" s="28" customFormat="1" outlineLevel="1" collapsed="1" x14ac:dyDescent="0.25">
      <c r="A72" s="27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SUM(OSRRefD22_7x_0)</f>
        <v>120.93</v>
      </c>
      <c r="E72" s="1"/>
      <c r="F72" s="5">
        <f t="shared" si="30"/>
        <v>2.3489694971946589E-3</v>
      </c>
      <c r="G72" s="1"/>
      <c r="H72" s="1">
        <f>SUM(OSRRefH22_7x_0)</f>
        <v>75.53</v>
      </c>
      <c r="I72" s="1"/>
      <c r="J72" s="5">
        <f t="shared" si="31"/>
        <v>1.5089856871119279E-3</v>
      </c>
      <c r="K72" s="1"/>
      <c r="L72" s="1">
        <f t="shared" si="32"/>
        <v>45.400000000000006</v>
      </c>
      <c r="M72" s="1"/>
      <c r="N72" s="5">
        <f t="shared" si="33"/>
        <v>0.60108566132662522</v>
      </c>
      <c r="O72" s="14"/>
      <c r="P72" s="1">
        <f>SUM(OSRRefP22_7x_0)</f>
        <v>120.93</v>
      </c>
      <c r="Q72" s="1"/>
      <c r="R72" s="5">
        <f t="shared" si="34"/>
        <v>2.3489694971946589E-3</v>
      </c>
      <c r="S72" s="1"/>
      <c r="T72" s="1">
        <f>SUM(OSRRefT22_7x_0)</f>
        <v>75.53</v>
      </c>
      <c r="U72" s="1"/>
      <c r="V72" s="5">
        <f t="shared" si="35"/>
        <v>1.5089856871119279E-3</v>
      </c>
      <c r="W72" s="1"/>
      <c r="X72" s="1">
        <f t="shared" si="36"/>
        <v>45.400000000000006</v>
      </c>
      <c r="Y72" s="1"/>
      <c r="Z72" s="5">
        <f t="shared" si="37"/>
        <v>0.60108566132662522</v>
      </c>
    </row>
    <row r="73" spans="1:26" s="24" customFormat="1" hidden="1" outlineLevel="2" x14ac:dyDescent="0.25">
      <c r="A73" s="29"/>
      <c r="B73" s="11" t="str">
        <f>CONCATENATE("          ", "6277", " - ", "EMPLOYEE APPRECIATION")</f>
        <v xml:space="preserve">          6277 - EMPLOYEE APPRECIATION</v>
      </c>
      <c r="C73" s="11"/>
      <c r="D73" s="7">
        <v>120.93</v>
      </c>
      <c r="E73" s="2"/>
      <c r="F73" s="6">
        <f t="shared" si="30"/>
        <v>2.3489694971946589E-3</v>
      </c>
      <c r="G73" s="2"/>
      <c r="H73" s="7">
        <v>75.53</v>
      </c>
      <c r="I73" s="2"/>
      <c r="J73" s="6">
        <f t="shared" si="31"/>
        <v>1.5089856871119279E-3</v>
      </c>
      <c r="K73" s="2"/>
      <c r="L73" s="7">
        <f t="shared" si="32"/>
        <v>45.400000000000006</v>
      </c>
      <c r="M73" s="2"/>
      <c r="N73" s="6">
        <f t="shared" si="33"/>
        <v>0.60108566132662522</v>
      </c>
      <c r="O73" s="11"/>
      <c r="P73" s="7">
        <v>120.93</v>
      </c>
      <c r="Q73" s="2"/>
      <c r="R73" s="6">
        <f t="shared" si="34"/>
        <v>2.3489694971946589E-3</v>
      </c>
      <c r="S73" s="2"/>
      <c r="T73" s="7">
        <v>75.53</v>
      </c>
      <c r="U73" s="2"/>
      <c r="V73" s="6">
        <f t="shared" si="35"/>
        <v>1.5089856871119279E-3</v>
      </c>
      <c r="W73" s="2"/>
      <c r="X73" s="7">
        <f t="shared" si="36"/>
        <v>45.400000000000006</v>
      </c>
      <c r="Y73" s="2"/>
      <c r="Z73" s="6">
        <f t="shared" si="37"/>
        <v>0.60108566132662522</v>
      </c>
    </row>
    <row r="74" spans="1:26" s="28" customFormat="1" outlineLevel="1" collapsed="1" x14ac:dyDescent="0.25">
      <c r="A74" s="27"/>
      <c r="B74" s="14" t="str">
        <f>CONCATENATE("     ","Insurance                                         ")</f>
        <v xml:space="preserve">     Insurance                                         </v>
      </c>
      <c r="C74" s="14"/>
      <c r="D74" s="1">
        <f>SUM(OSRRefD22_8x_0)</f>
        <v>161.18</v>
      </c>
      <c r="E74" s="1"/>
      <c r="F74" s="5">
        <f t="shared" si="30"/>
        <v>3.1307938771010925E-3</v>
      </c>
      <c r="G74" s="1"/>
      <c r="H74" s="1">
        <f>SUM(OSRRefH22_8x_0)</f>
        <v>151.85</v>
      </c>
      <c r="I74" s="1"/>
      <c r="J74" s="5">
        <f t="shared" si="31"/>
        <v>3.0337544894471899E-3</v>
      </c>
      <c r="K74" s="1"/>
      <c r="L74" s="1">
        <f t="shared" si="32"/>
        <v>9.3300000000000125</v>
      </c>
      <c r="M74" s="1"/>
      <c r="N74" s="5">
        <f t="shared" si="33"/>
        <v>6.1442212709911181E-2</v>
      </c>
      <c r="O74" s="14"/>
      <c r="P74" s="1">
        <f>SUM(OSRRefP22_8x_0)</f>
        <v>161.18</v>
      </c>
      <c r="Q74" s="1"/>
      <c r="R74" s="5">
        <f t="shared" si="34"/>
        <v>3.1307938771010925E-3</v>
      </c>
      <c r="S74" s="1"/>
      <c r="T74" s="1">
        <f>SUM(OSRRefT22_8x_0)</f>
        <v>151.85</v>
      </c>
      <c r="U74" s="1"/>
      <c r="V74" s="5">
        <f t="shared" si="35"/>
        <v>3.0337544894471899E-3</v>
      </c>
      <c r="W74" s="1"/>
      <c r="X74" s="1">
        <f t="shared" si="36"/>
        <v>9.3300000000000125</v>
      </c>
      <c r="Y74" s="1"/>
      <c r="Z74" s="5">
        <f t="shared" si="37"/>
        <v>6.1442212709911181E-2</v>
      </c>
    </row>
    <row r="75" spans="1:26" s="24" customFormat="1" hidden="1" outlineLevel="2" x14ac:dyDescent="0.25">
      <c r="A75" s="29"/>
      <c r="B75" s="11" t="str">
        <f>CONCATENATE("          ", "6314", " - ", "LIABILITY INSURANCE")</f>
        <v xml:space="preserve">          6314 - LIABILITY INSURANCE</v>
      </c>
      <c r="C75" s="11"/>
      <c r="D75" s="7">
        <v>161.18</v>
      </c>
      <c r="E75" s="2"/>
      <c r="F75" s="6">
        <f t="shared" si="30"/>
        <v>3.1307938771010925E-3</v>
      </c>
      <c r="G75" s="2"/>
      <c r="H75" s="7">
        <v>151.85</v>
      </c>
      <c r="I75" s="2"/>
      <c r="J75" s="6">
        <f t="shared" si="31"/>
        <v>3.0337544894471899E-3</v>
      </c>
      <c r="K75" s="2"/>
      <c r="L75" s="7">
        <f t="shared" si="32"/>
        <v>9.3300000000000125</v>
      </c>
      <c r="M75" s="2"/>
      <c r="N75" s="6">
        <f t="shared" si="33"/>
        <v>6.1442212709911181E-2</v>
      </c>
      <c r="O75" s="11"/>
      <c r="P75" s="7">
        <v>161.18</v>
      </c>
      <c r="Q75" s="2"/>
      <c r="R75" s="6">
        <f t="shared" si="34"/>
        <v>3.1307938771010925E-3</v>
      </c>
      <c r="S75" s="2"/>
      <c r="T75" s="7">
        <v>151.85</v>
      </c>
      <c r="U75" s="2"/>
      <c r="V75" s="6">
        <f t="shared" si="35"/>
        <v>3.0337544894471899E-3</v>
      </c>
      <c r="W75" s="2"/>
      <c r="X75" s="7">
        <f t="shared" si="36"/>
        <v>9.3300000000000125</v>
      </c>
      <c r="Y75" s="2"/>
      <c r="Z75" s="6">
        <f t="shared" si="37"/>
        <v>6.1442212709911181E-2</v>
      </c>
    </row>
    <row r="76" spans="1:26" s="28" customFormat="1" outlineLevel="1" collapsed="1" x14ac:dyDescent="0.25">
      <c r="A76" s="27"/>
      <c r="B76" s="14" t="str">
        <f>CONCATENATE("     ","Inventory Adjustment                              ")</f>
        <v xml:space="preserve">     Inventory Adjustment                              </v>
      </c>
      <c r="C76" s="14"/>
      <c r="D76" s="1">
        <f>SUM(OSRRefD22_9x_0)</f>
        <v>300</v>
      </c>
      <c r="E76" s="1"/>
      <c r="F76" s="5">
        <f t="shared" si="30"/>
        <v>5.8272624589299398E-3</v>
      </c>
      <c r="G76" s="1"/>
      <c r="H76" s="1">
        <f>SUM(OSRRefH22_9x_0)</f>
        <v>300</v>
      </c>
      <c r="I76" s="1"/>
      <c r="J76" s="5">
        <f t="shared" si="31"/>
        <v>5.9935880594939542E-3</v>
      </c>
      <c r="K76" s="1"/>
      <c r="L76" s="1">
        <f t="shared" si="32"/>
        <v>0</v>
      </c>
      <c r="M76" s="1"/>
      <c r="N76" s="5">
        <f t="shared" si="33"/>
        <v>0</v>
      </c>
      <c r="O76" s="14"/>
      <c r="P76" s="1">
        <f>SUM(OSRRefP22_9x_0)</f>
        <v>300</v>
      </c>
      <c r="Q76" s="1"/>
      <c r="R76" s="5">
        <f t="shared" si="34"/>
        <v>5.8272624589299398E-3</v>
      </c>
      <c r="S76" s="1"/>
      <c r="T76" s="1">
        <f>SUM(OSRRefT22_9x_0)</f>
        <v>300</v>
      </c>
      <c r="U76" s="1"/>
      <c r="V76" s="5">
        <f t="shared" si="35"/>
        <v>5.9935880594939542E-3</v>
      </c>
      <c r="W76" s="1"/>
      <c r="X76" s="1">
        <f t="shared" si="36"/>
        <v>0</v>
      </c>
      <c r="Y76" s="1"/>
      <c r="Z76" s="5">
        <f t="shared" si="37"/>
        <v>0</v>
      </c>
    </row>
    <row r="77" spans="1:26" s="24" customFormat="1" hidden="1" outlineLevel="2" x14ac:dyDescent="0.25">
      <c r="A77" s="29"/>
      <c r="B77" s="11" t="str">
        <f>CONCATENATE("          ", "6408", " - ", "INVENTORY ADJUSTMENT")</f>
        <v xml:space="preserve">          6408 - INVENTORY ADJUSTMENT</v>
      </c>
      <c r="C77" s="11"/>
      <c r="D77" s="7">
        <v>300</v>
      </c>
      <c r="E77" s="2"/>
      <c r="F77" s="6">
        <f t="shared" si="30"/>
        <v>5.8272624589299398E-3</v>
      </c>
      <c r="G77" s="2"/>
      <c r="H77" s="7">
        <v>300</v>
      </c>
      <c r="I77" s="2"/>
      <c r="J77" s="6">
        <f t="shared" si="31"/>
        <v>5.9935880594939542E-3</v>
      </c>
      <c r="K77" s="2"/>
      <c r="L77" s="7">
        <f t="shared" si="32"/>
        <v>0</v>
      </c>
      <c r="M77" s="2"/>
      <c r="N77" s="6">
        <f t="shared" si="33"/>
        <v>0</v>
      </c>
      <c r="O77" s="11"/>
      <c r="P77" s="7">
        <v>300</v>
      </c>
      <c r="Q77" s="2"/>
      <c r="R77" s="6">
        <f t="shared" si="34"/>
        <v>5.8272624589299398E-3</v>
      </c>
      <c r="S77" s="2"/>
      <c r="T77" s="7">
        <v>300</v>
      </c>
      <c r="U77" s="2"/>
      <c r="V77" s="6">
        <f t="shared" si="35"/>
        <v>5.9935880594939542E-3</v>
      </c>
      <c r="W77" s="2"/>
      <c r="X77" s="7">
        <f t="shared" si="36"/>
        <v>0</v>
      </c>
      <c r="Y77" s="2"/>
      <c r="Z77" s="6">
        <f t="shared" si="37"/>
        <v>0</v>
      </c>
    </row>
    <row r="78" spans="1:26" s="28" customFormat="1" outlineLevel="1" collapsed="1" x14ac:dyDescent="0.25">
      <c r="A78" s="27"/>
      <c r="B78" s="14" t="str">
        <f>CONCATENATE("     ","Professional Services                             ")</f>
        <v xml:space="preserve">     Professional Services                             </v>
      </c>
      <c r="C78" s="14"/>
      <c r="D78" s="1">
        <f>SUM(OSRRefD22_10x_0)</f>
        <v>750</v>
      </c>
      <c r="E78" s="1"/>
      <c r="F78" s="5">
        <f t="shared" si="30"/>
        <v>1.4568156147324849E-2</v>
      </c>
      <c r="G78" s="1"/>
      <c r="H78" s="1">
        <f>SUM(OSRRefH22_10x_0)</f>
        <v>750</v>
      </c>
      <c r="I78" s="1"/>
      <c r="J78" s="5">
        <f t="shared" si="31"/>
        <v>1.4983970148734886E-2</v>
      </c>
      <c r="K78" s="1"/>
      <c r="L78" s="1">
        <f t="shared" si="32"/>
        <v>0</v>
      </c>
      <c r="M78" s="1"/>
      <c r="N78" s="5">
        <f t="shared" si="33"/>
        <v>0</v>
      </c>
      <c r="O78" s="14"/>
      <c r="P78" s="1">
        <f>SUM(OSRRefP22_10x_0)</f>
        <v>750</v>
      </c>
      <c r="Q78" s="1"/>
      <c r="R78" s="5">
        <f t="shared" si="34"/>
        <v>1.4568156147324849E-2</v>
      </c>
      <c r="S78" s="1"/>
      <c r="T78" s="1">
        <f>SUM(OSRRefT22_10x_0)</f>
        <v>750</v>
      </c>
      <c r="U78" s="1"/>
      <c r="V78" s="5">
        <f t="shared" si="35"/>
        <v>1.4983970148734886E-2</v>
      </c>
      <c r="W78" s="1"/>
      <c r="X78" s="1">
        <f t="shared" si="36"/>
        <v>0</v>
      </c>
      <c r="Y78" s="1"/>
      <c r="Z78" s="5">
        <f t="shared" si="37"/>
        <v>0</v>
      </c>
    </row>
    <row r="79" spans="1:26" s="24" customFormat="1" hidden="1" outlineLevel="2" x14ac:dyDescent="0.25">
      <c r="A79" s="29"/>
      <c r="B79" s="11" t="str">
        <f>CONCATENATE("          ", "6336", " - ", "PROFESSIONAL SERVICES")</f>
        <v xml:space="preserve">          6336 - PROFESSIONAL SERVICES</v>
      </c>
      <c r="C79" s="11"/>
      <c r="D79" s="7">
        <v>750</v>
      </c>
      <c r="E79" s="2"/>
      <c r="F79" s="6">
        <f t="shared" si="30"/>
        <v>1.4568156147324849E-2</v>
      </c>
      <c r="G79" s="2"/>
      <c r="H79" s="7">
        <v>750</v>
      </c>
      <c r="I79" s="2"/>
      <c r="J79" s="6">
        <f t="shared" si="31"/>
        <v>1.4983970148734886E-2</v>
      </c>
      <c r="K79" s="2"/>
      <c r="L79" s="7">
        <f t="shared" si="32"/>
        <v>0</v>
      </c>
      <c r="M79" s="2"/>
      <c r="N79" s="6">
        <f t="shared" si="33"/>
        <v>0</v>
      </c>
      <c r="O79" s="11"/>
      <c r="P79" s="7">
        <v>750</v>
      </c>
      <c r="Q79" s="2"/>
      <c r="R79" s="6">
        <f t="shared" si="34"/>
        <v>1.4568156147324849E-2</v>
      </c>
      <c r="S79" s="2"/>
      <c r="T79" s="7">
        <v>750</v>
      </c>
      <c r="U79" s="2"/>
      <c r="V79" s="6">
        <f t="shared" si="35"/>
        <v>1.4983970148734886E-2</v>
      </c>
      <c r="W79" s="2"/>
      <c r="X79" s="7">
        <f t="shared" si="36"/>
        <v>0</v>
      </c>
      <c r="Y79" s="2"/>
      <c r="Z79" s="6">
        <f t="shared" si="37"/>
        <v>0</v>
      </c>
    </row>
    <row r="80" spans="1:26" s="28" customFormat="1" outlineLevel="1" collapsed="1" x14ac:dyDescent="0.25">
      <c r="A80" s="27"/>
      <c r="B80" s="14" t="str">
        <f>CONCATENATE("     ","Rent                                              ")</f>
        <v xml:space="preserve">     Rent                                              </v>
      </c>
      <c r="C80" s="14"/>
      <c r="D80" s="1">
        <f>SUM(OSRRefD22_11x_0)</f>
        <v>6900</v>
      </c>
      <c r="E80" s="1"/>
      <c r="F80" s="5">
        <f t="shared" si="30"/>
        <v>0.13402703655538861</v>
      </c>
      <c r="G80" s="1"/>
      <c r="H80" s="1">
        <f>SUM(OSRRefH22_11x_0)</f>
        <v>6900</v>
      </c>
      <c r="I80" s="1"/>
      <c r="J80" s="5">
        <f t="shared" si="31"/>
        <v>0.13785252536836096</v>
      </c>
      <c r="K80" s="1"/>
      <c r="L80" s="1">
        <f t="shared" si="32"/>
        <v>0</v>
      </c>
      <c r="M80" s="1"/>
      <c r="N80" s="5">
        <f t="shared" si="33"/>
        <v>0</v>
      </c>
      <c r="O80" s="14"/>
      <c r="P80" s="1">
        <f>SUM(OSRRefP22_11x_0)</f>
        <v>6900</v>
      </c>
      <c r="Q80" s="1"/>
      <c r="R80" s="5">
        <f t="shared" si="34"/>
        <v>0.13402703655538861</v>
      </c>
      <c r="S80" s="1"/>
      <c r="T80" s="1">
        <f>SUM(OSRRefT22_11x_0)</f>
        <v>6900</v>
      </c>
      <c r="U80" s="1"/>
      <c r="V80" s="5">
        <f t="shared" si="35"/>
        <v>0.13785252536836096</v>
      </c>
      <c r="W80" s="1"/>
      <c r="X80" s="1">
        <f t="shared" si="36"/>
        <v>0</v>
      </c>
      <c r="Y80" s="1"/>
      <c r="Z80" s="5">
        <f t="shared" si="37"/>
        <v>0</v>
      </c>
    </row>
    <row r="81" spans="1:26" s="24" customFormat="1" hidden="1" outlineLevel="2" x14ac:dyDescent="0.25">
      <c r="A81" s="29"/>
      <c r="B81" s="11" t="str">
        <f>CONCATENATE("          ", "6273", " - ", "RENT")</f>
        <v xml:space="preserve">          6273 - RENT</v>
      </c>
      <c r="C81" s="11"/>
      <c r="D81" s="7">
        <v>6900</v>
      </c>
      <c r="E81" s="2"/>
      <c r="F81" s="6">
        <f t="shared" si="30"/>
        <v>0.13402703655538861</v>
      </c>
      <c r="G81" s="2"/>
      <c r="H81" s="7">
        <v>6900</v>
      </c>
      <c r="I81" s="2"/>
      <c r="J81" s="6">
        <f t="shared" si="31"/>
        <v>0.13785252536836096</v>
      </c>
      <c r="K81" s="2"/>
      <c r="L81" s="7">
        <f t="shared" si="32"/>
        <v>0</v>
      </c>
      <c r="M81" s="2"/>
      <c r="N81" s="6">
        <f t="shared" si="33"/>
        <v>0</v>
      </c>
      <c r="O81" s="11"/>
      <c r="P81" s="7">
        <v>6900</v>
      </c>
      <c r="Q81" s="2"/>
      <c r="R81" s="6">
        <f t="shared" si="34"/>
        <v>0.13402703655538861</v>
      </c>
      <c r="S81" s="2"/>
      <c r="T81" s="7">
        <v>6900</v>
      </c>
      <c r="U81" s="2"/>
      <c r="V81" s="6">
        <f t="shared" si="35"/>
        <v>0.13785252536836096</v>
      </c>
      <c r="W81" s="2"/>
      <c r="X81" s="7">
        <f t="shared" si="36"/>
        <v>0</v>
      </c>
      <c r="Y81" s="2"/>
      <c r="Z81" s="6">
        <f t="shared" si="37"/>
        <v>0</v>
      </c>
    </row>
    <row r="82" spans="1:26" s="28" customFormat="1" outlineLevel="1" collapsed="1" x14ac:dyDescent="0.25">
      <c r="A82" s="27"/>
      <c r="B82" s="14" t="str">
        <f>CONCATENATE("     ","Services                                          ")</f>
        <v xml:space="preserve">     Services                                          </v>
      </c>
      <c r="C82" s="14"/>
      <c r="D82" s="1">
        <f>SUM(OSRRefD22_12x_0)</f>
        <v>241.37</v>
      </c>
      <c r="E82" s="1"/>
      <c r="F82" s="5">
        <f t="shared" si="30"/>
        <v>4.6884211323730655E-3</v>
      </c>
      <c r="G82" s="1"/>
      <c r="H82" s="1">
        <f>SUM(OSRRefH22_12x_0)</f>
        <v>129.55999999999997</v>
      </c>
      <c r="I82" s="1"/>
      <c r="J82" s="5">
        <f t="shared" si="31"/>
        <v>2.5884308966267885E-3</v>
      </c>
      <c r="K82" s="1"/>
      <c r="L82" s="1">
        <f t="shared" si="32"/>
        <v>111.81000000000003</v>
      </c>
      <c r="M82" s="1"/>
      <c r="N82" s="5">
        <f t="shared" si="33"/>
        <v>0.86299783883914827</v>
      </c>
      <c r="O82" s="14"/>
      <c r="P82" s="1">
        <f>SUM(OSRRefP22_12x_0)</f>
        <v>241.37</v>
      </c>
      <c r="Q82" s="1"/>
      <c r="R82" s="5">
        <f t="shared" si="34"/>
        <v>4.6884211323730655E-3</v>
      </c>
      <c r="S82" s="1"/>
      <c r="T82" s="1">
        <f>SUM(OSRRefT22_12x_0)</f>
        <v>129.55999999999997</v>
      </c>
      <c r="U82" s="1"/>
      <c r="V82" s="5">
        <f t="shared" si="35"/>
        <v>2.5884308966267885E-3</v>
      </c>
      <c r="W82" s="1"/>
      <c r="X82" s="1">
        <f t="shared" si="36"/>
        <v>111.81000000000003</v>
      </c>
      <c r="Y82" s="1"/>
      <c r="Z82" s="5">
        <f t="shared" si="37"/>
        <v>0.86299783883914827</v>
      </c>
    </row>
    <row r="83" spans="1:26" s="24" customFormat="1" hidden="1" outlineLevel="2" x14ac:dyDescent="0.25">
      <c r="A83" s="29"/>
      <c r="B83" s="11" t="str">
        <f>CONCATENATE("          ", "6283", " - ", "PLANT SERVICE")</f>
        <v xml:space="preserve">          6283 - PLANT SERVICE</v>
      </c>
      <c r="C83" s="11"/>
      <c r="D83" s="7">
        <v>59.55</v>
      </c>
      <c r="E83" s="2"/>
      <c r="F83" s="6">
        <f t="shared" si="30"/>
        <v>1.1567115980975929E-3</v>
      </c>
      <c r="G83" s="2"/>
      <c r="H83" s="7">
        <v>56</v>
      </c>
      <c r="I83" s="2"/>
      <c r="J83" s="6">
        <f t="shared" si="31"/>
        <v>1.1188031044388714E-3</v>
      </c>
      <c r="K83" s="2"/>
      <c r="L83" s="7">
        <f t="shared" si="32"/>
        <v>3.5499999999999972</v>
      </c>
      <c r="M83" s="2"/>
      <c r="N83" s="6">
        <f t="shared" si="33"/>
        <v>6.3392857142857098E-2</v>
      </c>
      <c r="O83" s="11"/>
      <c r="P83" s="7">
        <v>59.55</v>
      </c>
      <c r="Q83" s="2"/>
      <c r="R83" s="6">
        <f t="shared" si="34"/>
        <v>1.1567115980975929E-3</v>
      </c>
      <c r="S83" s="2"/>
      <c r="T83" s="7">
        <v>56</v>
      </c>
      <c r="U83" s="2"/>
      <c r="V83" s="6">
        <f t="shared" si="35"/>
        <v>1.1188031044388714E-3</v>
      </c>
      <c r="W83" s="2"/>
      <c r="X83" s="7">
        <f t="shared" si="36"/>
        <v>3.5499999999999972</v>
      </c>
      <c r="Y83" s="2"/>
      <c r="Z83" s="6">
        <f t="shared" si="37"/>
        <v>6.3392857142857098E-2</v>
      </c>
    </row>
    <row r="84" spans="1:26" s="24" customFormat="1" hidden="1" outlineLevel="2" x14ac:dyDescent="0.25">
      <c r="A84" s="29"/>
      <c r="B84" s="11" t="str">
        <f>CONCATENATE("          ", "6284", " - ", "TRASH REMOVAL EXPENSE")</f>
        <v xml:space="preserve">          6284 - TRASH REMOVAL EXPENSE</v>
      </c>
      <c r="C84" s="11"/>
      <c r="D84" s="7">
        <v>134.82</v>
      </c>
      <c r="E84" s="2"/>
      <c r="F84" s="6">
        <f t="shared" si="30"/>
        <v>2.6187717490431146E-3</v>
      </c>
      <c r="G84" s="2"/>
      <c r="H84" s="7">
        <v>121.46</v>
      </c>
      <c r="I84" s="2"/>
      <c r="J84" s="6">
        <f t="shared" si="31"/>
        <v>2.4266040190204521E-3</v>
      </c>
      <c r="K84" s="2"/>
      <c r="L84" s="7">
        <f t="shared" si="32"/>
        <v>13.36</v>
      </c>
      <c r="M84" s="2"/>
      <c r="N84" s="6">
        <f t="shared" si="33"/>
        <v>0.10999506010209123</v>
      </c>
      <c r="O84" s="11"/>
      <c r="P84" s="7">
        <v>134.82</v>
      </c>
      <c r="Q84" s="2"/>
      <c r="R84" s="6">
        <f t="shared" si="34"/>
        <v>2.6187717490431146E-3</v>
      </c>
      <c r="S84" s="2"/>
      <c r="T84" s="7">
        <v>121.46</v>
      </c>
      <c r="U84" s="2"/>
      <c r="V84" s="6">
        <f t="shared" si="35"/>
        <v>2.4266040190204521E-3</v>
      </c>
      <c r="W84" s="2"/>
      <c r="X84" s="7">
        <f t="shared" si="36"/>
        <v>13.36</v>
      </c>
      <c r="Y84" s="2"/>
      <c r="Z84" s="6">
        <f t="shared" si="37"/>
        <v>0.10999506010209123</v>
      </c>
    </row>
    <row r="85" spans="1:26" s="24" customFormat="1" hidden="1" outlineLevel="2" x14ac:dyDescent="0.25">
      <c r="A85" s="29"/>
      <c r="B85" s="11" t="str">
        <f>CONCATENATE("          ", "6285", " - ", "JANITORIAL SERVICES")</f>
        <v xml:space="preserve">          6285 - JANITORIAL SERVICES</v>
      </c>
      <c r="C85" s="11"/>
      <c r="D85" s="7">
        <v>47</v>
      </c>
      <c r="E85" s="2"/>
      <c r="F85" s="6">
        <f t="shared" si="30"/>
        <v>9.1293778523235717E-4</v>
      </c>
      <c r="G85" s="2"/>
      <c r="H85" s="7">
        <v>-47.9</v>
      </c>
      <c r="I85" s="2"/>
      <c r="J85" s="6">
        <f t="shared" si="31"/>
        <v>-9.5697622683253475E-4</v>
      </c>
      <c r="K85" s="2"/>
      <c r="L85" s="7">
        <f t="shared" si="32"/>
        <v>94.9</v>
      </c>
      <c r="M85" s="2"/>
      <c r="N85" s="6">
        <f t="shared" si="33"/>
        <v>-1.9812108559498958</v>
      </c>
      <c r="O85" s="11"/>
      <c r="P85" s="7">
        <v>47</v>
      </c>
      <c r="Q85" s="2"/>
      <c r="R85" s="6">
        <f t="shared" si="34"/>
        <v>9.1293778523235717E-4</v>
      </c>
      <c r="S85" s="2"/>
      <c r="T85" s="7">
        <v>-47.9</v>
      </c>
      <c r="U85" s="2"/>
      <c r="V85" s="6">
        <f t="shared" si="35"/>
        <v>-9.5697622683253475E-4</v>
      </c>
      <c r="W85" s="2"/>
      <c r="X85" s="7">
        <f t="shared" si="36"/>
        <v>94.9</v>
      </c>
      <c r="Y85" s="2"/>
      <c r="Z85" s="6">
        <f t="shared" si="37"/>
        <v>-1.9812108559498958</v>
      </c>
    </row>
    <row r="86" spans="1:26" s="28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SUM(OSRRefD22_13x_0)</f>
        <v>13.42</v>
      </c>
      <c r="E86" s="1"/>
      <c r="F86" s="5">
        <f t="shared" ref="F86:F92" si="38">IF(D$12=0,0,D86/D$12)</f>
        <v>2.6067287399613262E-4</v>
      </c>
      <c r="G86" s="1"/>
      <c r="H86" s="1">
        <f>SUM(OSRRefH22_13x_0)</f>
        <v>204.98</v>
      </c>
      <c r="I86" s="1"/>
      <c r="J86" s="5">
        <f t="shared" ref="J86:J92" si="39">IF(H$12=0,0,H86/H$12)</f>
        <v>4.0952189347835694E-3</v>
      </c>
      <c r="K86" s="1"/>
      <c r="L86" s="1">
        <f t="shared" ref="L86:L92" si="40">+D86-H86</f>
        <v>-191.56</v>
      </c>
      <c r="M86" s="1"/>
      <c r="N86" s="5">
        <f t="shared" ref="N86:N92" si="41">IF(H86=0,0,L86/H86)</f>
        <v>-0.93453019806810422</v>
      </c>
      <c r="O86" s="14"/>
      <c r="P86" s="1">
        <f>SUM(OSRRefP22_13x_0)</f>
        <v>13.42</v>
      </c>
      <c r="Q86" s="1"/>
      <c r="R86" s="5">
        <f t="shared" ref="R86:R92" si="42">IF(P$12=0,0,P86/P$12)</f>
        <v>2.6067287399613262E-4</v>
      </c>
      <c r="S86" s="1"/>
      <c r="T86" s="1">
        <f>SUM(OSRRefT22_13x_0)</f>
        <v>204.98</v>
      </c>
      <c r="U86" s="1"/>
      <c r="V86" s="5">
        <f t="shared" ref="V86:V92" si="43">IF(T$12=0,0,T86/T$12)</f>
        <v>4.0952189347835694E-3</v>
      </c>
      <c r="W86" s="1"/>
      <c r="X86" s="1">
        <f t="shared" ref="X86:X92" si="44">+P86-T86</f>
        <v>-191.56</v>
      </c>
      <c r="Y86" s="1"/>
      <c r="Z86" s="5">
        <f t="shared" ref="Z86:Z92" si="45">IF(T86=0,0,X86/T86)</f>
        <v>-0.93453019806810422</v>
      </c>
    </row>
    <row r="87" spans="1:26" s="24" customFormat="1" hidden="1" outlineLevel="2" x14ac:dyDescent="0.25">
      <c r="A87" s="29"/>
      <c r="B87" s="11" t="str">
        <f>CONCATENATE("          ", "6275", " - ", "SUBSCRIPTIONS")</f>
        <v xml:space="preserve">          6275 - SUBSCRIPTIONS</v>
      </c>
      <c r="C87" s="11"/>
      <c r="D87" s="7">
        <v>13.42</v>
      </c>
      <c r="E87" s="2"/>
      <c r="F87" s="6">
        <f t="shared" si="38"/>
        <v>2.6067287399613262E-4</v>
      </c>
      <c r="G87" s="2"/>
      <c r="H87" s="7">
        <v>204.98</v>
      </c>
      <c r="I87" s="2"/>
      <c r="J87" s="6">
        <f t="shared" si="39"/>
        <v>4.0952189347835694E-3</v>
      </c>
      <c r="K87" s="2"/>
      <c r="L87" s="7">
        <f t="shared" si="40"/>
        <v>-191.56</v>
      </c>
      <c r="M87" s="2"/>
      <c r="N87" s="6">
        <f t="shared" si="41"/>
        <v>-0.93453019806810422</v>
      </c>
      <c r="O87" s="11"/>
      <c r="P87" s="7">
        <v>13.42</v>
      </c>
      <c r="Q87" s="2"/>
      <c r="R87" s="6">
        <f t="shared" si="42"/>
        <v>2.6067287399613262E-4</v>
      </c>
      <c r="S87" s="2"/>
      <c r="T87" s="7">
        <v>204.98</v>
      </c>
      <c r="U87" s="2"/>
      <c r="V87" s="6">
        <f t="shared" si="43"/>
        <v>4.0952189347835694E-3</v>
      </c>
      <c r="W87" s="2"/>
      <c r="X87" s="7">
        <f t="shared" si="44"/>
        <v>-191.56</v>
      </c>
      <c r="Y87" s="2"/>
      <c r="Z87" s="6">
        <f t="shared" si="45"/>
        <v>-0.93453019806810422</v>
      </c>
    </row>
    <row r="88" spans="1:26" s="28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SUM(OSRRefD22_14x_0)</f>
        <v>664.73</v>
      </c>
      <c r="E88" s="1"/>
      <c r="F88" s="5">
        <f t="shared" si="38"/>
        <v>1.2911853914414996E-2</v>
      </c>
      <c r="G88" s="1"/>
      <c r="H88" s="1">
        <f>SUM(OSRRefH22_14x_0)</f>
        <v>1644.25</v>
      </c>
      <c r="I88" s="1"/>
      <c r="J88" s="5">
        <f t="shared" si="39"/>
        <v>3.2849857222743119E-2</v>
      </c>
      <c r="K88" s="1"/>
      <c r="L88" s="1">
        <f t="shared" si="40"/>
        <v>-979.52</v>
      </c>
      <c r="M88" s="1"/>
      <c r="N88" s="5">
        <f t="shared" si="41"/>
        <v>-0.59572449445035724</v>
      </c>
      <c r="O88" s="14"/>
      <c r="P88" s="1">
        <f>SUM(OSRRefP22_14x_0)</f>
        <v>664.73</v>
      </c>
      <c r="Q88" s="1"/>
      <c r="R88" s="5">
        <f t="shared" si="42"/>
        <v>1.2911853914414996E-2</v>
      </c>
      <c r="S88" s="1"/>
      <c r="T88" s="1">
        <f>SUM(OSRRefT22_14x_0)</f>
        <v>1644.25</v>
      </c>
      <c r="U88" s="1"/>
      <c r="V88" s="5">
        <f t="shared" si="43"/>
        <v>3.2849857222743119E-2</v>
      </c>
      <c r="W88" s="1"/>
      <c r="X88" s="1">
        <f t="shared" si="44"/>
        <v>-979.52</v>
      </c>
      <c r="Y88" s="1"/>
      <c r="Z88" s="5">
        <f t="shared" si="45"/>
        <v>-0.59572449445035724</v>
      </c>
    </row>
    <row r="89" spans="1:26" s="24" customFormat="1" hidden="1" outlineLevel="2" x14ac:dyDescent="0.25">
      <c r="A89" s="29"/>
      <c r="B89" s="11" t="str">
        <f>CONCATENATE("          ", "6237", " - ", "JANITORIAL SUPPLIES")</f>
        <v xml:space="preserve">          6237 - JANITORIAL SUPPLIES</v>
      </c>
      <c r="C89" s="11"/>
      <c r="D89" s="7"/>
      <c r="E89" s="2"/>
      <c r="F89" s="6">
        <f t="shared" si="38"/>
        <v>0</v>
      </c>
      <c r="G89" s="2"/>
      <c r="H89" s="7">
        <v>172.74</v>
      </c>
      <c r="I89" s="2"/>
      <c r="J89" s="6">
        <f t="shared" si="39"/>
        <v>3.4511080046566193E-3</v>
      </c>
      <c r="K89" s="2"/>
      <c r="L89" s="7">
        <f t="shared" si="40"/>
        <v>-172.74</v>
      </c>
      <c r="M89" s="2"/>
      <c r="N89" s="6">
        <f t="shared" si="41"/>
        <v>-1</v>
      </c>
      <c r="O89" s="11"/>
      <c r="P89" s="7"/>
      <c r="Q89" s="2"/>
      <c r="R89" s="6">
        <f t="shared" si="42"/>
        <v>0</v>
      </c>
      <c r="S89" s="2"/>
      <c r="T89" s="7">
        <v>172.74</v>
      </c>
      <c r="U89" s="2"/>
      <c r="V89" s="6">
        <f t="shared" si="43"/>
        <v>3.4511080046566193E-3</v>
      </c>
      <c r="W89" s="2"/>
      <c r="X89" s="7">
        <f t="shared" si="44"/>
        <v>-172.74</v>
      </c>
      <c r="Y89" s="2"/>
      <c r="Z89" s="6">
        <f t="shared" si="45"/>
        <v>-1</v>
      </c>
    </row>
    <row r="90" spans="1:26" s="24" customFormat="1" hidden="1" outlineLevel="2" x14ac:dyDescent="0.25">
      <c r="A90" s="29"/>
      <c r="B90" s="11" t="str">
        <f>CONCATENATE("          ", "6241", " - ", "OFFICE EXPENSE")</f>
        <v xml:space="preserve">          6241 - OFFICE EXPENSE</v>
      </c>
      <c r="C90" s="11"/>
      <c r="D90" s="7">
        <v>664.73</v>
      </c>
      <c r="E90" s="2"/>
      <c r="F90" s="6">
        <f t="shared" si="38"/>
        <v>1.2911853914414996E-2</v>
      </c>
      <c r="G90" s="2"/>
      <c r="H90" s="7">
        <v>646.26</v>
      </c>
      <c r="I90" s="2"/>
      <c r="J90" s="6">
        <f t="shared" si="39"/>
        <v>1.2911387397761877E-2</v>
      </c>
      <c r="K90" s="2"/>
      <c r="L90" s="7">
        <f t="shared" si="40"/>
        <v>18.470000000000027</v>
      </c>
      <c r="M90" s="2"/>
      <c r="N90" s="6">
        <f t="shared" si="41"/>
        <v>2.8579828551976029E-2</v>
      </c>
      <c r="O90" s="11"/>
      <c r="P90" s="7">
        <v>664.73</v>
      </c>
      <c r="Q90" s="2"/>
      <c r="R90" s="6">
        <f t="shared" si="42"/>
        <v>1.2911853914414996E-2</v>
      </c>
      <c r="S90" s="2"/>
      <c r="T90" s="7">
        <v>646.26</v>
      </c>
      <c r="U90" s="2"/>
      <c r="V90" s="6">
        <f t="shared" si="43"/>
        <v>1.2911387397761877E-2</v>
      </c>
      <c r="W90" s="2"/>
      <c r="X90" s="7">
        <f t="shared" si="44"/>
        <v>18.470000000000027</v>
      </c>
      <c r="Y90" s="2"/>
      <c r="Z90" s="6">
        <f t="shared" si="45"/>
        <v>2.8579828551976029E-2</v>
      </c>
    </row>
    <row r="91" spans="1:26" s="24" customFormat="1" hidden="1" outlineLevel="2" x14ac:dyDescent="0.25">
      <c r="A91" s="29"/>
      <c r="B91" s="11" t="str">
        <f>CONCATENATE("          ", "6245", " - ", "PRINTING")</f>
        <v xml:space="preserve">          6245 - PRINTING</v>
      </c>
      <c r="C91" s="11"/>
      <c r="D91" s="7"/>
      <c r="E91" s="2"/>
      <c r="F91" s="6">
        <f t="shared" si="38"/>
        <v>0</v>
      </c>
      <c r="G91" s="2"/>
      <c r="H91" s="7">
        <v>750.25</v>
      </c>
      <c r="I91" s="2"/>
      <c r="J91" s="6">
        <f t="shared" si="39"/>
        <v>1.4988964805451132E-2</v>
      </c>
      <c r="K91" s="2"/>
      <c r="L91" s="7">
        <f t="shared" si="40"/>
        <v>-750.25</v>
      </c>
      <c r="M91" s="2"/>
      <c r="N91" s="6">
        <f t="shared" si="41"/>
        <v>-1</v>
      </c>
      <c r="O91" s="11"/>
      <c r="P91" s="7"/>
      <c r="Q91" s="2"/>
      <c r="R91" s="6">
        <f t="shared" si="42"/>
        <v>0</v>
      </c>
      <c r="S91" s="2"/>
      <c r="T91" s="7">
        <v>750.25</v>
      </c>
      <c r="U91" s="2"/>
      <c r="V91" s="6">
        <f t="shared" si="43"/>
        <v>1.4988964805451132E-2</v>
      </c>
      <c r="W91" s="2"/>
      <c r="X91" s="7">
        <f t="shared" si="44"/>
        <v>-750.25</v>
      </c>
      <c r="Y91" s="2"/>
      <c r="Z91" s="6">
        <f t="shared" si="45"/>
        <v>-1</v>
      </c>
    </row>
    <row r="92" spans="1:26" s="24" customFormat="1" hidden="1" outlineLevel="2" x14ac:dyDescent="0.25">
      <c r="A92" s="29"/>
      <c r="B92" s="11" t="str">
        <f>CONCATENATE("          ", "6247", " - ", "STORE SUPPLIES")</f>
        <v xml:space="preserve">          6247 - STORE SUPPLIES</v>
      </c>
      <c r="C92" s="11"/>
      <c r="D92" s="7"/>
      <c r="E92" s="2"/>
      <c r="F92" s="6">
        <f t="shared" si="38"/>
        <v>0</v>
      </c>
      <c r="G92" s="2"/>
      <c r="H92" s="7">
        <v>75</v>
      </c>
      <c r="I92" s="2"/>
      <c r="J92" s="6">
        <f t="shared" si="39"/>
        <v>1.4983970148734886E-3</v>
      </c>
      <c r="K92" s="2"/>
      <c r="L92" s="7">
        <f t="shared" si="40"/>
        <v>-75</v>
      </c>
      <c r="M92" s="2"/>
      <c r="N92" s="6">
        <f t="shared" si="41"/>
        <v>-1</v>
      </c>
      <c r="O92" s="11"/>
      <c r="P92" s="7"/>
      <c r="Q92" s="2"/>
      <c r="R92" s="6">
        <f t="shared" si="42"/>
        <v>0</v>
      </c>
      <c r="S92" s="2"/>
      <c r="T92" s="7">
        <v>75</v>
      </c>
      <c r="U92" s="2"/>
      <c r="V92" s="6">
        <f t="shared" si="43"/>
        <v>1.4983970148734886E-3</v>
      </c>
      <c r="W92" s="2"/>
      <c r="X92" s="7">
        <f t="shared" si="44"/>
        <v>-75</v>
      </c>
      <c r="Y92" s="2"/>
      <c r="Z92" s="6">
        <f t="shared" si="45"/>
        <v>-1</v>
      </c>
    </row>
    <row r="93" spans="1:26" s="28" customFormat="1" outlineLevel="1" collapsed="1" x14ac:dyDescent="0.25">
      <c r="A93" s="27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SUM(OSRRefD22_15x_0)</f>
        <v>-70.36</v>
      </c>
      <c r="E93" s="1"/>
      <c r="F93" s="5">
        <f t="shared" ref="F93:F98" si="46">IF(D$12=0,0,D93/D$12)</f>
        <v>-1.3666872887010352E-3</v>
      </c>
      <c r="G93" s="1"/>
      <c r="H93" s="1">
        <f>SUM(OSRRefH22_15x_0)</f>
        <v>324.31</v>
      </c>
      <c r="I93" s="1"/>
      <c r="J93" s="5">
        <f t="shared" ref="J93:J98" si="47">IF(H$12=0,0,H93/H$12)</f>
        <v>6.4792684785816143E-3</v>
      </c>
      <c r="K93" s="1"/>
      <c r="L93" s="1">
        <f t="shared" ref="L93:L98" si="48">+D93-H93</f>
        <v>-394.67</v>
      </c>
      <c r="M93" s="1"/>
      <c r="N93" s="5">
        <f t="shared" ref="N93:N98" si="49">IF(H93=0,0,L93/H93)</f>
        <v>-1.216952915420431</v>
      </c>
      <c r="O93" s="14"/>
      <c r="P93" s="1">
        <f>SUM(OSRRefP22_15x_0)</f>
        <v>-70.36</v>
      </c>
      <c r="Q93" s="1"/>
      <c r="R93" s="5">
        <f t="shared" ref="R93:R98" si="50">IF(P$12=0,0,P93/P$12)</f>
        <v>-1.3666872887010352E-3</v>
      </c>
      <c r="S93" s="1"/>
      <c r="T93" s="1">
        <f>SUM(OSRRefT22_15x_0)</f>
        <v>324.31</v>
      </c>
      <c r="U93" s="1"/>
      <c r="V93" s="5">
        <f t="shared" ref="V93:V98" si="51">IF(T$12=0,0,T93/T$12)</f>
        <v>6.4792684785816143E-3</v>
      </c>
      <c r="W93" s="1"/>
      <c r="X93" s="1">
        <f t="shared" ref="X93:X98" si="52">+P93-T93</f>
        <v>-394.67</v>
      </c>
      <c r="Y93" s="1"/>
      <c r="Z93" s="5">
        <f t="shared" ref="Z93:Z98" si="53">IF(T93=0,0,X93/T93)</f>
        <v>-1.216952915420431</v>
      </c>
    </row>
    <row r="94" spans="1:26" s="24" customFormat="1" hidden="1" outlineLevel="2" x14ac:dyDescent="0.25">
      <c r="A94" s="29"/>
      <c r="B94" s="11" t="str">
        <f>CONCATENATE("          ", "6309", " - ", "TELEPHONE")</f>
        <v xml:space="preserve">          6309 - TELEPHONE</v>
      </c>
      <c r="C94" s="11"/>
      <c r="D94" s="7">
        <v>-70.36</v>
      </c>
      <c r="E94" s="2"/>
      <c r="F94" s="6">
        <f t="shared" si="46"/>
        <v>-1.3666872887010352E-3</v>
      </c>
      <c r="G94" s="2"/>
      <c r="H94" s="7">
        <v>324.31</v>
      </c>
      <c r="I94" s="2"/>
      <c r="J94" s="6">
        <f t="shared" si="47"/>
        <v>6.4792684785816143E-3</v>
      </c>
      <c r="K94" s="2"/>
      <c r="L94" s="7">
        <f t="shared" si="48"/>
        <v>-394.67</v>
      </c>
      <c r="M94" s="2"/>
      <c r="N94" s="6">
        <f t="shared" si="49"/>
        <v>-1.216952915420431</v>
      </c>
      <c r="O94" s="11"/>
      <c r="P94" s="7">
        <v>-70.36</v>
      </c>
      <c r="Q94" s="2"/>
      <c r="R94" s="6">
        <f t="shared" si="50"/>
        <v>-1.3666872887010352E-3</v>
      </c>
      <c r="S94" s="2"/>
      <c r="T94" s="7">
        <v>324.31</v>
      </c>
      <c r="U94" s="2"/>
      <c r="V94" s="6">
        <f t="shared" si="51"/>
        <v>6.4792684785816143E-3</v>
      </c>
      <c r="W94" s="2"/>
      <c r="X94" s="7">
        <f t="shared" si="52"/>
        <v>-394.67</v>
      </c>
      <c r="Y94" s="2"/>
      <c r="Z94" s="6">
        <f t="shared" si="53"/>
        <v>-1.216952915420431</v>
      </c>
    </row>
    <row r="95" spans="1:26" s="28" customFormat="1" outlineLevel="1" collapsed="1" x14ac:dyDescent="0.25">
      <c r="A95" s="27"/>
      <c r="B95" s="14" t="str">
        <f>CONCATENATE("     ","Travel                                            ")</f>
        <v xml:space="preserve">     Travel                                            </v>
      </c>
      <c r="C95" s="14"/>
      <c r="D95" s="1">
        <f>SUM(OSRRefD22_16x_0)</f>
        <v>0</v>
      </c>
      <c r="E95" s="1"/>
      <c r="F95" s="5">
        <f t="shared" si="46"/>
        <v>0</v>
      </c>
      <c r="G95" s="1"/>
      <c r="H95" s="1">
        <f>SUM(OSRRefH22_16x_0)</f>
        <v>57.71</v>
      </c>
      <c r="I95" s="1"/>
      <c r="J95" s="5">
        <f t="shared" si="47"/>
        <v>1.1529665563779871E-3</v>
      </c>
      <c r="K95" s="1"/>
      <c r="L95" s="1">
        <f t="shared" si="48"/>
        <v>-57.71</v>
      </c>
      <c r="M95" s="1"/>
      <c r="N95" s="5">
        <f t="shared" si="49"/>
        <v>-1</v>
      </c>
      <c r="O95" s="14"/>
      <c r="P95" s="1">
        <f>SUM(OSRRefP22_16x_0)</f>
        <v>0</v>
      </c>
      <c r="Q95" s="1"/>
      <c r="R95" s="5">
        <f t="shared" si="50"/>
        <v>0</v>
      </c>
      <c r="S95" s="1"/>
      <c r="T95" s="1">
        <f>SUM(OSRRefT22_16x_0)</f>
        <v>57.71</v>
      </c>
      <c r="U95" s="1"/>
      <c r="V95" s="5">
        <f t="shared" si="51"/>
        <v>1.1529665563779871E-3</v>
      </c>
      <c r="W95" s="1"/>
      <c r="X95" s="1">
        <f t="shared" si="52"/>
        <v>-57.71</v>
      </c>
      <c r="Y95" s="1"/>
      <c r="Z95" s="5">
        <f t="shared" si="53"/>
        <v>-1</v>
      </c>
    </row>
    <row r="96" spans="1:26" s="24" customFormat="1" hidden="1" outlineLevel="2" x14ac:dyDescent="0.25">
      <c r="A96" s="29"/>
      <c r="B96" s="11" t="str">
        <f>CONCATENATE("          ", "6294", " - ", "TRAVEL OPERATIONAL")</f>
        <v xml:space="preserve">          6294 - TRAVEL OPERATIONAL</v>
      </c>
      <c r="C96" s="11"/>
      <c r="D96" s="7"/>
      <c r="E96" s="2"/>
      <c r="F96" s="6">
        <f t="shared" si="46"/>
        <v>0</v>
      </c>
      <c r="G96" s="2"/>
      <c r="H96" s="7">
        <v>57.71</v>
      </c>
      <c r="I96" s="2"/>
      <c r="J96" s="6">
        <f t="shared" si="47"/>
        <v>1.1529665563779871E-3</v>
      </c>
      <c r="K96" s="2"/>
      <c r="L96" s="7">
        <f t="shared" si="48"/>
        <v>-57.71</v>
      </c>
      <c r="M96" s="2"/>
      <c r="N96" s="6">
        <f t="shared" si="49"/>
        <v>-1</v>
      </c>
      <c r="O96" s="11"/>
      <c r="P96" s="7"/>
      <c r="Q96" s="2"/>
      <c r="R96" s="6">
        <f t="shared" si="50"/>
        <v>0</v>
      </c>
      <c r="S96" s="2"/>
      <c r="T96" s="7">
        <v>57.71</v>
      </c>
      <c r="U96" s="2"/>
      <c r="V96" s="6">
        <f t="shared" si="51"/>
        <v>1.1529665563779871E-3</v>
      </c>
      <c r="W96" s="2"/>
      <c r="X96" s="7">
        <f t="shared" si="52"/>
        <v>-57.71</v>
      </c>
      <c r="Y96" s="2"/>
      <c r="Z96" s="6">
        <f t="shared" si="53"/>
        <v>-1</v>
      </c>
    </row>
    <row r="97" spans="1:26" s="28" customFormat="1" outlineLevel="1" collapsed="1" x14ac:dyDescent="0.25">
      <c r="A97" s="27"/>
      <c r="B97" s="14" t="str">
        <f>CONCATENATE("     ","Utilities                                         ")</f>
        <v xml:space="preserve">     Utilities                                         </v>
      </c>
      <c r="C97" s="14"/>
      <c r="D97" s="1">
        <f>SUM(OSRRefD22_17x_0)</f>
        <v>43</v>
      </c>
      <c r="E97" s="1"/>
      <c r="F97" s="5">
        <f t="shared" si="46"/>
        <v>8.3524095244662472E-4</v>
      </c>
      <c r="G97" s="1"/>
      <c r="H97" s="1">
        <f>SUM(OSRRefH22_17x_0)</f>
        <v>65.25</v>
      </c>
      <c r="I97" s="1"/>
      <c r="J97" s="5">
        <f t="shared" si="47"/>
        <v>1.3036054029399351E-3</v>
      </c>
      <c r="K97" s="1"/>
      <c r="L97" s="1">
        <f t="shared" si="48"/>
        <v>-22.25</v>
      </c>
      <c r="M97" s="1"/>
      <c r="N97" s="5">
        <f t="shared" si="49"/>
        <v>-0.34099616858237547</v>
      </c>
      <c r="O97" s="14"/>
      <c r="P97" s="1">
        <f>SUM(OSRRefP22_17x_0)</f>
        <v>43</v>
      </c>
      <c r="Q97" s="1"/>
      <c r="R97" s="5">
        <f t="shared" si="50"/>
        <v>8.3524095244662472E-4</v>
      </c>
      <c r="S97" s="1"/>
      <c r="T97" s="1">
        <f>SUM(OSRRefT22_17x_0)</f>
        <v>65.25</v>
      </c>
      <c r="U97" s="1"/>
      <c r="V97" s="5">
        <f t="shared" si="51"/>
        <v>1.3036054029399351E-3</v>
      </c>
      <c r="W97" s="1"/>
      <c r="X97" s="1">
        <f t="shared" si="52"/>
        <v>-22.25</v>
      </c>
      <c r="Y97" s="1"/>
      <c r="Z97" s="5">
        <f t="shared" si="53"/>
        <v>-0.34099616858237547</v>
      </c>
    </row>
    <row r="98" spans="1:26" s="24" customFormat="1" hidden="1" outlineLevel="2" x14ac:dyDescent="0.25">
      <c r="A98" s="29"/>
      <c r="B98" s="11" t="str">
        <f>CONCATENATE("          ", "6274", " - ", "UTILITIES")</f>
        <v xml:space="preserve">          6274 - UTILITIES</v>
      </c>
      <c r="C98" s="11"/>
      <c r="D98" s="7">
        <v>43</v>
      </c>
      <c r="E98" s="2"/>
      <c r="F98" s="6">
        <f t="shared" si="46"/>
        <v>8.3524095244662472E-4</v>
      </c>
      <c r="G98" s="2"/>
      <c r="H98" s="7">
        <v>65.25</v>
      </c>
      <c r="I98" s="2"/>
      <c r="J98" s="6">
        <f t="shared" si="47"/>
        <v>1.3036054029399351E-3</v>
      </c>
      <c r="K98" s="2"/>
      <c r="L98" s="7">
        <f t="shared" si="48"/>
        <v>-22.25</v>
      </c>
      <c r="M98" s="2"/>
      <c r="N98" s="6">
        <f t="shared" si="49"/>
        <v>-0.34099616858237547</v>
      </c>
      <c r="O98" s="11"/>
      <c r="P98" s="7">
        <v>43</v>
      </c>
      <c r="Q98" s="2"/>
      <c r="R98" s="6">
        <f t="shared" si="50"/>
        <v>8.3524095244662472E-4</v>
      </c>
      <c r="S98" s="2"/>
      <c r="T98" s="7">
        <v>65.25</v>
      </c>
      <c r="U98" s="2"/>
      <c r="V98" s="6">
        <f t="shared" si="51"/>
        <v>1.3036054029399351E-3</v>
      </c>
      <c r="W98" s="2"/>
      <c r="X98" s="7">
        <f t="shared" si="52"/>
        <v>-22.25</v>
      </c>
      <c r="Y98" s="2"/>
      <c r="Z98" s="6">
        <f t="shared" si="53"/>
        <v>-0.34099616858237547</v>
      </c>
    </row>
    <row r="99" spans="1:26" s="54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6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5" t="s">
        <v>3</v>
      </c>
      <c r="C102" s="25"/>
      <c r="D102" s="21">
        <f>+D45-D47+D100</f>
        <v>2514.5200000000004</v>
      </c>
      <c r="E102" s="13"/>
      <c r="F102" s="20">
        <f>IF(D$12=0,0,D102/D$12)</f>
        <v>4.884255999409505E-2</v>
      </c>
      <c r="G102" s="13"/>
      <c r="H102" s="21">
        <f>+H45-H47+H100</f>
        <v>-6029.4600000000028</v>
      </c>
      <c r="I102" s="13"/>
      <c r="J102" s="20">
        <f>IF(H$12=0,0,H102/H$12)</f>
        <v>-0.12046033153732146</v>
      </c>
      <c r="K102" s="16"/>
      <c r="L102" s="21">
        <f>+D102-H102</f>
        <v>8543.9800000000032</v>
      </c>
      <c r="M102" s="16"/>
      <c r="N102" s="20">
        <f>IF(H102=0,0,L102/H102)</f>
        <v>-1.4170390051513733</v>
      </c>
      <c r="O102" s="26"/>
      <c r="P102" s="21">
        <f>+P45-P47+P100</f>
        <v>2514.5200000000004</v>
      </c>
      <c r="Q102" s="13"/>
      <c r="R102" s="20">
        <f>IF(P$12=0,0,P102/P$12)</f>
        <v>4.884255999409505E-2</v>
      </c>
      <c r="S102" s="13"/>
      <c r="T102" s="21">
        <f>+T45-T47+T100</f>
        <v>-6029.4600000000028</v>
      </c>
      <c r="U102" s="13"/>
      <c r="V102" s="20">
        <f>IF(T$12=0,0,T102/T$12)</f>
        <v>-0.12046033153732146</v>
      </c>
      <c r="W102" s="16"/>
      <c r="X102" s="21">
        <f>+P102-T102</f>
        <v>8543.9800000000032</v>
      </c>
      <c r="Y102" s="16"/>
      <c r="Z102" s="20">
        <f>IF(T102=0,0,X102/T102)</f>
        <v>-1.4170390051513733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10704.66</v>
      </c>
      <c r="E104" s="4"/>
      <c r="F104" s="12">
        <f>IF(D$12=0,0,D104/D$12)</f>
        <v>0.20792954451202988</v>
      </c>
      <c r="G104" s="4"/>
      <c r="H104" s="4">
        <v>10276.01</v>
      </c>
      <c r="I104" s="4"/>
      <c r="J104" s="12">
        <f>IF(H$12=0,0,H104/H$12)</f>
        <v>0.20530056945080158</v>
      </c>
      <c r="K104" s="4"/>
      <c r="L104" s="4">
        <f>+D104-H104</f>
        <v>428.64999999999964</v>
      </c>
      <c r="M104" s="4"/>
      <c r="N104" s="12">
        <f>IF(H104=0,0,L104/H104)</f>
        <v>4.1713661236219078E-2</v>
      </c>
      <c r="O104" s="10"/>
      <c r="P104" s="4">
        <v>10704.66</v>
      </c>
      <c r="Q104" s="4"/>
      <c r="R104" s="12">
        <f>IF(P$12=0,0,P104/P$12)</f>
        <v>0.20792954451202988</v>
      </c>
      <c r="S104" s="4"/>
      <c r="T104" s="4">
        <v>10276.01</v>
      </c>
      <c r="U104" s="4"/>
      <c r="V104" s="12">
        <f>IF(T$12=0,0,T104/T$12)</f>
        <v>0.20530056945080158</v>
      </c>
      <c r="W104" s="4"/>
      <c r="X104" s="4">
        <f>+P104-T104</f>
        <v>428.64999999999964</v>
      </c>
      <c r="Y104" s="4"/>
      <c r="Z104" s="12">
        <f>IF(T104=0,0,X104/T104)</f>
        <v>4.1713661236219078E-2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4</v>
      </c>
      <c r="C106" s="25"/>
      <c r="D106" s="33">
        <f>+D102-D104</f>
        <v>-8190.1399999999994</v>
      </c>
      <c r="E106" s="13"/>
      <c r="F106" s="34">
        <f>IF(D$12=0,0,D106/D$12)</f>
        <v>-0.15908698451793485</v>
      </c>
      <c r="G106" s="13"/>
      <c r="H106" s="33">
        <f>+H102-H104</f>
        <v>-16305.470000000003</v>
      </c>
      <c r="I106" s="13"/>
      <c r="J106" s="34">
        <f>IF(H$12=0,0,H106/H$12)</f>
        <v>-0.32576090098812305</v>
      </c>
      <c r="K106" s="16"/>
      <c r="L106" s="33">
        <f>D106-H106</f>
        <v>8115.3300000000036</v>
      </c>
      <c r="M106" s="16"/>
      <c r="N106" s="34">
        <f>IF(H106=0,0,L106/H106)</f>
        <v>-0.4977059845561031</v>
      </c>
      <c r="O106" s="26"/>
      <c r="P106" s="33">
        <f>+P102-P104</f>
        <v>-8190.1399999999994</v>
      </c>
      <c r="Q106" s="13"/>
      <c r="R106" s="34">
        <f>IF(P$12=0,0,P106/P$12)</f>
        <v>-0.15908698451793485</v>
      </c>
      <c r="S106" s="13"/>
      <c r="T106" s="33">
        <f>+T102-T104</f>
        <v>-16305.470000000003</v>
      </c>
      <c r="U106" s="13"/>
      <c r="V106" s="34">
        <f>IF(T$12=0,0,T106/T$12)</f>
        <v>-0.32576090098812305</v>
      </c>
      <c r="W106" s="16"/>
      <c r="X106" s="33">
        <f>P106-T106</f>
        <v>8115.3300000000036</v>
      </c>
      <c r="Y106" s="16"/>
      <c r="Z106" s="34">
        <f>IF(T106=0,0,X106/T106)</f>
        <v>-0.4977059845561031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5</v>
      </c>
      <c r="C109" s="25"/>
      <c r="D109" s="31">
        <f>SUM(D106:D108)</f>
        <v>-8190.1399999999994</v>
      </c>
      <c r="E109" s="13"/>
      <c r="F109" s="30">
        <f>IF(D$12=0,0,D109/D$12)</f>
        <v>-0.15908698451793485</v>
      </c>
      <c r="G109" s="13"/>
      <c r="H109" s="31">
        <f>SUM(H106:H108)</f>
        <v>-16305.470000000003</v>
      </c>
      <c r="I109" s="13"/>
      <c r="J109" s="30">
        <f>IF(H$12=0,0,H109/H$12)</f>
        <v>-0.32576090098812305</v>
      </c>
      <c r="K109" s="16"/>
      <c r="L109" s="31">
        <f>+D109-H109</f>
        <v>8115.3300000000036</v>
      </c>
      <c r="M109" s="16"/>
      <c r="N109" s="30">
        <f>IF(H109=0,0,L109/H109)</f>
        <v>-0.4977059845561031</v>
      </c>
      <c r="O109" s="26"/>
      <c r="P109" s="31">
        <f>SUM(P106:P108)</f>
        <v>-8190.1399999999994</v>
      </c>
      <c r="Q109" s="13"/>
      <c r="R109" s="30">
        <f>IF(P$12=0,0,P109/P$12)</f>
        <v>-0.15908698451793485</v>
      </c>
      <c r="S109" s="13"/>
      <c r="T109" s="31">
        <f>SUM(T106:T108)</f>
        <v>-16305.470000000003</v>
      </c>
      <c r="U109" s="13"/>
      <c r="V109" s="30">
        <f>IF(T$12=0,0,T109/T$12)</f>
        <v>-0.32576090098812305</v>
      </c>
      <c r="W109" s="16"/>
      <c r="X109" s="31">
        <f>+P109-T109</f>
        <v>8115.3300000000036</v>
      </c>
      <c r="Y109" s="16"/>
      <c r="Z109" s="30">
        <f>IF(T109=0,0,X109/T109)</f>
        <v>-0.4977059845561031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6">
        <v>43726.682082754633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3" t="s">
        <v>313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9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303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8909.0899999999983</v>
      </c>
      <c r="E12" s="4"/>
      <c r="F12" s="12"/>
      <c r="G12" s="4"/>
      <c r="H12" s="4">
        <f>SUM(OSRRefH13x_0)</f>
        <v>14600.220000000001</v>
      </c>
      <c r="I12" s="4"/>
      <c r="J12" s="12"/>
      <c r="K12" s="4"/>
      <c r="L12" s="4">
        <f t="shared" ref="L12:L25" si="0">+D12-H12</f>
        <v>-5691.1300000000028</v>
      </c>
      <c r="M12" s="4"/>
      <c r="N12" s="12">
        <f t="shared" ref="N12:N25" si="1">IF(H12=0,0,L12/H12)</f>
        <v>-0.3897975509958071</v>
      </c>
      <c r="O12" s="10"/>
      <c r="P12" s="4">
        <f>SUM(OSRRefP13x_0)</f>
        <v>8909.0899999999983</v>
      </c>
      <c r="Q12" s="4"/>
      <c r="R12" s="12"/>
      <c r="S12" s="4"/>
      <c r="T12" s="4">
        <f>SUM(OSRRefT13x_0)</f>
        <v>14600.220000000001</v>
      </c>
      <c r="U12" s="4"/>
      <c r="V12" s="12"/>
      <c r="W12" s="4"/>
      <c r="X12" s="4">
        <f t="shared" ref="X12:X25" si="2">+P12-T12</f>
        <v>-5691.1300000000028</v>
      </c>
      <c r="Y12" s="4"/>
      <c r="Z12" s="12">
        <f t="shared" ref="Z12:Z25" si="3">IF(T12=0,0,X12/T12)</f>
        <v>-0.3897975509958071</v>
      </c>
    </row>
    <row r="13" spans="1:26" s="24" customFormat="1" hidden="1" outlineLevel="1" x14ac:dyDescent="0.25">
      <c r="A13" s="50"/>
      <c r="B13" s="11" t="str">
        <f>CONCATENATE("          ", "4041", " - ", "TAXABLE SALES-LOGO GIFTS")</f>
        <v xml:space="preserve">          4041 - TAXABLE SALES-LOGO GIFTS</v>
      </c>
      <c r="C13" s="11"/>
      <c r="D13" s="2">
        <f>--463.7</f>
        <v>463.7</v>
      </c>
      <c r="E13" s="2"/>
      <c r="F13" s="22"/>
      <c r="G13" s="2"/>
      <c r="H13" s="2">
        <f>--4877.6</f>
        <v>4877.6000000000004</v>
      </c>
      <c r="I13" s="2"/>
      <c r="J13" s="22"/>
      <c r="K13" s="2"/>
      <c r="L13" s="2">
        <f t="shared" si="0"/>
        <v>-4413.9000000000005</v>
      </c>
      <c r="M13" s="2"/>
      <c r="N13" s="22">
        <f t="shared" si="1"/>
        <v>-0.90493275381335092</v>
      </c>
      <c r="O13" s="11"/>
      <c r="P13" s="2">
        <f>--463.7</f>
        <v>463.7</v>
      </c>
      <c r="Q13" s="2"/>
      <c r="R13" s="22"/>
      <c r="S13" s="2"/>
      <c r="T13" s="2">
        <f>--4877.6</f>
        <v>4877.6000000000004</v>
      </c>
      <c r="U13" s="2"/>
      <c r="V13" s="22"/>
      <c r="W13" s="2"/>
      <c r="X13" s="2">
        <f t="shared" si="2"/>
        <v>-4413.9000000000005</v>
      </c>
      <c r="Y13" s="2"/>
      <c r="Z13" s="22">
        <f t="shared" si="3"/>
        <v>-0.90493275381335092</v>
      </c>
    </row>
    <row r="14" spans="1:26" s="24" customFormat="1" hidden="1" outlineLevel="1" x14ac:dyDescent="0.25">
      <c r="A14" s="50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--4059.92</f>
        <v>4059.92</v>
      </c>
      <c r="E14" s="2"/>
      <c r="F14" s="22"/>
      <c r="G14" s="2"/>
      <c r="H14" s="2">
        <f>--3995.61</f>
        <v>3995.61</v>
      </c>
      <c r="I14" s="2"/>
      <c r="J14" s="22"/>
      <c r="K14" s="2"/>
      <c r="L14" s="2">
        <f t="shared" si="0"/>
        <v>64.309999999999945</v>
      </c>
      <c r="M14" s="2"/>
      <c r="N14" s="22">
        <f t="shared" si="1"/>
        <v>1.6095164442976151E-2</v>
      </c>
      <c r="O14" s="11"/>
      <c r="P14" s="2">
        <f>--4059.92</f>
        <v>4059.92</v>
      </c>
      <c r="Q14" s="2"/>
      <c r="R14" s="22"/>
      <c r="S14" s="2"/>
      <c r="T14" s="2">
        <f>--3995.61</f>
        <v>3995.61</v>
      </c>
      <c r="U14" s="2"/>
      <c r="V14" s="22"/>
      <c r="W14" s="2"/>
      <c r="X14" s="2">
        <f t="shared" si="2"/>
        <v>64.309999999999945</v>
      </c>
      <c r="Y14" s="2"/>
      <c r="Z14" s="22">
        <f t="shared" si="3"/>
        <v>1.6095164442976151E-2</v>
      </c>
    </row>
    <row r="15" spans="1:26" s="24" customFormat="1" hidden="1" outlineLevel="1" x14ac:dyDescent="0.25">
      <c r="A15" s="50"/>
      <c r="B15" s="11" t="str">
        <f>CONCATENATE("          ", "4043", " - ", "TAXABLE SALES-CARDS")</f>
        <v xml:space="preserve">          4043 - TAXABLE SALES-CARDS</v>
      </c>
      <c r="C15" s="11"/>
      <c r="D15" s="2">
        <f>--15.55</f>
        <v>15.55</v>
      </c>
      <c r="E15" s="2"/>
      <c r="F15" s="22"/>
      <c r="G15" s="2"/>
      <c r="H15" s="2">
        <f>--87</f>
        <v>87</v>
      </c>
      <c r="I15" s="2"/>
      <c r="J15" s="22"/>
      <c r="K15" s="2"/>
      <c r="L15" s="2">
        <f t="shared" si="0"/>
        <v>-71.45</v>
      </c>
      <c r="M15" s="2"/>
      <c r="N15" s="22">
        <f t="shared" si="1"/>
        <v>-0.82126436781609202</v>
      </c>
      <c r="O15" s="11"/>
      <c r="P15" s="2">
        <f>--15.55</f>
        <v>15.55</v>
      </c>
      <c r="Q15" s="2"/>
      <c r="R15" s="22"/>
      <c r="S15" s="2"/>
      <c r="T15" s="2">
        <f>--87</f>
        <v>87</v>
      </c>
      <c r="U15" s="2"/>
      <c r="V15" s="22"/>
      <c r="W15" s="2"/>
      <c r="X15" s="2">
        <f t="shared" si="2"/>
        <v>-71.45</v>
      </c>
      <c r="Y15" s="2"/>
      <c r="Z15" s="22">
        <f t="shared" si="3"/>
        <v>-0.82126436781609202</v>
      </c>
    </row>
    <row r="16" spans="1:26" s="24" customFormat="1" hidden="1" outlineLevel="1" x14ac:dyDescent="0.25">
      <c r="A16" s="50"/>
      <c r="B16" s="11" t="str">
        <f>CONCATENATE("          ", "4047", " - ", "TAXABLE SALES-MISC")</f>
        <v xml:space="preserve">          4047 - TAXABLE SALES-MISC</v>
      </c>
      <c r="C16" s="11"/>
      <c r="D16" s="2">
        <f>--40</f>
        <v>40</v>
      </c>
      <c r="E16" s="2"/>
      <c r="F16" s="22"/>
      <c r="G16" s="2"/>
      <c r="H16" s="2">
        <f>--49.99</f>
        <v>49.99</v>
      </c>
      <c r="I16" s="2"/>
      <c r="J16" s="22"/>
      <c r="K16" s="2"/>
      <c r="L16" s="2">
        <f t="shared" si="0"/>
        <v>-9.990000000000002</v>
      </c>
      <c r="M16" s="2"/>
      <c r="N16" s="22">
        <f t="shared" si="1"/>
        <v>-0.19983996799359874</v>
      </c>
      <c r="O16" s="11"/>
      <c r="P16" s="2">
        <f>--40</f>
        <v>40</v>
      </c>
      <c r="Q16" s="2"/>
      <c r="R16" s="22"/>
      <c r="S16" s="2"/>
      <c r="T16" s="2">
        <f>--49.99</f>
        <v>49.99</v>
      </c>
      <c r="U16" s="2"/>
      <c r="V16" s="22"/>
      <c r="W16" s="2"/>
      <c r="X16" s="2">
        <f t="shared" si="2"/>
        <v>-9.990000000000002</v>
      </c>
      <c r="Y16" s="2"/>
      <c r="Z16" s="22">
        <f t="shared" si="3"/>
        <v>-0.19983996799359874</v>
      </c>
    </row>
    <row r="17" spans="1:26" s="24" customFormat="1" hidden="1" outlineLevel="1" x14ac:dyDescent="0.25">
      <c r="A17" s="50"/>
      <c r="B17" s="11" t="str">
        <f>CONCATENATE("          ", "4092", " - ", "TAXABLE SALES-GRAD MERCH")</f>
        <v xml:space="preserve">          4092 - TAXABLE SALES-GRAD MERCH</v>
      </c>
      <c r="C17" s="11"/>
      <c r="D17" s="2">
        <f>--2128.63</f>
        <v>2128.63</v>
      </c>
      <c r="E17" s="2"/>
      <c r="F17" s="22"/>
      <c r="G17" s="2"/>
      <c r="H17" s="2">
        <f>--3338.5</f>
        <v>3338.5</v>
      </c>
      <c r="I17" s="2"/>
      <c r="J17" s="22"/>
      <c r="K17" s="2"/>
      <c r="L17" s="2">
        <f t="shared" si="0"/>
        <v>-1209.8699999999999</v>
      </c>
      <c r="M17" s="2"/>
      <c r="N17" s="22">
        <f t="shared" si="1"/>
        <v>-0.36239928111427283</v>
      </c>
      <c r="O17" s="11"/>
      <c r="P17" s="2">
        <f>--2128.63</f>
        <v>2128.63</v>
      </c>
      <c r="Q17" s="2"/>
      <c r="R17" s="22"/>
      <c r="S17" s="2"/>
      <c r="T17" s="2">
        <f>--3338.5</f>
        <v>3338.5</v>
      </c>
      <c r="U17" s="2"/>
      <c r="V17" s="22"/>
      <c r="W17" s="2"/>
      <c r="X17" s="2">
        <f t="shared" si="2"/>
        <v>-1209.8699999999999</v>
      </c>
      <c r="Y17" s="2"/>
      <c r="Z17" s="22">
        <f t="shared" si="3"/>
        <v>-0.36239928111427283</v>
      </c>
    </row>
    <row r="18" spans="1:26" s="24" customFormat="1" hidden="1" outlineLevel="1" x14ac:dyDescent="0.25">
      <c r="A18" s="50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--35.64</f>
        <v>35.64</v>
      </c>
      <c r="E18" s="2"/>
      <c r="F18" s="22"/>
      <c r="G18" s="2"/>
      <c r="H18" s="2">
        <f>--181.17</f>
        <v>181.17</v>
      </c>
      <c r="I18" s="2"/>
      <c r="J18" s="22"/>
      <c r="K18" s="2"/>
      <c r="L18" s="2">
        <f t="shared" si="0"/>
        <v>-145.52999999999997</v>
      </c>
      <c r="M18" s="2"/>
      <c r="N18" s="22">
        <f t="shared" si="1"/>
        <v>-0.80327868852459006</v>
      </c>
      <c r="O18" s="11"/>
      <c r="P18" s="2">
        <f>--35.64</f>
        <v>35.64</v>
      </c>
      <c r="Q18" s="2"/>
      <c r="R18" s="22"/>
      <c r="S18" s="2"/>
      <c r="T18" s="2">
        <f>--181.17</f>
        <v>181.17</v>
      </c>
      <c r="U18" s="2"/>
      <c r="V18" s="22"/>
      <c r="W18" s="2"/>
      <c r="X18" s="2">
        <f t="shared" si="2"/>
        <v>-145.52999999999997</v>
      </c>
      <c r="Y18" s="2"/>
      <c r="Z18" s="22">
        <f t="shared" si="3"/>
        <v>-0.80327868852459006</v>
      </c>
    </row>
    <row r="19" spans="1:26" s="24" customFormat="1" hidden="1" outlineLevel="1" x14ac:dyDescent="0.25">
      <c r="A19" s="50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--7.95</f>
        <v>7.95</v>
      </c>
      <c r="E19" s="2"/>
      <c r="F19" s="22"/>
      <c r="G19" s="2"/>
      <c r="H19" s="2">
        <f>--7.95</f>
        <v>7.95</v>
      </c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--7.95</f>
        <v>7.95</v>
      </c>
      <c r="Q19" s="2"/>
      <c r="R19" s="22"/>
      <c r="S19" s="2"/>
      <c r="T19" s="2">
        <f>--7.95</f>
        <v>7.95</v>
      </c>
      <c r="U19" s="2"/>
      <c r="V19" s="22"/>
      <c r="W19" s="2"/>
      <c r="X19" s="2">
        <f t="shared" si="2"/>
        <v>0</v>
      </c>
      <c r="Y19" s="2"/>
      <c r="Z19" s="22">
        <f t="shared" si="3"/>
        <v>0</v>
      </c>
    </row>
    <row r="20" spans="1:26" s="24" customFormat="1" hidden="1" outlineLevel="1" x14ac:dyDescent="0.25">
      <c r="A20" s="50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--111</f>
        <v>111</v>
      </c>
      <c r="E20" s="2"/>
      <c r="F20" s="22"/>
      <c r="G20" s="2"/>
      <c r="H20" s="2">
        <f>--142</f>
        <v>142</v>
      </c>
      <c r="I20" s="2"/>
      <c r="J20" s="22"/>
      <c r="K20" s="2"/>
      <c r="L20" s="2">
        <f t="shared" si="0"/>
        <v>-31</v>
      </c>
      <c r="M20" s="2"/>
      <c r="N20" s="22">
        <f t="shared" si="1"/>
        <v>-0.21830985915492956</v>
      </c>
      <c r="O20" s="11"/>
      <c r="P20" s="2">
        <f>--111</f>
        <v>111</v>
      </c>
      <c r="Q20" s="2"/>
      <c r="R20" s="22"/>
      <c r="S20" s="2"/>
      <c r="T20" s="2">
        <f>--142</f>
        <v>142</v>
      </c>
      <c r="U20" s="2"/>
      <c r="V20" s="22"/>
      <c r="W20" s="2"/>
      <c r="X20" s="2">
        <f t="shared" si="2"/>
        <v>-31</v>
      </c>
      <c r="Y20" s="2"/>
      <c r="Z20" s="22">
        <f t="shared" si="3"/>
        <v>-0.21830985915492956</v>
      </c>
    </row>
    <row r="21" spans="1:26" s="24" customFormat="1" hidden="1" outlineLevel="1" x14ac:dyDescent="0.25">
      <c r="A21" s="50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--2067.1</f>
        <v>2067.1</v>
      </c>
      <c r="E21" s="2"/>
      <c r="F21" s="22"/>
      <c r="G21" s="2"/>
      <c r="H21" s="2">
        <f>--2380.65</f>
        <v>2380.65</v>
      </c>
      <c r="I21" s="2"/>
      <c r="J21" s="22"/>
      <c r="K21" s="2"/>
      <c r="L21" s="2">
        <f t="shared" si="0"/>
        <v>-313.55000000000018</v>
      </c>
      <c r="M21" s="2"/>
      <c r="N21" s="22">
        <f t="shared" si="1"/>
        <v>-0.13170772688131399</v>
      </c>
      <c r="O21" s="11"/>
      <c r="P21" s="2">
        <f>--2067.1</f>
        <v>2067.1</v>
      </c>
      <c r="Q21" s="2"/>
      <c r="R21" s="22"/>
      <c r="S21" s="2"/>
      <c r="T21" s="2">
        <f>--2380.65</f>
        <v>2380.65</v>
      </c>
      <c r="U21" s="2"/>
      <c r="V21" s="22"/>
      <c r="W21" s="2"/>
      <c r="X21" s="2">
        <f t="shared" si="2"/>
        <v>-313.55000000000018</v>
      </c>
      <c r="Y21" s="2"/>
      <c r="Z21" s="22">
        <f t="shared" si="3"/>
        <v>-0.13170772688131399</v>
      </c>
    </row>
    <row r="22" spans="1:26" s="24" customFormat="1" hidden="1" outlineLevel="1" x14ac:dyDescent="0.25">
      <c r="A22" s="50"/>
      <c r="B22" s="11" t="str">
        <f>CONCATENATE("          ", "4147", " - ", "NON-TAXABLE SALES-MISC")</f>
        <v xml:space="preserve">          4147 - NON-TAXABLE SALES-MISC</v>
      </c>
      <c r="C22" s="11"/>
      <c r="D22" s="2">
        <f>--16.5</f>
        <v>16.5</v>
      </c>
      <c r="E22" s="2"/>
      <c r="F22" s="22"/>
      <c r="G22" s="2"/>
      <c r="H22" s="2">
        <f>--18</f>
        <v>18</v>
      </c>
      <c r="I22" s="2"/>
      <c r="J22" s="22"/>
      <c r="K22" s="2"/>
      <c r="L22" s="2">
        <f t="shared" si="0"/>
        <v>-1.5</v>
      </c>
      <c r="M22" s="2"/>
      <c r="N22" s="22">
        <f t="shared" si="1"/>
        <v>-8.3333333333333329E-2</v>
      </c>
      <c r="O22" s="11"/>
      <c r="P22" s="2">
        <f>--16.5</f>
        <v>16.5</v>
      </c>
      <c r="Q22" s="2"/>
      <c r="R22" s="22"/>
      <c r="S22" s="2"/>
      <c r="T22" s="2">
        <f>--18</f>
        <v>18</v>
      </c>
      <c r="U22" s="2"/>
      <c r="V22" s="22"/>
      <c r="W22" s="2"/>
      <c r="X22" s="2">
        <f t="shared" si="2"/>
        <v>-1.5</v>
      </c>
      <c r="Y22" s="2"/>
      <c r="Z22" s="22">
        <f t="shared" si="3"/>
        <v>-8.3333333333333329E-2</v>
      </c>
    </row>
    <row r="23" spans="1:26" s="24" customFormat="1" hidden="1" outlineLevel="1" x14ac:dyDescent="0.25">
      <c r="A23" s="50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-10.75</f>
        <v>-10.75</v>
      </c>
      <c r="E23" s="2"/>
      <c r="F23" s="22"/>
      <c r="G23" s="2"/>
      <c r="H23" s="2">
        <f t="shared" ref="H23:H24" si="4">0</f>
        <v>0</v>
      </c>
      <c r="I23" s="2"/>
      <c r="J23" s="22"/>
      <c r="K23" s="2"/>
      <c r="L23" s="2">
        <f t="shared" si="0"/>
        <v>-10.75</v>
      </c>
      <c r="M23" s="2"/>
      <c r="N23" s="22">
        <f t="shared" si="1"/>
        <v>0</v>
      </c>
      <c r="O23" s="11"/>
      <c r="P23" s="2">
        <f>-10.75</f>
        <v>-10.75</v>
      </c>
      <c r="Q23" s="2"/>
      <c r="R23" s="22"/>
      <c r="S23" s="2"/>
      <c r="T23" s="2">
        <f t="shared" ref="T23:T24" si="5">0</f>
        <v>0</v>
      </c>
      <c r="U23" s="2"/>
      <c r="V23" s="22"/>
      <c r="W23" s="2"/>
      <c r="X23" s="2">
        <f t="shared" si="2"/>
        <v>-10.75</v>
      </c>
      <c r="Y23" s="2"/>
      <c r="Z23" s="22">
        <f t="shared" si="3"/>
        <v>0</v>
      </c>
    </row>
    <row r="24" spans="1:26" s="24" customFormat="1" hidden="1" outlineLevel="1" x14ac:dyDescent="0.25">
      <c r="A24" s="50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-16.2</f>
        <v>-16.2</v>
      </c>
      <c r="E24" s="2"/>
      <c r="F24" s="22"/>
      <c r="G24" s="2"/>
      <c r="H24" s="2">
        <f t="shared" si="4"/>
        <v>0</v>
      </c>
      <c r="I24" s="2"/>
      <c r="J24" s="22"/>
      <c r="K24" s="2"/>
      <c r="L24" s="2">
        <f t="shared" si="0"/>
        <v>-16.2</v>
      </c>
      <c r="M24" s="2"/>
      <c r="N24" s="22">
        <f t="shared" si="1"/>
        <v>0</v>
      </c>
      <c r="O24" s="11"/>
      <c r="P24" s="2">
        <f>-16.2</f>
        <v>-16.2</v>
      </c>
      <c r="Q24" s="2"/>
      <c r="R24" s="22"/>
      <c r="S24" s="2"/>
      <c r="T24" s="2">
        <f t="shared" si="5"/>
        <v>0</v>
      </c>
      <c r="U24" s="2"/>
      <c r="V24" s="22"/>
      <c r="W24" s="2"/>
      <c r="X24" s="2">
        <f t="shared" si="2"/>
        <v>-16.2</v>
      </c>
      <c r="Y24" s="2"/>
      <c r="Z24" s="22">
        <f t="shared" si="3"/>
        <v>0</v>
      </c>
    </row>
    <row r="25" spans="1:26" s="24" customFormat="1" hidden="1" outlineLevel="1" x14ac:dyDescent="0.25">
      <c r="A25" s="50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>-9.95</f>
        <v>-9.9499999999999993</v>
      </c>
      <c r="E25" s="2"/>
      <c r="F25" s="22"/>
      <c r="G25" s="2"/>
      <c r="H25" s="2">
        <f>-478.25</f>
        <v>-478.25</v>
      </c>
      <c r="I25" s="2"/>
      <c r="J25" s="22"/>
      <c r="K25" s="2"/>
      <c r="L25" s="2">
        <f t="shared" si="0"/>
        <v>468.3</v>
      </c>
      <c r="M25" s="2"/>
      <c r="N25" s="22">
        <f t="shared" si="1"/>
        <v>-0.97919498170412966</v>
      </c>
      <c r="O25" s="11"/>
      <c r="P25" s="2">
        <f>-9.95</f>
        <v>-9.9499999999999993</v>
      </c>
      <c r="Q25" s="2"/>
      <c r="R25" s="22"/>
      <c r="S25" s="2"/>
      <c r="T25" s="2">
        <f>-478.25</f>
        <v>-478.25</v>
      </c>
      <c r="U25" s="2"/>
      <c r="V25" s="22"/>
      <c r="W25" s="2"/>
      <c r="X25" s="2">
        <f t="shared" si="2"/>
        <v>468.3</v>
      </c>
      <c r="Y25" s="2"/>
      <c r="Z25" s="22">
        <f t="shared" si="3"/>
        <v>-0.97919498170412966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6" t="s">
        <v>8</v>
      </c>
      <c r="C27" s="10"/>
      <c r="D27" s="4">
        <f>SUM(OSRRefD16x_0)</f>
        <v>1044.4499999999998</v>
      </c>
      <c r="E27" s="4"/>
      <c r="F27" s="12">
        <f t="shared" ref="F27:F32" si="6">IF(D$12=0,0,D27/D$12)</f>
        <v>0.11723419563614242</v>
      </c>
      <c r="G27" s="4"/>
      <c r="H27" s="4">
        <f>SUM(OSRRefH16x_0)</f>
        <v>1167.3</v>
      </c>
      <c r="I27" s="4"/>
      <c r="J27" s="12">
        <f t="shared" ref="J27:J32" si="7">IF(H$12=0,0,H27/H$12)</f>
        <v>7.9950850055684086E-2</v>
      </c>
      <c r="K27" s="4"/>
      <c r="L27" s="4">
        <f t="shared" ref="L27:L32" si="8">+D27-H27</f>
        <v>-122.85000000000014</v>
      </c>
      <c r="M27" s="4"/>
      <c r="N27" s="12">
        <f t="shared" ref="N27:N32" si="9">IF(H27=0,0,L27/H27)</f>
        <v>-0.10524286815728616</v>
      </c>
      <c r="O27" s="10"/>
      <c r="P27" s="4">
        <f>SUM(OSRRefP16x_0)</f>
        <v>1044.4499999999998</v>
      </c>
      <c r="Q27" s="4"/>
      <c r="R27" s="12">
        <f t="shared" ref="R27:R32" si="10">IF(P$12=0,0,P27/P$12)</f>
        <v>0.11723419563614242</v>
      </c>
      <c r="S27" s="4"/>
      <c r="T27" s="4">
        <f>SUM(OSRRefT16x_0)</f>
        <v>1167.3</v>
      </c>
      <c r="U27" s="4"/>
      <c r="V27" s="12">
        <f t="shared" ref="V27:V32" si="11">IF(T$12=0,0,T27/T$12)</f>
        <v>7.9950850055684086E-2</v>
      </c>
      <c r="W27" s="4"/>
      <c r="X27" s="4">
        <f t="shared" ref="X27:X32" si="12">+P27-T27</f>
        <v>-122.85000000000014</v>
      </c>
      <c r="Y27" s="4"/>
      <c r="Z27" s="12">
        <f t="shared" ref="Z27:Z32" si="13">IF(T27=0,0,X27/T27)</f>
        <v>-0.10524286815728616</v>
      </c>
    </row>
    <row r="28" spans="1:26" s="24" customFormat="1" hidden="1" outlineLevel="1" x14ac:dyDescent="0.25">
      <c r="A28" s="50"/>
      <c r="B28" s="11" t="str">
        <f>CONCATENATE("          ", "5092", " - ", "PURCHASES @ COST-GRAD MERCH")</f>
        <v xml:space="preserve">          5092 - PURCHASES @ COST-GRAD MERCH</v>
      </c>
      <c r="C28" s="11"/>
      <c r="D28" s="2">
        <v>1228.5999999999999</v>
      </c>
      <c r="E28" s="2"/>
      <c r="F28" s="22">
        <f t="shared" si="6"/>
        <v>0.13790409570449957</v>
      </c>
      <c r="G28" s="2"/>
      <c r="H28" s="2">
        <v>-1235.3900000000001</v>
      </c>
      <c r="I28" s="2"/>
      <c r="J28" s="22">
        <f t="shared" si="7"/>
        <v>-8.4614478411969132E-2</v>
      </c>
      <c r="K28" s="2"/>
      <c r="L28" s="2">
        <f t="shared" si="8"/>
        <v>2463.9899999999998</v>
      </c>
      <c r="M28" s="2"/>
      <c r="N28" s="22">
        <f t="shared" si="9"/>
        <v>-1.9945037599462514</v>
      </c>
      <c r="O28" s="11"/>
      <c r="P28" s="2">
        <v>1228.5999999999999</v>
      </c>
      <c r="Q28" s="2"/>
      <c r="R28" s="22">
        <f t="shared" si="10"/>
        <v>0.13790409570449957</v>
      </c>
      <c r="S28" s="2"/>
      <c r="T28" s="2">
        <v>-1235.3900000000001</v>
      </c>
      <c r="U28" s="2"/>
      <c r="V28" s="22">
        <f t="shared" si="11"/>
        <v>-8.4614478411969132E-2</v>
      </c>
      <c r="W28" s="2"/>
      <c r="X28" s="2">
        <f t="shared" si="12"/>
        <v>2463.9899999999998</v>
      </c>
      <c r="Y28" s="2"/>
      <c r="Z28" s="22">
        <f t="shared" si="13"/>
        <v>-1.9945037599462514</v>
      </c>
    </row>
    <row r="29" spans="1:26" s="24" customFormat="1" hidden="1" outlineLevel="1" x14ac:dyDescent="0.25">
      <c r="A29" s="50"/>
      <c r="B29" s="11" t="str">
        <f>CONCATENATE("          ", "5095", " - ", "PURCHASES @ COST-CUSTOMER SERV")</f>
        <v xml:space="preserve">          5095 - PURCHASES @ COST-CUSTOMER SERV</v>
      </c>
      <c r="C29" s="11"/>
      <c r="D29" s="2">
        <v>11.85</v>
      </c>
      <c r="E29" s="2"/>
      <c r="F29" s="22">
        <f t="shared" si="6"/>
        <v>1.3301021765410386E-3</v>
      </c>
      <c r="G29" s="2"/>
      <c r="H29" s="2"/>
      <c r="I29" s="2"/>
      <c r="J29" s="22">
        <f t="shared" si="7"/>
        <v>0</v>
      </c>
      <c r="K29" s="2"/>
      <c r="L29" s="2">
        <f t="shared" si="8"/>
        <v>11.85</v>
      </c>
      <c r="M29" s="2"/>
      <c r="N29" s="22">
        <f t="shared" si="9"/>
        <v>0</v>
      </c>
      <c r="O29" s="11"/>
      <c r="P29" s="2">
        <v>11.85</v>
      </c>
      <c r="Q29" s="2"/>
      <c r="R29" s="22">
        <f t="shared" si="10"/>
        <v>1.3301021765410386E-3</v>
      </c>
      <c r="S29" s="2"/>
      <c r="T29" s="2"/>
      <c r="U29" s="2"/>
      <c r="V29" s="22">
        <f t="shared" si="11"/>
        <v>0</v>
      </c>
      <c r="W29" s="2"/>
      <c r="X29" s="2">
        <f t="shared" si="12"/>
        <v>11.85</v>
      </c>
      <c r="Y29" s="2"/>
      <c r="Z29" s="22">
        <f t="shared" si="13"/>
        <v>0</v>
      </c>
    </row>
    <row r="30" spans="1:26" s="24" customFormat="1" hidden="1" outlineLevel="1" x14ac:dyDescent="0.25">
      <c r="A30" s="50"/>
      <c r="B30" s="11" t="str">
        <f>CONCATENATE("          ", "5200", " - ", "PURCHASES OFFSET")</f>
        <v xml:space="preserve">          5200 - PURCHASES OFFSET</v>
      </c>
      <c r="C30" s="11"/>
      <c r="D30" s="2">
        <v>-1241</v>
      </c>
      <c r="E30" s="2"/>
      <c r="F30" s="22">
        <f t="shared" si="6"/>
        <v>-0.13929593258121764</v>
      </c>
      <c r="G30" s="2"/>
      <c r="H30" s="2">
        <v>1127</v>
      </c>
      <c r="I30" s="2"/>
      <c r="J30" s="22">
        <f t="shared" si="7"/>
        <v>7.719061767562406E-2</v>
      </c>
      <c r="K30" s="2"/>
      <c r="L30" s="2">
        <f t="shared" si="8"/>
        <v>-2368</v>
      </c>
      <c r="M30" s="2"/>
      <c r="N30" s="22">
        <f t="shared" si="9"/>
        <v>-2.1011535048802128</v>
      </c>
      <c r="O30" s="11"/>
      <c r="P30" s="2">
        <v>-1241</v>
      </c>
      <c r="Q30" s="2"/>
      <c r="R30" s="22">
        <f t="shared" si="10"/>
        <v>-0.13929593258121764</v>
      </c>
      <c r="S30" s="2"/>
      <c r="T30" s="2">
        <v>1127</v>
      </c>
      <c r="U30" s="2"/>
      <c r="V30" s="22">
        <f t="shared" si="11"/>
        <v>7.719061767562406E-2</v>
      </c>
      <c r="W30" s="2"/>
      <c r="X30" s="2">
        <f t="shared" si="12"/>
        <v>-2368</v>
      </c>
      <c r="Y30" s="2"/>
      <c r="Z30" s="22">
        <f t="shared" si="13"/>
        <v>-2.1011535048802128</v>
      </c>
    </row>
    <row r="31" spans="1:26" s="24" customFormat="1" hidden="1" outlineLevel="1" x14ac:dyDescent="0.25">
      <c r="A31" s="50"/>
      <c r="B31" s="11" t="str">
        <f>CONCATENATE("          ", "5300", " - ", "COG$ OFFSET")</f>
        <v xml:space="preserve">          5300 - COG$ OFFSET</v>
      </c>
      <c r="C31" s="11"/>
      <c r="D31" s="2">
        <v>1045</v>
      </c>
      <c r="E31" s="2"/>
      <c r="F31" s="22">
        <f t="shared" si="6"/>
        <v>0.11729593033631944</v>
      </c>
      <c r="G31" s="2"/>
      <c r="H31" s="2">
        <v>1167</v>
      </c>
      <c r="I31" s="2"/>
      <c r="J31" s="22">
        <f t="shared" si="7"/>
        <v>7.9930302420100519E-2</v>
      </c>
      <c r="K31" s="2"/>
      <c r="L31" s="2">
        <f t="shared" si="8"/>
        <v>-122</v>
      </c>
      <c r="M31" s="2"/>
      <c r="N31" s="22">
        <f t="shared" si="9"/>
        <v>-0.10454155955441302</v>
      </c>
      <c r="O31" s="11"/>
      <c r="P31" s="2">
        <v>1045</v>
      </c>
      <c r="Q31" s="2"/>
      <c r="R31" s="22">
        <f t="shared" si="10"/>
        <v>0.11729593033631944</v>
      </c>
      <c r="S31" s="2"/>
      <c r="T31" s="2">
        <v>1167</v>
      </c>
      <c r="U31" s="2"/>
      <c r="V31" s="22">
        <f t="shared" si="11"/>
        <v>7.9930302420100519E-2</v>
      </c>
      <c r="W31" s="2"/>
      <c r="X31" s="2">
        <f t="shared" si="12"/>
        <v>-122</v>
      </c>
      <c r="Y31" s="2"/>
      <c r="Z31" s="22">
        <f t="shared" si="13"/>
        <v>-0.10454155955441302</v>
      </c>
    </row>
    <row r="32" spans="1:26" s="24" customFormat="1" hidden="1" outlineLevel="1" x14ac:dyDescent="0.25">
      <c r="A32" s="50"/>
      <c r="B32" s="11" t="str">
        <f>CONCATENATE("          ", "5592", " - ", "FREIGHT-IN-GRAD MERCH")</f>
        <v xml:space="preserve">          5592 - FREIGHT-IN-GRAD MERCH</v>
      </c>
      <c r="C32" s="11"/>
      <c r="D32" s="2"/>
      <c r="E32" s="2"/>
      <c r="F32" s="22">
        <f t="shared" si="6"/>
        <v>0</v>
      </c>
      <c r="G32" s="2"/>
      <c r="H32" s="2">
        <v>108.69</v>
      </c>
      <c r="I32" s="2"/>
      <c r="J32" s="22">
        <f t="shared" si="7"/>
        <v>7.4444083719286411E-3</v>
      </c>
      <c r="K32" s="2"/>
      <c r="L32" s="2">
        <f t="shared" si="8"/>
        <v>-108.69</v>
      </c>
      <c r="M32" s="2"/>
      <c r="N32" s="22">
        <f t="shared" si="9"/>
        <v>-1</v>
      </c>
      <c r="O32" s="11"/>
      <c r="P32" s="2"/>
      <c r="Q32" s="2"/>
      <c r="R32" s="22">
        <f t="shared" si="10"/>
        <v>0</v>
      </c>
      <c r="S32" s="2"/>
      <c r="T32" s="2">
        <v>108.69</v>
      </c>
      <c r="U32" s="2"/>
      <c r="V32" s="22">
        <f t="shared" si="11"/>
        <v>7.4444083719286411E-3</v>
      </c>
      <c r="W32" s="2"/>
      <c r="X32" s="2">
        <f t="shared" si="12"/>
        <v>-108.69</v>
      </c>
      <c r="Y32" s="2"/>
      <c r="Z32" s="22">
        <f t="shared" si="13"/>
        <v>-1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5" t="s">
        <v>6</v>
      </c>
      <c r="C34" s="25"/>
      <c r="D34" s="21">
        <f>D12-D27</f>
        <v>7864.6399999999985</v>
      </c>
      <c r="E34" s="13"/>
      <c r="F34" s="20">
        <f>IF(D$12=0,0,D34/D$12)</f>
        <v>0.88276580436385754</v>
      </c>
      <c r="G34" s="13"/>
      <c r="H34" s="21">
        <f>H12-H27</f>
        <v>13432.920000000002</v>
      </c>
      <c r="I34" s="13"/>
      <c r="J34" s="20">
        <f>IF(H$12=0,0,H34/H$12)</f>
        <v>0.92004914994431597</v>
      </c>
      <c r="K34" s="16"/>
      <c r="L34" s="21">
        <f>+D34-H34</f>
        <v>-5568.2800000000034</v>
      </c>
      <c r="M34" s="16"/>
      <c r="N34" s="20">
        <f>IF(H34=0,0,L34/H34)</f>
        <v>-0.41452491342165387</v>
      </c>
      <c r="O34" s="26"/>
      <c r="P34" s="21">
        <f>P12-P27</f>
        <v>7864.6399999999985</v>
      </c>
      <c r="Q34" s="13"/>
      <c r="R34" s="20">
        <f>IF(P$12=0,0,P34/P$12)</f>
        <v>0.88276580436385754</v>
      </c>
      <c r="S34" s="13"/>
      <c r="T34" s="21">
        <f>T12-T27</f>
        <v>13432.920000000002</v>
      </c>
      <c r="U34" s="13"/>
      <c r="V34" s="20">
        <f>IF(T$12=0,0,T34/T$12)</f>
        <v>0.92004914994431597</v>
      </c>
      <c r="W34" s="16"/>
      <c r="X34" s="21">
        <f>+P34-T34</f>
        <v>-5568.2800000000034</v>
      </c>
      <c r="Y34" s="16"/>
      <c r="Z34" s="20">
        <f>IF(T34=0,0,X34/T34)</f>
        <v>-0.41452491342165387</v>
      </c>
    </row>
    <row r="35" spans="1:26" x14ac:dyDescent="0.25">
      <c r="A35" s="9"/>
      <c r="B35" s="10"/>
      <c r="C35" s="9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25">
      <c r="A36" s="10"/>
      <c r="B36" s="26" t="s">
        <v>9</v>
      </c>
      <c r="C36" s="10"/>
      <c r="D36" s="19">
        <f>SUM(OSRRefD22x_0)</f>
        <v>34743.360000000001</v>
      </c>
      <c r="E36" s="19"/>
      <c r="F36" s="35">
        <f t="shared" ref="F36:F45" si="14">IF(D$12=0,0,D36/D$12)</f>
        <v>3.8997652958944187</v>
      </c>
      <c r="G36" s="19"/>
      <c r="H36" s="19">
        <f>SUM(OSRRefH22x_0)</f>
        <v>40678.55999999999</v>
      </c>
      <c r="I36" s="19"/>
      <c r="J36" s="35">
        <f t="shared" ref="J36:J45" si="15">IF(H$12=0,0,H36/H$12)</f>
        <v>2.7861607564817508</v>
      </c>
      <c r="K36" s="4"/>
      <c r="L36" s="19">
        <f t="shared" ref="L36:L45" si="16">+D36-H36</f>
        <v>-5935.1999999999898</v>
      </c>
      <c r="M36" s="4"/>
      <c r="N36" s="35">
        <f t="shared" ref="N36:N45" si="17">IF(H36=0,0,L36/H36)</f>
        <v>-0.14590486978890085</v>
      </c>
      <c r="O36" s="10"/>
      <c r="P36" s="19">
        <f>SUM(OSRRefP22x_0)</f>
        <v>34743.360000000001</v>
      </c>
      <c r="Q36" s="19"/>
      <c r="R36" s="35">
        <f t="shared" ref="R36:R45" si="18">IF(P$12=0,0,P36/P$12)</f>
        <v>3.8997652958944187</v>
      </c>
      <c r="S36" s="19"/>
      <c r="T36" s="19">
        <f>SUM(OSRRefT22x_0)</f>
        <v>40678.55999999999</v>
      </c>
      <c r="U36" s="19"/>
      <c r="V36" s="35">
        <f t="shared" ref="V36:V45" si="19">IF(T$12=0,0,T36/T$12)</f>
        <v>2.7861607564817508</v>
      </c>
      <c r="W36" s="4"/>
      <c r="X36" s="19">
        <f t="shared" ref="X36:X45" si="20">+P36-T36</f>
        <v>-5935.1999999999898</v>
      </c>
      <c r="Y36" s="4"/>
      <c r="Z36" s="35">
        <f t="shared" ref="Z36:Z45" si="21">IF(T36=0,0,X36/T36)</f>
        <v>-0.14590486978890085</v>
      </c>
    </row>
    <row r="37" spans="1:26" s="28" customFormat="1" outlineLevel="1" collapsed="1" x14ac:dyDescent="0.25">
      <c r="A37" s="27"/>
      <c r="B37" s="14" t="str">
        <f>CONCATENATE("     ","*Benefits                                         ")</f>
        <v xml:space="preserve">     *Benefits                                         </v>
      </c>
      <c r="C37" s="14"/>
      <c r="D37" s="1">
        <f>SUM(OSRRefD22_0x_0)</f>
        <v>7908.2500000000009</v>
      </c>
      <c r="E37" s="1"/>
      <c r="F37" s="5">
        <f t="shared" si="14"/>
        <v>0.88766080486334775</v>
      </c>
      <c r="G37" s="1"/>
      <c r="H37" s="1">
        <f>SUM(OSRRefH22_0x_0)</f>
        <v>6615.3899999999994</v>
      </c>
      <c r="I37" s="1"/>
      <c r="J37" s="5">
        <f t="shared" si="15"/>
        <v>0.45310207654405199</v>
      </c>
      <c r="K37" s="1"/>
      <c r="L37" s="1">
        <f t="shared" si="16"/>
        <v>1292.8600000000015</v>
      </c>
      <c r="M37" s="1"/>
      <c r="N37" s="5">
        <f t="shared" si="17"/>
        <v>0.19543216650870193</v>
      </c>
      <c r="O37" s="14"/>
      <c r="P37" s="1">
        <f>SUM(OSRRefP22_0x_0)</f>
        <v>7908.2500000000009</v>
      </c>
      <c r="Q37" s="1"/>
      <c r="R37" s="5">
        <f t="shared" si="18"/>
        <v>0.88766080486334775</v>
      </c>
      <c r="S37" s="1"/>
      <c r="T37" s="1">
        <f>SUM(OSRRefT22_0x_0)</f>
        <v>6615.3899999999994</v>
      </c>
      <c r="U37" s="1"/>
      <c r="V37" s="5">
        <f t="shared" si="19"/>
        <v>0.45310207654405199</v>
      </c>
      <c r="W37" s="1"/>
      <c r="X37" s="1">
        <f t="shared" si="20"/>
        <v>1292.8600000000015</v>
      </c>
      <c r="Y37" s="1"/>
      <c r="Z37" s="5">
        <f t="shared" si="21"/>
        <v>0.19543216650870193</v>
      </c>
    </row>
    <row r="38" spans="1:26" s="24" customFormat="1" hidden="1" outlineLevel="2" x14ac:dyDescent="0.25">
      <c r="A38" s="29"/>
      <c r="B38" s="11" t="str">
        <f>CONCATENATE("          ", "6111", " - ", "F.I.C.A.")</f>
        <v xml:space="preserve">          6111 - F.I.C.A.</v>
      </c>
      <c r="C38" s="11"/>
      <c r="D38" s="7">
        <v>1126.8</v>
      </c>
      <c r="E38" s="2"/>
      <c r="F38" s="6">
        <f t="shared" si="14"/>
        <v>0.12647756392628204</v>
      </c>
      <c r="G38" s="2"/>
      <c r="H38" s="7">
        <v>1032.6600000000001</v>
      </c>
      <c r="I38" s="2"/>
      <c r="J38" s="6">
        <f t="shared" si="15"/>
        <v>7.0729071205776345E-2</v>
      </c>
      <c r="K38" s="2"/>
      <c r="L38" s="7">
        <f t="shared" si="16"/>
        <v>94.139999999999873</v>
      </c>
      <c r="M38" s="2"/>
      <c r="N38" s="6">
        <f t="shared" si="17"/>
        <v>9.1162628551507627E-2</v>
      </c>
      <c r="O38" s="11"/>
      <c r="P38" s="7">
        <v>1126.8</v>
      </c>
      <c r="Q38" s="2"/>
      <c r="R38" s="6">
        <f t="shared" si="18"/>
        <v>0.12647756392628204</v>
      </c>
      <c r="S38" s="2"/>
      <c r="T38" s="7">
        <v>1032.6600000000001</v>
      </c>
      <c r="U38" s="2"/>
      <c r="V38" s="6">
        <f t="shared" si="19"/>
        <v>7.0729071205776345E-2</v>
      </c>
      <c r="W38" s="2"/>
      <c r="X38" s="7">
        <f t="shared" si="20"/>
        <v>94.139999999999873</v>
      </c>
      <c r="Y38" s="2"/>
      <c r="Z38" s="6">
        <f t="shared" si="21"/>
        <v>9.1162628551507627E-2</v>
      </c>
    </row>
    <row r="39" spans="1:26" s="24" customFormat="1" hidden="1" outlineLevel="2" x14ac:dyDescent="0.25">
      <c r="A39" s="29"/>
      <c r="B39" s="11" t="str">
        <f>CONCATENATE("          ", "6112", " - ", "COMPENSATION INSURANCE")</f>
        <v xml:space="preserve">          6112 - COMPENSATION INSURANCE</v>
      </c>
      <c r="C39" s="11"/>
      <c r="D39" s="7">
        <v>178.47</v>
      </c>
      <c r="E39" s="2"/>
      <c r="F39" s="6">
        <f t="shared" si="14"/>
        <v>2.0032348982892759E-2</v>
      </c>
      <c r="G39" s="2"/>
      <c r="H39" s="7">
        <v>232.06</v>
      </c>
      <c r="I39" s="2"/>
      <c r="J39" s="6">
        <f t="shared" si="15"/>
        <v>1.5894281045080141E-2</v>
      </c>
      <c r="K39" s="2"/>
      <c r="L39" s="7">
        <f t="shared" si="16"/>
        <v>-53.59</v>
      </c>
      <c r="M39" s="2"/>
      <c r="N39" s="6">
        <f t="shared" si="17"/>
        <v>-0.23093165560630874</v>
      </c>
      <c r="O39" s="11"/>
      <c r="P39" s="7">
        <v>178.47</v>
      </c>
      <c r="Q39" s="2"/>
      <c r="R39" s="6">
        <f t="shared" si="18"/>
        <v>2.0032348982892759E-2</v>
      </c>
      <c r="S39" s="2"/>
      <c r="T39" s="7">
        <v>232.06</v>
      </c>
      <c r="U39" s="2"/>
      <c r="V39" s="6">
        <f t="shared" si="19"/>
        <v>1.5894281045080141E-2</v>
      </c>
      <c r="W39" s="2"/>
      <c r="X39" s="7">
        <f t="shared" si="20"/>
        <v>-53.59</v>
      </c>
      <c r="Y39" s="2"/>
      <c r="Z39" s="6">
        <f t="shared" si="21"/>
        <v>-0.23093165560630874</v>
      </c>
    </row>
    <row r="40" spans="1:26" s="24" customFormat="1" hidden="1" outlineLevel="2" x14ac:dyDescent="0.25">
      <c r="A40" s="29"/>
      <c r="B40" s="11" t="str">
        <f>CONCATENATE("          ", "6113", " - ", "GROUP INSURANCE")</f>
        <v xml:space="preserve">          6113 - GROUP INSURANCE</v>
      </c>
      <c r="C40" s="11"/>
      <c r="D40" s="7">
        <v>2741.79</v>
      </c>
      <c r="E40" s="2"/>
      <c r="F40" s="6">
        <f t="shared" si="14"/>
        <v>0.30775197017877254</v>
      </c>
      <c r="G40" s="2"/>
      <c r="H40" s="7">
        <v>1025.83</v>
      </c>
      <c r="I40" s="2"/>
      <c r="J40" s="6">
        <f t="shared" si="15"/>
        <v>7.0261270035656992E-2</v>
      </c>
      <c r="K40" s="2"/>
      <c r="L40" s="7">
        <f t="shared" si="16"/>
        <v>1715.96</v>
      </c>
      <c r="M40" s="2"/>
      <c r="N40" s="6">
        <f t="shared" si="17"/>
        <v>1.6727527952974666</v>
      </c>
      <c r="O40" s="11"/>
      <c r="P40" s="7">
        <v>2741.79</v>
      </c>
      <c r="Q40" s="2"/>
      <c r="R40" s="6">
        <f t="shared" si="18"/>
        <v>0.30775197017877254</v>
      </c>
      <c r="S40" s="2"/>
      <c r="T40" s="7">
        <v>1025.83</v>
      </c>
      <c r="U40" s="2"/>
      <c r="V40" s="6">
        <f t="shared" si="19"/>
        <v>7.0261270035656992E-2</v>
      </c>
      <c r="W40" s="2"/>
      <c r="X40" s="7">
        <f t="shared" si="20"/>
        <v>1715.96</v>
      </c>
      <c r="Y40" s="2"/>
      <c r="Z40" s="6">
        <f t="shared" si="21"/>
        <v>1.6727527952974666</v>
      </c>
    </row>
    <row r="41" spans="1:26" s="24" customFormat="1" hidden="1" outlineLevel="2" x14ac:dyDescent="0.25">
      <c r="A41" s="29"/>
      <c r="B41" s="11" t="str">
        <f>CONCATENATE("          ", "6114", " - ", "STATE UNEMPLOYMENT INSURANCE")</f>
        <v xml:space="preserve">          6114 - STATE UNEMPLOYMENT INSURANCE</v>
      </c>
      <c r="C41" s="11"/>
      <c r="D41" s="7">
        <v>38.78</v>
      </c>
      <c r="E41" s="2"/>
      <c r="F41" s="6">
        <f t="shared" si="14"/>
        <v>4.3528575870262851E-3</v>
      </c>
      <c r="G41" s="2"/>
      <c r="H41" s="7">
        <v>50.7</v>
      </c>
      <c r="I41" s="2"/>
      <c r="J41" s="6">
        <f t="shared" si="15"/>
        <v>3.4725504136239043E-3</v>
      </c>
      <c r="K41" s="2"/>
      <c r="L41" s="7">
        <f t="shared" si="16"/>
        <v>-11.920000000000002</v>
      </c>
      <c r="M41" s="2"/>
      <c r="N41" s="6">
        <f t="shared" si="17"/>
        <v>-0.23510848126232745</v>
      </c>
      <c r="O41" s="11"/>
      <c r="P41" s="7">
        <v>38.78</v>
      </c>
      <c r="Q41" s="2"/>
      <c r="R41" s="6">
        <f t="shared" si="18"/>
        <v>4.3528575870262851E-3</v>
      </c>
      <c r="S41" s="2"/>
      <c r="T41" s="7">
        <v>50.7</v>
      </c>
      <c r="U41" s="2"/>
      <c r="V41" s="6">
        <f t="shared" si="19"/>
        <v>3.4725504136239043E-3</v>
      </c>
      <c r="W41" s="2"/>
      <c r="X41" s="7">
        <f t="shared" si="20"/>
        <v>-11.920000000000002</v>
      </c>
      <c r="Y41" s="2"/>
      <c r="Z41" s="6">
        <f t="shared" si="21"/>
        <v>-0.23510848126232745</v>
      </c>
    </row>
    <row r="42" spans="1:26" s="24" customFormat="1" hidden="1" outlineLevel="2" x14ac:dyDescent="0.25">
      <c r="A42" s="29"/>
      <c r="B42" s="11" t="str">
        <f>CONCATENATE("          ", "6115", " - ", "P.E.R.S.")</f>
        <v xml:space="preserve">          6115 - P.E.R.S.</v>
      </c>
      <c r="C42" s="11"/>
      <c r="D42" s="7">
        <v>1156.69</v>
      </c>
      <c r="E42" s="2"/>
      <c r="F42" s="6">
        <f t="shared" si="14"/>
        <v>0.12983256426862905</v>
      </c>
      <c r="G42" s="2"/>
      <c r="H42" s="7">
        <v>1462.69</v>
      </c>
      <c r="I42" s="2"/>
      <c r="J42" s="6">
        <f t="shared" si="15"/>
        <v>0.10018273697245658</v>
      </c>
      <c r="K42" s="2"/>
      <c r="L42" s="7">
        <f t="shared" si="16"/>
        <v>-306</v>
      </c>
      <c r="M42" s="2"/>
      <c r="N42" s="6">
        <f t="shared" si="17"/>
        <v>-0.2092035906446342</v>
      </c>
      <c r="O42" s="11"/>
      <c r="P42" s="7">
        <v>1156.69</v>
      </c>
      <c r="Q42" s="2"/>
      <c r="R42" s="6">
        <f t="shared" si="18"/>
        <v>0.12983256426862905</v>
      </c>
      <c r="S42" s="2"/>
      <c r="T42" s="7">
        <v>1462.69</v>
      </c>
      <c r="U42" s="2"/>
      <c r="V42" s="6">
        <f t="shared" si="19"/>
        <v>0.10018273697245658</v>
      </c>
      <c r="W42" s="2"/>
      <c r="X42" s="7">
        <f t="shared" si="20"/>
        <v>-306</v>
      </c>
      <c r="Y42" s="2"/>
      <c r="Z42" s="6">
        <f t="shared" si="21"/>
        <v>-0.2092035906446342</v>
      </c>
    </row>
    <row r="43" spans="1:26" s="24" customFormat="1" hidden="1" outlineLevel="2" x14ac:dyDescent="0.25">
      <c r="A43" s="29"/>
      <c r="B43" s="11" t="str">
        <f>CONCATENATE("          ", "6118", " - ", "VACATION")</f>
        <v xml:space="preserve">          6118 - VACATION</v>
      </c>
      <c r="C43" s="11"/>
      <c r="D43" s="7">
        <v>1532.28</v>
      </c>
      <c r="E43" s="2"/>
      <c r="F43" s="6">
        <f t="shared" si="14"/>
        <v>0.17199062979496224</v>
      </c>
      <c r="G43" s="2"/>
      <c r="H43" s="7">
        <v>951.42</v>
      </c>
      <c r="I43" s="2"/>
      <c r="J43" s="6">
        <f t="shared" si="15"/>
        <v>6.5164771489744672E-2</v>
      </c>
      <c r="K43" s="2"/>
      <c r="L43" s="7">
        <f t="shared" si="16"/>
        <v>580.86</v>
      </c>
      <c r="M43" s="2"/>
      <c r="N43" s="6">
        <f t="shared" si="17"/>
        <v>0.61051901368480799</v>
      </c>
      <c r="O43" s="11"/>
      <c r="P43" s="7">
        <v>1532.28</v>
      </c>
      <c r="Q43" s="2"/>
      <c r="R43" s="6">
        <f t="shared" si="18"/>
        <v>0.17199062979496224</v>
      </c>
      <c r="S43" s="2"/>
      <c r="T43" s="7">
        <v>951.42</v>
      </c>
      <c r="U43" s="2"/>
      <c r="V43" s="6">
        <f t="shared" si="19"/>
        <v>6.5164771489744672E-2</v>
      </c>
      <c r="W43" s="2"/>
      <c r="X43" s="7">
        <f t="shared" si="20"/>
        <v>580.86</v>
      </c>
      <c r="Y43" s="2"/>
      <c r="Z43" s="6">
        <f t="shared" si="21"/>
        <v>0.61051901368480799</v>
      </c>
    </row>
    <row r="44" spans="1:26" s="24" customFormat="1" hidden="1" outlineLevel="2" x14ac:dyDescent="0.25">
      <c r="A44" s="29"/>
      <c r="B44" s="11" t="str">
        <f>CONCATENATE("          ", "6119", " - ", "SICK LEAVE")</f>
        <v xml:space="preserve">          6119 - SICK LEAVE</v>
      </c>
      <c r="C44" s="11"/>
      <c r="D44" s="7">
        <v>891.06</v>
      </c>
      <c r="E44" s="2"/>
      <c r="F44" s="6">
        <f t="shared" si="14"/>
        <v>0.10001694898132134</v>
      </c>
      <c r="G44" s="2"/>
      <c r="H44" s="7">
        <v>1586.75</v>
      </c>
      <c r="I44" s="2"/>
      <c r="J44" s="6">
        <f t="shared" si="15"/>
        <v>0.10867986920745029</v>
      </c>
      <c r="K44" s="2"/>
      <c r="L44" s="7">
        <f t="shared" si="16"/>
        <v>-695.69</v>
      </c>
      <c r="M44" s="2"/>
      <c r="N44" s="6">
        <f t="shared" si="17"/>
        <v>-0.43843705687726486</v>
      </c>
      <c r="O44" s="11"/>
      <c r="P44" s="7">
        <v>891.06</v>
      </c>
      <c r="Q44" s="2"/>
      <c r="R44" s="6">
        <f t="shared" si="18"/>
        <v>0.10001694898132134</v>
      </c>
      <c r="S44" s="2"/>
      <c r="T44" s="7">
        <v>1586.75</v>
      </c>
      <c r="U44" s="2"/>
      <c r="V44" s="6">
        <f t="shared" si="19"/>
        <v>0.10867986920745029</v>
      </c>
      <c r="W44" s="2"/>
      <c r="X44" s="7">
        <f t="shared" si="20"/>
        <v>-695.69</v>
      </c>
      <c r="Y44" s="2"/>
      <c r="Z44" s="6">
        <f t="shared" si="21"/>
        <v>-0.43843705687726486</v>
      </c>
    </row>
    <row r="45" spans="1:26" s="24" customFormat="1" hidden="1" outlineLevel="2" x14ac:dyDescent="0.25">
      <c r="A45" s="29"/>
      <c r="B45" s="11" t="str">
        <f>CONCATENATE("          ", "6156", " - ", "EMPLOYEE MEALS")</f>
        <v xml:space="preserve">          6156 - EMPLOYEE MEALS</v>
      </c>
      <c r="C45" s="11"/>
      <c r="D45" s="7">
        <v>242.38</v>
      </c>
      <c r="E45" s="2"/>
      <c r="F45" s="6">
        <f t="shared" si="14"/>
        <v>2.7205921143461344E-2</v>
      </c>
      <c r="G45" s="2"/>
      <c r="H45" s="7">
        <v>273.27999999999997</v>
      </c>
      <c r="I45" s="2"/>
      <c r="J45" s="6">
        <f t="shared" si="15"/>
        <v>1.8717526174263123E-2</v>
      </c>
      <c r="K45" s="2"/>
      <c r="L45" s="7">
        <f t="shared" si="16"/>
        <v>-30.899999999999977</v>
      </c>
      <c r="M45" s="2"/>
      <c r="N45" s="6">
        <f t="shared" si="17"/>
        <v>-0.11307084309133482</v>
      </c>
      <c r="O45" s="11"/>
      <c r="P45" s="7">
        <v>242.38</v>
      </c>
      <c r="Q45" s="2"/>
      <c r="R45" s="6">
        <f t="shared" si="18"/>
        <v>2.7205921143461344E-2</v>
      </c>
      <c r="S45" s="2"/>
      <c r="T45" s="7">
        <v>273.27999999999997</v>
      </c>
      <c r="U45" s="2"/>
      <c r="V45" s="6">
        <f t="shared" si="19"/>
        <v>1.8717526174263123E-2</v>
      </c>
      <c r="W45" s="2"/>
      <c r="X45" s="7">
        <f t="shared" si="20"/>
        <v>-30.899999999999977</v>
      </c>
      <c r="Y45" s="2"/>
      <c r="Z45" s="6">
        <f t="shared" si="21"/>
        <v>-0.11307084309133482</v>
      </c>
    </row>
    <row r="46" spans="1:26" s="28" customFormat="1" outlineLevel="1" collapsed="1" x14ac:dyDescent="0.25">
      <c r="A46" s="27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17921.870000000003</v>
      </c>
      <c r="E46" s="1"/>
      <c r="F46" s="5">
        <f t="shared" ref="F46:F50" si="22">IF(D$12=0,0,D46/D$12)</f>
        <v>2.0116386746570081</v>
      </c>
      <c r="G46" s="1"/>
      <c r="H46" s="1">
        <f>SUM(OSRRefH22_1x_0)</f>
        <v>16497.419999999998</v>
      </c>
      <c r="I46" s="1"/>
      <c r="J46" s="5">
        <f t="shared" ref="J46:J50" si="23">IF(H$12=0,0,H46/H$12)</f>
        <v>1.129943247430518</v>
      </c>
      <c r="K46" s="1"/>
      <c r="L46" s="1">
        <f t="shared" ref="L46:L50" si="24">+D46-H46</f>
        <v>1424.4500000000044</v>
      </c>
      <c r="M46" s="1"/>
      <c r="N46" s="5">
        <f t="shared" ref="N46:N50" si="25">IF(H46=0,0,L46/H46)</f>
        <v>8.6343804061483828E-2</v>
      </c>
      <c r="O46" s="14"/>
      <c r="P46" s="1">
        <f>SUM(OSRRefP22_1x_0)</f>
        <v>17921.870000000003</v>
      </c>
      <c r="Q46" s="1"/>
      <c r="R46" s="5">
        <f t="shared" ref="R46:R50" si="26">IF(P$12=0,0,P46/P$12)</f>
        <v>2.0116386746570081</v>
      </c>
      <c r="S46" s="1"/>
      <c r="T46" s="1">
        <f>SUM(OSRRefT22_1x_0)</f>
        <v>16497.419999999998</v>
      </c>
      <c r="U46" s="1"/>
      <c r="V46" s="5">
        <f t="shared" ref="V46:V50" si="27">IF(T$12=0,0,T46/T$12)</f>
        <v>1.129943247430518</v>
      </c>
      <c r="W46" s="1"/>
      <c r="X46" s="1">
        <f t="shared" ref="X46:X50" si="28">+P46-T46</f>
        <v>1424.4500000000044</v>
      </c>
      <c r="Y46" s="1"/>
      <c r="Z46" s="5">
        <f t="shared" ref="Z46:Z50" si="29">IF(T46=0,0,X46/T46)</f>
        <v>8.6343804061483828E-2</v>
      </c>
    </row>
    <row r="47" spans="1:26" s="24" customFormat="1" hidden="1" outlineLevel="2" x14ac:dyDescent="0.25">
      <c r="A47" s="29"/>
      <c r="B47" s="11" t="str">
        <f>CONCATENATE("          ", "6002", " - ", "STAFF SALARIES")</f>
        <v xml:space="preserve">          6002 - STAFF SALARIES</v>
      </c>
      <c r="C47" s="11"/>
      <c r="D47" s="7">
        <v>13674.37</v>
      </c>
      <c r="E47" s="2"/>
      <c r="F47" s="6">
        <f t="shared" si="22"/>
        <v>1.53487842192637</v>
      </c>
      <c r="G47" s="2"/>
      <c r="H47" s="7">
        <v>12575.14</v>
      </c>
      <c r="I47" s="2"/>
      <c r="J47" s="6">
        <f t="shared" si="23"/>
        <v>0.8612979804413905</v>
      </c>
      <c r="K47" s="2"/>
      <c r="L47" s="7">
        <f t="shared" si="24"/>
        <v>1099.2300000000014</v>
      </c>
      <c r="M47" s="2"/>
      <c r="N47" s="6">
        <f t="shared" si="25"/>
        <v>8.7412943315144126E-2</v>
      </c>
      <c r="O47" s="11"/>
      <c r="P47" s="7">
        <v>13674.37</v>
      </c>
      <c r="Q47" s="2"/>
      <c r="R47" s="6">
        <f t="shared" si="26"/>
        <v>1.53487842192637</v>
      </c>
      <c r="S47" s="2"/>
      <c r="T47" s="7">
        <v>12575.14</v>
      </c>
      <c r="U47" s="2"/>
      <c r="V47" s="6">
        <f t="shared" si="27"/>
        <v>0.8612979804413905</v>
      </c>
      <c r="W47" s="2"/>
      <c r="X47" s="7">
        <f t="shared" si="28"/>
        <v>1099.2300000000014</v>
      </c>
      <c r="Y47" s="2"/>
      <c r="Z47" s="6">
        <f t="shared" si="29"/>
        <v>8.7412943315144126E-2</v>
      </c>
    </row>
    <row r="48" spans="1:26" s="24" customFormat="1" hidden="1" outlineLevel="2" x14ac:dyDescent="0.25">
      <c r="A48" s="29"/>
      <c r="B48" s="11" t="str">
        <f>CONCATENATE("          ", "6005", " - ", "TEMPORARY WAGES-HOURLY")</f>
        <v xml:space="preserve">          6005 - TEMPORARY WAGES-HOURLY</v>
      </c>
      <c r="C48" s="11"/>
      <c r="D48" s="7">
        <v>987</v>
      </c>
      <c r="E48" s="2"/>
      <c r="F48" s="6">
        <f t="shared" si="22"/>
        <v>0.11078572559038018</v>
      </c>
      <c r="G48" s="2"/>
      <c r="H48" s="7">
        <v>787.96</v>
      </c>
      <c r="I48" s="2"/>
      <c r="J48" s="6">
        <f t="shared" si="23"/>
        <v>5.3969049781441646E-2</v>
      </c>
      <c r="K48" s="2"/>
      <c r="L48" s="7">
        <f t="shared" si="24"/>
        <v>199.03999999999996</v>
      </c>
      <c r="M48" s="2"/>
      <c r="N48" s="6">
        <f t="shared" si="25"/>
        <v>0.25260165490634034</v>
      </c>
      <c r="O48" s="11"/>
      <c r="P48" s="7">
        <v>987</v>
      </c>
      <c r="Q48" s="2"/>
      <c r="R48" s="6">
        <f t="shared" si="26"/>
        <v>0.11078572559038018</v>
      </c>
      <c r="S48" s="2"/>
      <c r="T48" s="7">
        <v>787.96</v>
      </c>
      <c r="U48" s="2"/>
      <c r="V48" s="6">
        <f t="shared" si="27"/>
        <v>5.3969049781441646E-2</v>
      </c>
      <c r="W48" s="2"/>
      <c r="X48" s="7">
        <f t="shared" si="28"/>
        <v>199.03999999999996</v>
      </c>
      <c r="Y48" s="2"/>
      <c r="Z48" s="6">
        <f t="shared" si="29"/>
        <v>0.25260165490634034</v>
      </c>
    </row>
    <row r="49" spans="1:26" s="24" customFormat="1" hidden="1" outlineLevel="2" x14ac:dyDescent="0.25">
      <c r="A49" s="29"/>
      <c r="B49" s="11" t="str">
        <f>CONCATENATE("          ", "6006", " - ", "TEMPORARY PART TIME")</f>
        <v xml:space="preserve">          6006 - TEMPORARY PART TIME</v>
      </c>
      <c r="C49" s="11"/>
      <c r="D49" s="7"/>
      <c r="E49" s="2"/>
      <c r="F49" s="6">
        <f t="shared" si="22"/>
        <v>0</v>
      </c>
      <c r="G49" s="2"/>
      <c r="H49" s="7">
        <v>772.69</v>
      </c>
      <c r="I49" s="2"/>
      <c r="J49" s="6">
        <f t="shared" si="23"/>
        <v>5.2923175130237761E-2</v>
      </c>
      <c r="K49" s="2"/>
      <c r="L49" s="7">
        <f t="shared" si="24"/>
        <v>-772.69</v>
      </c>
      <c r="M49" s="2"/>
      <c r="N49" s="6">
        <f t="shared" si="25"/>
        <v>-1</v>
      </c>
      <c r="O49" s="11"/>
      <c r="P49" s="7"/>
      <c r="Q49" s="2"/>
      <c r="R49" s="6">
        <f t="shared" si="26"/>
        <v>0</v>
      </c>
      <c r="S49" s="2"/>
      <c r="T49" s="7">
        <v>772.69</v>
      </c>
      <c r="U49" s="2"/>
      <c r="V49" s="6">
        <f t="shared" si="27"/>
        <v>5.2923175130237761E-2</v>
      </c>
      <c r="W49" s="2"/>
      <c r="X49" s="7">
        <f t="shared" si="28"/>
        <v>-772.69</v>
      </c>
      <c r="Y49" s="2"/>
      <c r="Z49" s="6">
        <f t="shared" si="29"/>
        <v>-1</v>
      </c>
    </row>
    <row r="50" spans="1:26" s="24" customFormat="1" hidden="1" outlineLevel="2" x14ac:dyDescent="0.25">
      <c r="A50" s="29"/>
      <c r="B50" s="11" t="str">
        <f>CONCATENATE("          ", "6007", " - ", "STUDENT HOURLY")</f>
        <v xml:space="preserve">          6007 - STUDENT HOURLY</v>
      </c>
      <c r="C50" s="11"/>
      <c r="D50" s="7">
        <v>3260.5</v>
      </c>
      <c r="E50" s="2"/>
      <c r="F50" s="6">
        <f t="shared" si="22"/>
        <v>0.36597452714025797</v>
      </c>
      <c r="G50" s="2"/>
      <c r="H50" s="7">
        <v>2361.63</v>
      </c>
      <c r="I50" s="2"/>
      <c r="J50" s="6">
        <f t="shared" si="23"/>
        <v>0.16175304207744814</v>
      </c>
      <c r="K50" s="2"/>
      <c r="L50" s="7">
        <f t="shared" si="24"/>
        <v>898.86999999999989</v>
      </c>
      <c r="M50" s="2"/>
      <c r="N50" s="6">
        <f t="shared" si="25"/>
        <v>0.38061423677714112</v>
      </c>
      <c r="O50" s="11"/>
      <c r="P50" s="7">
        <v>3260.5</v>
      </c>
      <c r="Q50" s="2"/>
      <c r="R50" s="6">
        <f t="shared" si="26"/>
        <v>0.36597452714025797</v>
      </c>
      <c r="S50" s="2"/>
      <c r="T50" s="7">
        <v>2361.63</v>
      </c>
      <c r="U50" s="2"/>
      <c r="V50" s="6">
        <f t="shared" si="27"/>
        <v>0.16175304207744814</v>
      </c>
      <c r="W50" s="2"/>
      <c r="X50" s="7">
        <f t="shared" si="28"/>
        <v>898.86999999999989</v>
      </c>
      <c r="Y50" s="2"/>
      <c r="Z50" s="6">
        <f t="shared" si="29"/>
        <v>0.38061423677714112</v>
      </c>
    </row>
    <row r="51" spans="1:26" s="28" customFormat="1" outlineLevel="1" collapsed="1" x14ac:dyDescent="0.25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0</v>
      </c>
      <c r="E51" s="1"/>
      <c r="F51" s="5">
        <f t="shared" ref="F51:F59" si="30">IF(D$12=0,0,D51/D$12)</f>
        <v>0</v>
      </c>
      <c r="G51" s="1"/>
      <c r="H51" s="1">
        <f>SUM(OSRRefH22_2x_0)</f>
        <v>518</v>
      </c>
      <c r="I51" s="1"/>
      <c r="J51" s="5">
        <f t="shared" ref="J51:J59" si="31">IF(H$12=0,0,H51/H$12)</f>
        <v>3.5478917440970065E-2</v>
      </c>
      <c r="K51" s="1"/>
      <c r="L51" s="1">
        <f t="shared" ref="L51:L59" si="32">+D51-H51</f>
        <v>-518</v>
      </c>
      <c r="M51" s="1"/>
      <c r="N51" s="5">
        <f t="shared" ref="N51:N59" si="33">IF(H51=0,0,L51/H51)</f>
        <v>-1</v>
      </c>
      <c r="O51" s="14"/>
      <c r="P51" s="1">
        <f>SUM(OSRRefP22_2x_0)</f>
        <v>0</v>
      </c>
      <c r="Q51" s="1"/>
      <c r="R51" s="5">
        <f t="shared" ref="R51:R59" si="34">IF(P$12=0,0,P51/P$12)</f>
        <v>0</v>
      </c>
      <c r="S51" s="1"/>
      <c r="T51" s="1">
        <f>SUM(OSRRefT22_2x_0)</f>
        <v>518</v>
      </c>
      <c r="U51" s="1"/>
      <c r="V51" s="5">
        <f t="shared" ref="V51:V59" si="35">IF(T$12=0,0,T51/T$12)</f>
        <v>3.5478917440970065E-2</v>
      </c>
      <c r="W51" s="1"/>
      <c r="X51" s="1">
        <f t="shared" ref="X51:X59" si="36">+P51-T51</f>
        <v>-518</v>
      </c>
      <c r="Y51" s="1"/>
      <c r="Z51" s="5">
        <f t="shared" ref="Z51:Z59" si="37">IF(T51=0,0,X51/T51)</f>
        <v>-1</v>
      </c>
    </row>
    <row r="52" spans="1:26" s="24" customFormat="1" hidden="1" outlineLevel="2" x14ac:dyDescent="0.25">
      <c r="A52" s="29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30"/>
        <v>0</v>
      </c>
      <c r="G52" s="2"/>
      <c r="H52" s="7">
        <v>518</v>
      </c>
      <c r="I52" s="2"/>
      <c r="J52" s="6">
        <f t="shared" si="31"/>
        <v>3.5478917440970065E-2</v>
      </c>
      <c r="K52" s="2"/>
      <c r="L52" s="7">
        <f t="shared" si="32"/>
        <v>-518</v>
      </c>
      <c r="M52" s="2"/>
      <c r="N52" s="6">
        <f t="shared" si="33"/>
        <v>-1</v>
      </c>
      <c r="O52" s="11"/>
      <c r="P52" s="7"/>
      <c r="Q52" s="2"/>
      <c r="R52" s="6">
        <f t="shared" si="34"/>
        <v>0</v>
      </c>
      <c r="S52" s="2"/>
      <c r="T52" s="7">
        <v>518</v>
      </c>
      <c r="U52" s="2"/>
      <c r="V52" s="6">
        <f t="shared" si="35"/>
        <v>3.5478917440970065E-2</v>
      </c>
      <c r="W52" s="2"/>
      <c r="X52" s="7">
        <f t="shared" si="36"/>
        <v>-518</v>
      </c>
      <c r="Y52" s="2"/>
      <c r="Z52" s="6">
        <f t="shared" si="37"/>
        <v>-1</v>
      </c>
    </row>
    <row r="53" spans="1:26" s="28" customFormat="1" outlineLevel="1" collapsed="1" x14ac:dyDescent="0.25">
      <c r="A53" s="27"/>
      <c r="B53" s="14" t="str">
        <f>CONCATENATE("     ","Discounts and Markdowns                           ")</f>
        <v xml:space="preserve">     Discounts and Markdowns                           </v>
      </c>
      <c r="C53" s="14"/>
      <c r="D53" s="1">
        <f>SUM(OSRRefD22_3x_0)</f>
        <v>68.47</v>
      </c>
      <c r="E53" s="1"/>
      <c r="F53" s="5">
        <f t="shared" si="30"/>
        <v>7.6854089474907104E-3</v>
      </c>
      <c r="G53" s="1"/>
      <c r="H53" s="1">
        <f>SUM(OSRRefH22_3x_0)</f>
        <v>80</v>
      </c>
      <c r="I53" s="1"/>
      <c r="J53" s="5">
        <f t="shared" si="31"/>
        <v>5.4793694889529055E-3</v>
      </c>
      <c r="K53" s="1"/>
      <c r="L53" s="1">
        <f t="shared" si="32"/>
        <v>-11.530000000000001</v>
      </c>
      <c r="M53" s="1"/>
      <c r="N53" s="5">
        <f t="shared" si="33"/>
        <v>-0.144125</v>
      </c>
      <c r="O53" s="14"/>
      <c r="P53" s="1">
        <f>SUM(OSRRefP22_3x_0)</f>
        <v>68.47</v>
      </c>
      <c r="Q53" s="1"/>
      <c r="R53" s="5">
        <f t="shared" si="34"/>
        <v>7.6854089474907104E-3</v>
      </c>
      <c r="S53" s="1"/>
      <c r="T53" s="1">
        <f>SUM(OSRRefT22_3x_0)</f>
        <v>80</v>
      </c>
      <c r="U53" s="1"/>
      <c r="V53" s="5">
        <f t="shared" si="35"/>
        <v>5.4793694889529055E-3</v>
      </c>
      <c r="W53" s="1"/>
      <c r="X53" s="1">
        <f t="shared" si="36"/>
        <v>-11.530000000000001</v>
      </c>
      <c r="Y53" s="1"/>
      <c r="Z53" s="5">
        <f t="shared" si="37"/>
        <v>-0.144125</v>
      </c>
    </row>
    <row r="54" spans="1:26" s="24" customFormat="1" hidden="1" outlineLevel="2" x14ac:dyDescent="0.25">
      <c r="A54" s="29"/>
      <c r="B54" s="11" t="str">
        <f>CONCATENATE("          ", "6382", " - ", "DISCOUNTS/MARK DOWNS")</f>
        <v xml:space="preserve">          6382 - DISCOUNTS/MARK DOWNS</v>
      </c>
      <c r="C54" s="11"/>
      <c r="D54" s="7">
        <v>68.47</v>
      </c>
      <c r="E54" s="2"/>
      <c r="F54" s="6">
        <f t="shared" si="30"/>
        <v>7.6854089474907104E-3</v>
      </c>
      <c r="G54" s="2"/>
      <c r="H54" s="7">
        <v>80</v>
      </c>
      <c r="I54" s="2"/>
      <c r="J54" s="6">
        <f t="shared" si="31"/>
        <v>5.4793694889529055E-3</v>
      </c>
      <c r="K54" s="2"/>
      <c r="L54" s="7">
        <f t="shared" si="32"/>
        <v>-11.530000000000001</v>
      </c>
      <c r="M54" s="2"/>
      <c r="N54" s="6">
        <f t="shared" si="33"/>
        <v>-0.144125</v>
      </c>
      <c r="O54" s="11"/>
      <c r="P54" s="7">
        <v>68.47</v>
      </c>
      <c r="Q54" s="2"/>
      <c r="R54" s="6">
        <f t="shared" si="34"/>
        <v>7.6854089474907104E-3</v>
      </c>
      <c r="S54" s="2"/>
      <c r="T54" s="7">
        <v>80</v>
      </c>
      <c r="U54" s="2"/>
      <c r="V54" s="6">
        <f t="shared" si="35"/>
        <v>5.4793694889529055E-3</v>
      </c>
      <c r="W54" s="2"/>
      <c r="X54" s="7">
        <f t="shared" si="36"/>
        <v>-11.530000000000001</v>
      </c>
      <c r="Y54" s="2"/>
      <c r="Z54" s="6">
        <f t="shared" si="37"/>
        <v>-0.144125</v>
      </c>
    </row>
    <row r="55" spans="1:26" s="28" customFormat="1" outlineLevel="1" collapsed="1" x14ac:dyDescent="0.2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SUM(OSRRefD22_4x_0)</f>
        <v>1205.6400000000001</v>
      </c>
      <c r="E55" s="1"/>
      <c r="F55" s="5">
        <f t="shared" si="30"/>
        <v>0.13532695258438296</v>
      </c>
      <c r="G55" s="1"/>
      <c r="H55" s="1">
        <f>SUM(OSRRefH22_4x_0)</f>
        <v>3144.19</v>
      </c>
      <c r="I55" s="1"/>
      <c r="J55" s="5">
        <f t="shared" si="31"/>
        <v>0.21535223441838547</v>
      </c>
      <c r="K55" s="1"/>
      <c r="L55" s="1">
        <f t="shared" si="32"/>
        <v>-1938.55</v>
      </c>
      <c r="M55" s="1"/>
      <c r="N55" s="5">
        <f t="shared" si="33"/>
        <v>-0.61654989043283004</v>
      </c>
      <c r="O55" s="14"/>
      <c r="P55" s="1">
        <f>SUM(OSRRefP22_4x_0)</f>
        <v>1205.6400000000001</v>
      </c>
      <c r="Q55" s="1"/>
      <c r="R55" s="5">
        <f t="shared" si="34"/>
        <v>0.13532695258438296</v>
      </c>
      <c r="S55" s="1"/>
      <c r="T55" s="1">
        <f>SUM(OSRRefT22_4x_0)</f>
        <v>3144.19</v>
      </c>
      <c r="U55" s="1"/>
      <c r="V55" s="5">
        <f t="shared" si="35"/>
        <v>0.21535223441838547</v>
      </c>
      <c r="W55" s="1"/>
      <c r="X55" s="1">
        <f t="shared" si="36"/>
        <v>-1938.55</v>
      </c>
      <c r="Y55" s="1"/>
      <c r="Z55" s="5">
        <f t="shared" si="37"/>
        <v>-0.61654989043283004</v>
      </c>
    </row>
    <row r="56" spans="1:26" s="24" customFormat="1" hidden="1" outlineLevel="2" x14ac:dyDescent="0.2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1205.6400000000001</v>
      </c>
      <c r="E56" s="2"/>
      <c r="F56" s="6">
        <f t="shared" si="30"/>
        <v>0.13532695258438296</v>
      </c>
      <c r="G56" s="2"/>
      <c r="H56" s="7">
        <v>3144.19</v>
      </c>
      <c r="I56" s="2"/>
      <c r="J56" s="6">
        <f t="shared" si="31"/>
        <v>0.21535223441838547</v>
      </c>
      <c r="K56" s="2"/>
      <c r="L56" s="7">
        <f t="shared" si="32"/>
        <v>-1938.55</v>
      </c>
      <c r="M56" s="2"/>
      <c r="N56" s="6">
        <f t="shared" si="33"/>
        <v>-0.61654989043283004</v>
      </c>
      <c r="O56" s="11"/>
      <c r="P56" s="7">
        <v>1205.6400000000001</v>
      </c>
      <c r="Q56" s="2"/>
      <c r="R56" s="6">
        <f t="shared" si="34"/>
        <v>0.13532695258438296</v>
      </c>
      <c r="S56" s="2"/>
      <c r="T56" s="7">
        <v>3144.19</v>
      </c>
      <c r="U56" s="2"/>
      <c r="V56" s="6">
        <f t="shared" si="35"/>
        <v>0.21535223441838547</v>
      </c>
      <c r="W56" s="2"/>
      <c r="X56" s="7">
        <f t="shared" si="36"/>
        <v>-1938.55</v>
      </c>
      <c r="Y56" s="2"/>
      <c r="Z56" s="6">
        <f t="shared" si="37"/>
        <v>-0.61654989043283004</v>
      </c>
    </row>
    <row r="57" spans="1:26" s="28" customFormat="1" outlineLevel="1" collapsed="1" x14ac:dyDescent="0.2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SUM(OSRRefD22_5x_0)</f>
        <v>-2596.42</v>
      </c>
      <c r="E57" s="1"/>
      <c r="F57" s="5">
        <f t="shared" si="30"/>
        <v>-0.29143492769744167</v>
      </c>
      <c r="G57" s="1"/>
      <c r="H57" s="1">
        <f>SUM(OSRRefH22_5x_0)</f>
        <v>-401.94999999999982</v>
      </c>
      <c r="I57" s="1"/>
      <c r="J57" s="5">
        <f t="shared" si="31"/>
        <v>-2.7530407076057743E-2</v>
      </c>
      <c r="K57" s="1"/>
      <c r="L57" s="1">
        <f t="shared" si="32"/>
        <v>-2194.4700000000003</v>
      </c>
      <c r="M57" s="1"/>
      <c r="N57" s="5">
        <f t="shared" si="33"/>
        <v>5.4595596467222318</v>
      </c>
      <c r="O57" s="14"/>
      <c r="P57" s="1">
        <f>SUM(OSRRefP22_5x_0)</f>
        <v>-2596.42</v>
      </c>
      <c r="Q57" s="1"/>
      <c r="R57" s="5">
        <f t="shared" si="34"/>
        <v>-0.29143492769744167</v>
      </c>
      <c r="S57" s="1"/>
      <c r="T57" s="1">
        <f>SUM(OSRRefT22_5x_0)</f>
        <v>-401.94999999999982</v>
      </c>
      <c r="U57" s="1"/>
      <c r="V57" s="5">
        <f t="shared" si="35"/>
        <v>-2.7530407076057743E-2</v>
      </c>
      <c r="W57" s="1"/>
      <c r="X57" s="1">
        <f t="shared" si="36"/>
        <v>-2194.4700000000003</v>
      </c>
      <c r="Y57" s="1"/>
      <c r="Z57" s="5">
        <f t="shared" si="37"/>
        <v>5.4595596467222318</v>
      </c>
    </row>
    <row r="58" spans="1:26" s="24" customFormat="1" hidden="1" outlineLevel="2" x14ac:dyDescent="0.25">
      <c r="A58" s="29"/>
      <c r="B58" s="11" t="str">
        <f>CONCATENATE("          ", "6305", " - ", "FREIGHT OUT")</f>
        <v xml:space="preserve">          6305 - FREIGHT OUT</v>
      </c>
      <c r="C58" s="11"/>
      <c r="D58" s="7">
        <v>1053.1300000000001</v>
      </c>
      <c r="E58" s="2"/>
      <c r="F58" s="6">
        <f t="shared" si="30"/>
        <v>0.11820848144984508</v>
      </c>
      <c r="G58" s="2"/>
      <c r="H58" s="7">
        <v>2130.5100000000002</v>
      </c>
      <c r="I58" s="2"/>
      <c r="J58" s="6">
        <f t="shared" si="31"/>
        <v>0.14592314362386322</v>
      </c>
      <c r="K58" s="2"/>
      <c r="L58" s="7">
        <f t="shared" si="32"/>
        <v>-1077.3800000000001</v>
      </c>
      <c r="M58" s="2"/>
      <c r="N58" s="6">
        <f t="shared" si="33"/>
        <v>-0.50569112559903495</v>
      </c>
      <c r="O58" s="11"/>
      <c r="P58" s="7">
        <v>1053.1300000000001</v>
      </c>
      <c r="Q58" s="2"/>
      <c r="R58" s="6">
        <f t="shared" si="34"/>
        <v>0.11820848144984508</v>
      </c>
      <c r="S58" s="2"/>
      <c r="T58" s="7">
        <v>2130.5100000000002</v>
      </c>
      <c r="U58" s="2"/>
      <c r="V58" s="6">
        <f t="shared" si="35"/>
        <v>0.14592314362386322</v>
      </c>
      <c r="W58" s="2"/>
      <c r="X58" s="7">
        <f t="shared" si="36"/>
        <v>-1077.3800000000001</v>
      </c>
      <c r="Y58" s="2"/>
      <c r="Z58" s="6">
        <f t="shared" si="37"/>
        <v>-0.50569112559903495</v>
      </c>
    </row>
    <row r="59" spans="1:26" s="24" customFormat="1" hidden="1" outlineLevel="2" x14ac:dyDescent="0.25">
      <c r="A59" s="29"/>
      <c r="B59" s="11" t="str">
        <f>CONCATENATE("          ", "6307", " - ", "POSTAGE")</f>
        <v xml:space="preserve">          6307 - POSTAGE</v>
      </c>
      <c r="C59" s="11"/>
      <c r="D59" s="7">
        <v>-3649.55</v>
      </c>
      <c r="E59" s="2"/>
      <c r="F59" s="6">
        <f t="shared" si="30"/>
        <v>-0.40964340914728675</v>
      </c>
      <c r="G59" s="2"/>
      <c r="H59" s="7">
        <v>-2532.46</v>
      </c>
      <c r="I59" s="2"/>
      <c r="J59" s="6">
        <f t="shared" si="31"/>
        <v>-0.17345355069992094</v>
      </c>
      <c r="K59" s="2"/>
      <c r="L59" s="7">
        <f t="shared" si="32"/>
        <v>-1117.0900000000001</v>
      </c>
      <c r="M59" s="2"/>
      <c r="N59" s="6">
        <f t="shared" si="33"/>
        <v>0.44110864534879135</v>
      </c>
      <c r="O59" s="11"/>
      <c r="P59" s="7">
        <v>-3649.55</v>
      </c>
      <c r="Q59" s="2"/>
      <c r="R59" s="6">
        <f t="shared" si="34"/>
        <v>-0.40964340914728675</v>
      </c>
      <c r="S59" s="2"/>
      <c r="T59" s="7">
        <v>-2532.46</v>
      </c>
      <c r="U59" s="2"/>
      <c r="V59" s="6">
        <f t="shared" si="35"/>
        <v>-0.17345355069992094</v>
      </c>
      <c r="W59" s="2"/>
      <c r="X59" s="7">
        <f t="shared" si="36"/>
        <v>-1117.0900000000001</v>
      </c>
      <c r="Y59" s="2"/>
      <c r="Z59" s="6">
        <f t="shared" si="37"/>
        <v>0.44110864534879135</v>
      </c>
    </row>
    <row r="60" spans="1:26" s="28" customFormat="1" outlineLevel="1" collapsed="1" x14ac:dyDescent="0.25">
      <c r="A60" s="27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SUM(OSRRefD22_6x_0)</f>
        <v>0</v>
      </c>
      <c r="E60" s="1"/>
      <c r="F60" s="5">
        <f t="shared" ref="F60:F71" si="38">IF(D$12=0,0,D60/D$12)</f>
        <v>0</v>
      </c>
      <c r="G60" s="1"/>
      <c r="H60" s="1">
        <f>SUM(OSRRefH22_6x_0)</f>
        <v>100</v>
      </c>
      <c r="I60" s="1"/>
      <c r="J60" s="5">
        <f t="shared" ref="J60:J71" si="39">IF(H$12=0,0,H60/H$12)</f>
        <v>6.8492118611911323E-3</v>
      </c>
      <c r="K60" s="1"/>
      <c r="L60" s="1">
        <f t="shared" ref="L60:L71" si="40">+D60-H60</f>
        <v>-100</v>
      </c>
      <c r="M60" s="1"/>
      <c r="N60" s="5">
        <f t="shared" ref="N60:N71" si="41">IF(H60=0,0,L60/H60)</f>
        <v>-1</v>
      </c>
      <c r="O60" s="14"/>
      <c r="P60" s="1">
        <f>SUM(OSRRefP22_6x_0)</f>
        <v>0</v>
      </c>
      <c r="Q60" s="1"/>
      <c r="R60" s="5">
        <f t="shared" ref="R60:R71" si="42">IF(P$12=0,0,P60/P$12)</f>
        <v>0</v>
      </c>
      <c r="S60" s="1"/>
      <c r="T60" s="1">
        <f>SUM(OSRRefT22_6x_0)</f>
        <v>100</v>
      </c>
      <c r="U60" s="1"/>
      <c r="V60" s="5">
        <f t="shared" ref="V60:V71" si="43">IF(T$12=0,0,T60/T$12)</f>
        <v>6.8492118611911323E-3</v>
      </c>
      <c r="W60" s="1"/>
      <c r="X60" s="1">
        <f t="shared" ref="X60:X71" si="44">+P60-T60</f>
        <v>-100</v>
      </c>
      <c r="Y60" s="1"/>
      <c r="Z60" s="5">
        <f t="shared" ref="Z60:Z71" si="45">IF(T60=0,0,X60/T60)</f>
        <v>-1</v>
      </c>
    </row>
    <row r="61" spans="1:26" s="24" customFormat="1" hidden="1" outlineLevel="2" x14ac:dyDescent="0.25">
      <c r="A61" s="29"/>
      <c r="B61" s="11" t="str">
        <f>CONCATENATE("          ", "6408", " - ", "INVENTORY ADJUSTMENT")</f>
        <v xml:space="preserve">          6408 - INVENTORY ADJUSTMENT</v>
      </c>
      <c r="C61" s="11"/>
      <c r="D61" s="7"/>
      <c r="E61" s="2"/>
      <c r="F61" s="6">
        <f t="shared" si="38"/>
        <v>0</v>
      </c>
      <c r="G61" s="2"/>
      <c r="H61" s="7">
        <v>100</v>
      </c>
      <c r="I61" s="2"/>
      <c r="J61" s="6">
        <f t="shared" si="39"/>
        <v>6.8492118611911323E-3</v>
      </c>
      <c r="K61" s="2"/>
      <c r="L61" s="7">
        <f t="shared" si="40"/>
        <v>-100</v>
      </c>
      <c r="M61" s="2"/>
      <c r="N61" s="6">
        <f t="shared" si="41"/>
        <v>-1</v>
      </c>
      <c r="O61" s="11"/>
      <c r="P61" s="7"/>
      <c r="Q61" s="2"/>
      <c r="R61" s="6">
        <f t="shared" si="42"/>
        <v>0</v>
      </c>
      <c r="S61" s="2"/>
      <c r="T61" s="7">
        <v>100</v>
      </c>
      <c r="U61" s="2"/>
      <c r="V61" s="6">
        <f t="shared" si="43"/>
        <v>6.8492118611911323E-3</v>
      </c>
      <c r="W61" s="2"/>
      <c r="X61" s="7">
        <f t="shared" si="44"/>
        <v>-100</v>
      </c>
      <c r="Y61" s="2"/>
      <c r="Z61" s="6">
        <f t="shared" si="45"/>
        <v>-1</v>
      </c>
    </row>
    <row r="62" spans="1:26" s="28" customFormat="1" outlineLevel="1" collapsed="1" x14ac:dyDescent="0.25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SUM(OSRRefD22_7x_0)</f>
        <v>5942.4</v>
      </c>
      <c r="E62" s="1"/>
      <c r="F62" s="5">
        <f t="shared" si="38"/>
        <v>0.66700414969430111</v>
      </c>
      <c r="G62" s="1"/>
      <c r="H62" s="1">
        <f>SUM(OSRRefH22_7x_0)</f>
        <v>8591.74</v>
      </c>
      <c r="I62" s="1"/>
      <c r="J62" s="5">
        <f t="shared" si="39"/>
        <v>0.58846647516270301</v>
      </c>
      <c r="K62" s="1"/>
      <c r="L62" s="1">
        <f t="shared" si="40"/>
        <v>-2649.34</v>
      </c>
      <c r="M62" s="1"/>
      <c r="N62" s="5">
        <f t="shared" si="41"/>
        <v>-0.30835895872081792</v>
      </c>
      <c r="O62" s="14"/>
      <c r="P62" s="1">
        <f>SUM(OSRRefP22_7x_0)</f>
        <v>5942.4</v>
      </c>
      <c r="Q62" s="1"/>
      <c r="R62" s="5">
        <f t="shared" si="42"/>
        <v>0.66700414969430111</v>
      </c>
      <c r="S62" s="1"/>
      <c r="T62" s="1">
        <f>SUM(OSRRefT22_7x_0)</f>
        <v>8591.74</v>
      </c>
      <c r="U62" s="1"/>
      <c r="V62" s="5">
        <f t="shared" si="43"/>
        <v>0.58846647516270301</v>
      </c>
      <c r="W62" s="1"/>
      <c r="X62" s="1">
        <f t="shared" si="44"/>
        <v>-2649.34</v>
      </c>
      <c r="Y62" s="1"/>
      <c r="Z62" s="5">
        <f t="shared" si="45"/>
        <v>-0.30835895872081792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7">
        <v>5942.4</v>
      </c>
      <c r="E63" s="2"/>
      <c r="F63" s="6">
        <f t="shared" si="38"/>
        <v>0.66700414969430111</v>
      </c>
      <c r="G63" s="2"/>
      <c r="H63" s="7">
        <v>8591.74</v>
      </c>
      <c r="I63" s="2"/>
      <c r="J63" s="6">
        <f t="shared" si="39"/>
        <v>0.58846647516270301</v>
      </c>
      <c r="K63" s="2"/>
      <c r="L63" s="7">
        <f t="shared" si="40"/>
        <v>-2649.34</v>
      </c>
      <c r="M63" s="2"/>
      <c r="N63" s="6">
        <f t="shared" si="41"/>
        <v>-0.30835895872081792</v>
      </c>
      <c r="O63" s="11"/>
      <c r="P63" s="7">
        <v>5942.4</v>
      </c>
      <c r="Q63" s="2"/>
      <c r="R63" s="6">
        <f t="shared" si="42"/>
        <v>0.66700414969430111</v>
      </c>
      <c r="S63" s="2"/>
      <c r="T63" s="7">
        <v>8591.74</v>
      </c>
      <c r="U63" s="2"/>
      <c r="V63" s="6">
        <f t="shared" si="43"/>
        <v>0.58846647516270301</v>
      </c>
      <c r="W63" s="2"/>
      <c r="X63" s="7">
        <f t="shared" si="44"/>
        <v>-2649.34</v>
      </c>
      <c r="Y63" s="2"/>
      <c r="Z63" s="6">
        <f t="shared" si="45"/>
        <v>-0.30835895872081792</v>
      </c>
    </row>
    <row r="64" spans="1:26" s="28" customFormat="1" outlineLevel="1" collapsed="1" x14ac:dyDescent="0.25">
      <c r="A64" s="27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605.01</v>
      </c>
      <c r="E64" s="1"/>
      <c r="F64" s="5">
        <f t="shared" si="38"/>
        <v>6.790929264380538E-2</v>
      </c>
      <c r="G64" s="1"/>
      <c r="H64" s="1">
        <f>SUM(OSRRefH22_8x_0)</f>
        <v>691.84</v>
      </c>
      <c r="I64" s="1"/>
      <c r="J64" s="5">
        <f t="shared" si="39"/>
        <v>4.7385587340464733E-2</v>
      </c>
      <c r="K64" s="1"/>
      <c r="L64" s="1">
        <f t="shared" si="40"/>
        <v>-86.830000000000041</v>
      </c>
      <c r="M64" s="1"/>
      <c r="N64" s="5">
        <f t="shared" si="41"/>
        <v>-0.12550589731729886</v>
      </c>
      <c r="O64" s="14"/>
      <c r="P64" s="1">
        <f>SUM(OSRRefP22_8x_0)</f>
        <v>605.01</v>
      </c>
      <c r="Q64" s="1"/>
      <c r="R64" s="5">
        <f t="shared" si="42"/>
        <v>6.790929264380538E-2</v>
      </c>
      <c r="S64" s="1"/>
      <c r="T64" s="1">
        <f>SUM(OSRRefT22_8x_0)</f>
        <v>691.84</v>
      </c>
      <c r="U64" s="1"/>
      <c r="V64" s="5">
        <f t="shared" si="43"/>
        <v>4.7385587340464733E-2</v>
      </c>
      <c r="W64" s="1"/>
      <c r="X64" s="1">
        <f t="shared" si="44"/>
        <v>-86.830000000000041</v>
      </c>
      <c r="Y64" s="1"/>
      <c r="Z64" s="5">
        <f t="shared" si="45"/>
        <v>-0.12550589731729886</v>
      </c>
    </row>
    <row r="65" spans="1:26" s="24" customFormat="1" hidden="1" outlineLevel="2" x14ac:dyDescent="0.25">
      <c r="A65" s="29"/>
      <c r="B65" s="11" t="str">
        <f>CONCATENATE("          ", "6259", " - ", "ROYALTY &amp; COMMISSIONS")</f>
        <v xml:space="preserve">          6259 - ROYALTY &amp; COMMISSIONS</v>
      </c>
      <c r="C65" s="11"/>
      <c r="D65" s="7">
        <v>605.01</v>
      </c>
      <c r="E65" s="2"/>
      <c r="F65" s="6">
        <f t="shared" si="38"/>
        <v>6.790929264380538E-2</v>
      </c>
      <c r="G65" s="2"/>
      <c r="H65" s="7">
        <v>691.84</v>
      </c>
      <c r="I65" s="2"/>
      <c r="J65" s="6">
        <f t="shared" si="39"/>
        <v>4.7385587340464733E-2</v>
      </c>
      <c r="K65" s="2"/>
      <c r="L65" s="7">
        <f t="shared" si="40"/>
        <v>-86.830000000000041</v>
      </c>
      <c r="M65" s="2"/>
      <c r="N65" s="6">
        <f t="shared" si="41"/>
        <v>-0.12550589731729886</v>
      </c>
      <c r="O65" s="11"/>
      <c r="P65" s="7">
        <v>605.01</v>
      </c>
      <c r="Q65" s="2"/>
      <c r="R65" s="6">
        <f t="shared" si="42"/>
        <v>6.790929264380538E-2</v>
      </c>
      <c r="S65" s="2"/>
      <c r="T65" s="7">
        <v>691.84</v>
      </c>
      <c r="U65" s="2"/>
      <c r="V65" s="6">
        <f t="shared" si="43"/>
        <v>4.7385587340464733E-2</v>
      </c>
      <c r="W65" s="2"/>
      <c r="X65" s="7">
        <f t="shared" si="44"/>
        <v>-86.830000000000041</v>
      </c>
      <c r="Y65" s="2"/>
      <c r="Z65" s="6">
        <f t="shared" si="45"/>
        <v>-0.12550589731729886</v>
      </c>
    </row>
    <row r="66" spans="1:26" s="28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3495.6899999999996</v>
      </c>
      <c r="E66" s="1"/>
      <c r="F66" s="5">
        <f t="shared" si="38"/>
        <v>0.39237340738504162</v>
      </c>
      <c r="G66" s="1"/>
      <c r="H66" s="1">
        <f>SUM(OSRRefH22_9x_0)</f>
        <v>4443.13</v>
      </c>
      <c r="I66" s="1"/>
      <c r="J66" s="5">
        <f t="shared" si="39"/>
        <v>0.30431938696814154</v>
      </c>
      <c r="K66" s="1"/>
      <c r="L66" s="1">
        <f t="shared" si="40"/>
        <v>-947.44000000000051</v>
      </c>
      <c r="M66" s="1"/>
      <c r="N66" s="5">
        <f t="shared" si="41"/>
        <v>-0.21323706486193303</v>
      </c>
      <c r="O66" s="14"/>
      <c r="P66" s="1">
        <f>SUM(OSRRefP22_9x_0)</f>
        <v>3495.6899999999996</v>
      </c>
      <c r="Q66" s="1"/>
      <c r="R66" s="5">
        <f t="shared" si="42"/>
        <v>0.39237340738504162</v>
      </c>
      <c r="S66" s="1"/>
      <c r="T66" s="1">
        <f>SUM(OSRRefT22_9x_0)</f>
        <v>4443.13</v>
      </c>
      <c r="U66" s="1"/>
      <c r="V66" s="5">
        <f t="shared" si="43"/>
        <v>0.30431938696814154</v>
      </c>
      <c r="W66" s="1"/>
      <c r="X66" s="1">
        <f t="shared" si="44"/>
        <v>-947.44000000000051</v>
      </c>
      <c r="Y66" s="1"/>
      <c r="Z66" s="5">
        <f t="shared" si="45"/>
        <v>-0.21323706486193303</v>
      </c>
    </row>
    <row r="67" spans="1:26" s="24" customFormat="1" hidden="1" outlineLevel="2" x14ac:dyDescent="0.25">
      <c r="A67" s="29"/>
      <c r="B67" s="11" t="str">
        <f>CONCATENATE("          ", "6234", " - ", "EXPENDABLE SUPPLIES &amp; EQUIPMEN")</f>
        <v xml:space="preserve">          6234 - EXPENDABLE SUPPLIES &amp; EQUIPMEN</v>
      </c>
      <c r="C67" s="11"/>
      <c r="D67" s="7">
        <v>17.27</v>
      </c>
      <c r="E67" s="2"/>
      <c r="F67" s="6">
        <f t="shared" si="38"/>
        <v>1.9384695855581213E-3</v>
      </c>
      <c r="G67" s="2"/>
      <c r="H67" s="7"/>
      <c r="I67" s="2"/>
      <c r="J67" s="6">
        <f t="shared" si="39"/>
        <v>0</v>
      </c>
      <c r="K67" s="2"/>
      <c r="L67" s="7">
        <f t="shared" si="40"/>
        <v>17.27</v>
      </c>
      <c r="M67" s="2"/>
      <c r="N67" s="6">
        <f t="shared" si="41"/>
        <v>0</v>
      </c>
      <c r="O67" s="11"/>
      <c r="P67" s="7">
        <v>17.27</v>
      </c>
      <c r="Q67" s="2"/>
      <c r="R67" s="6">
        <f t="shared" si="42"/>
        <v>1.9384695855581213E-3</v>
      </c>
      <c r="S67" s="2"/>
      <c r="T67" s="7"/>
      <c r="U67" s="2"/>
      <c r="V67" s="6">
        <f t="shared" si="43"/>
        <v>0</v>
      </c>
      <c r="W67" s="2"/>
      <c r="X67" s="7">
        <f t="shared" si="44"/>
        <v>17.27</v>
      </c>
      <c r="Y67" s="2"/>
      <c r="Z67" s="6">
        <f t="shared" si="45"/>
        <v>0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8"/>
        <v>0</v>
      </c>
      <c r="G68" s="2"/>
      <c r="H68" s="7">
        <v>1.59</v>
      </c>
      <c r="I68" s="2"/>
      <c r="J68" s="6">
        <f t="shared" si="39"/>
        <v>1.0890246859293901E-4</v>
      </c>
      <c r="K68" s="2"/>
      <c r="L68" s="7">
        <f t="shared" si="40"/>
        <v>-1.59</v>
      </c>
      <c r="M68" s="2"/>
      <c r="N68" s="6">
        <f t="shared" si="41"/>
        <v>-1</v>
      </c>
      <c r="O68" s="11"/>
      <c r="P68" s="7"/>
      <c r="Q68" s="2"/>
      <c r="R68" s="6">
        <f t="shared" si="42"/>
        <v>0</v>
      </c>
      <c r="S68" s="2"/>
      <c r="T68" s="7">
        <v>1.59</v>
      </c>
      <c r="U68" s="2"/>
      <c r="V68" s="6">
        <f t="shared" si="43"/>
        <v>1.0890246859293901E-4</v>
      </c>
      <c r="W68" s="2"/>
      <c r="X68" s="7">
        <f t="shared" si="44"/>
        <v>-1.59</v>
      </c>
      <c r="Y68" s="2"/>
      <c r="Z68" s="6">
        <f t="shared" si="45"/>
        <v>-1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7">
        <v>1161.3399999999999</v>
      </c>
      <c r="E69" s="2"/>
      <c r="F69" s="6">
        <f t="shared" si="38"/>
        <v>0.13035450309739829</v>
      </c>
      <c r="G69" s="2"/>
      <c r="H69" s="7">
        <v>2437.0300000000002</v>
      </c>
      <c r="I69" s="2"/>
      <c r="J69" s="6">
        <f t="shared" si="39"/>
        <v>0.16691734782078627</v>
      </c>
      <c r="K69" s="2"/>
      <c r="L69" s="7">
        <f t="shared" si="40"/>
        <v>-1275.6900000000003</v>
      </c>
      <c r="M69" s="2"/>
      <c r="N69" s="6">
        <f t="shared" si="41"/>
        <v>-0.52346093400573657</v>
      </c>
      <c r="O69" s="11"/>
      <c r="P69" s="7">
        <v>1161.3399999999999</v>
      </c>
      <c r="Q69" s="2"/>
      <c r="R69" s="6">
        <f t="shared" si="42"/>
        <v>0.13035450309739829</v>
      </c>
      <c r="S69" s="2"/>
      <c r="T69" s="7">
        <v>2437.0300000000002</v>
      </c>
      <c r="U69" s="2"/>
      <c r="V69" s="6">
        <f t="shared" si="43"/>
        <v>0.16691734782078627</v>
      </c>
      <c r="W69" s="2"/>
      <c r="X69" s="7">
        <f t="shared" si="44"/>
        <v>-1275.6900000000003</v>
      </c>
      <c r="Y69" s="2"/>
      <c r="Z69" s="6">
        <f t="shared" si="45"/>
        <v>-0.52346093400573657</v>
      </c>
    </row>
    <row r="70" spans="1:26" s="24" customFormat="1" hidden="1" outlineLevel="2" x14ac:dyDescent="0.25">
      <c r="A70" s="29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38"/>
        <v>0</v>
      </c>
      <c r="G70" s="2"/>
      <c r="H70" s="7">
        <v>2.62</v>
      </c>
      <c r="I70" s="2"/>
      <c r="J70" s="6">
        <f t="shared" si="39"/>
        <v>1.7944935076320766E-4</v>
      </c>
      <c r="K70" s="2"/>
      <c r="L70" s="7">
        <f t="shared" si="40"/>
        <v>-2.62</v>
      </c>
      <c r="M70" s="2"/>
      <c r="N70" s="6">
        <f t="shared" si="41"/>
        <v>-1</v>
      </c>
      <c r="O70" s="11"/>
      <c r="P70" s="7"/>
      <c r="Q70" s="2"/>
      <c r="R70" s="6">
        <f t="shared" si="42"/>
        <v>0</v>
      </c>
      <c r="S70" s="2"/>
      <c r="T70" s="7">
        <v>2.62</v>
      </c>
      <c r="U70" s="2"/>
      <c r="V70" s="6">
        <f t="shared" si="43"/>
        <v>1.7944935076320766E-4</v>
      </c>
      <c r="W70" s="2"/>
      <c r="X70" s="7">
        <f t="shared" si="44"/>
        <v>-2.62</v>
      </c>
      <c r="Y70" s="2"/>
      <c r="Z70" s="6">
        <f t="shared" si="45"/>
        <v>-1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7">
        <v>2317.08</v>
      </c>
      <c r="E71" s="2"/>
      <c r="F71" s="6">
        <f t="shared" si="38"/>
        <v>0.26008043470208519</v>
      </c>
      <c r="G71" s="2"/>
      <c r="H71" s="7">
        <v>2001.89</v>
      </c>
      <c r="I71" s="2"/>
      <c r="J71" s="6">
        <f t="shared" si="39"/>
        <v>0.13711368732799917</v>
      </c>
      <c r="K71" s="2"/>
      <c r="L71" s="7">
        <f t="shared" si="40"/>
        <v>315.18999999999983</v>
      </c>
      <c r="M71" s="2"/>
      <c r="N71" s="6">
        <f t="shared" si="41"/>
        <v>0.15744621332840456</v>
      </c>
      <c r="O71" s="11"/>
      <c r="P71" s="7">
        <v>2317.08</v>
      </c>
      <c r="Q71" s="2"/>
      <c r="R71" s="6">
        <f t="shared" si="42"/>
        <v>0.26008043470208519</v>
      </c>
      <c r="S71" s="2"/>
      <c r="T71" s="7">
        <v>2001.89</v>
      </c>
      <c r="U71" s="2"/>
      <c r="V71" s="6">
        <f t="shared" si="43"/>
        <v>0.13711368732799917</v>
      </c>
      <c r="W71" s="2"/>
      <c r="X71" s="7">
        <f t="shared" si="44"/>
        <v>315.18999999999983</v>
      </c>
      <c r="Y71" s="2"/>
      <c r="Z71" s="6">
        <f t="shared" si="45"/>
        <v>0.15744621332840456</v>
      </c>
    </row>
    <row r="72" spans="1:26" s="28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192.45</v>
      </c>
      <c r="E72" s="1"/>
      <c r="F72" s="5">
        <f t="shared" ref="F72:F73" si="46">IF(D$12=0,0,D72/D$12)</f>
        <v>2.1601532816482943E-2</v>
      </c>
      <c r="G72" s="1"/>
      <c r="H72" s="1">
        <f>SUM(OSRRefH22_10x_0)</f>
        <v>398.8</v>
      </c>
      <c r="I72" s="1"/>
      <c r="J72" s="5">
        <f t="shared" ref="J72:J73" si="47">IF(H$12=0,0,H72/H$12)</f>
        <v>2.7314656902430234E-2</v>
      </c>
      <c r="K72" s="1"/>
      <c r="L72" s="1">
        <f t="shared" ref="L72:L73" si="48">+D72-H72</f>
        <v>-206.35000000000002</v>
      </c>
      <c r="M72" s="1"/>
      <c r="N72" s="5">
        <f t="shared" ref="N72:N73" si="49">IF(H72=0,0,L72/H72)</f>
        <v>-0.51742728184553666</v>
      </c>
      <c r="O72" s="14"/>
      <c r="P72" s="1">
        <f>SUM(OSRRefP22_10x_0)</f>
        <v>192.45</v>
      </c>
      <c r="Q72" s="1"/>
      <c r="R72" s="5">
        <f t="shared" ref="R72:R73" si="50">IF(P$12=0,0,P72/P$12)</f>
        <v>2.1601532816482943E-2</v>
      </c>
      <c r="S72" s="1"/>
      <c r="T72" s="1">
        <f>SUM(OSRRefT22_10x_0)</f>
        <v>398.8</v>
      </c>
      <c r="U72" s="1"/>
      <c r="V72" s="5">
        <f t="shared" ref="V72:V73" si="51">IF(T$12=0,0,T72/T$12)</f>
        <v>2.7314656902430234E-2</v>
      </c>
      <c r="W72" s="1"/>
      <c r="X72" s="1">
        <f t="shared" ref="X72:X73" si="52">+P72-T72</f>
        <v>-206.35000000000002</v>
      </c>
      <c r="Y72" s="1"/>
      <c r="Z72" s="5">
        <f t="shared" ref="Z72:Z73" si="53">IF(T72=0,0,X72/T72)</f>
        <v>-0.51742728184553666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192.45</v>
      </c>
      <c r="E73" s="2"/>
      <c r="F73" s="6">
        <f t="shared" si="46"/>
        <v>2.1601532816482943E-2</v>
      </c>
      <c r="G73" s="2"/>
      <c r="H73" s="7">
        <v>398.8</v>
      </c>
      <c r="I73" s="2"/>
      <c r="J73" s="6">
        <f t="shared" si="47"/>
        <v>2.7314656902430234E-2</v>
      </c>
      <c r="K73" s="2"/>
      <c r="L73" s="7">
        <f t="shared" si="48"/>
        <v>-206.35000000000002</v>
      </c>
      <c r="M73" s="2"/>
      <c r="N73" s="6">
        <f t="shared" si="49"/>
        <v>-0.51742728184553666</v>
      </c>
      <c r="O73" s="11"/>
      <c r="P73" s="7">
        <v>192.45</v>
      </c>
      <c r="Q73" s="2"/>
      <c r="R73" s="6">
        <f t="shared" si="50"/>
        <v>2.1601532816482943E-2</v>
      </c>
      <c r="S73" s="2"/>
      <c r="T73" s="7">
        <v>398.8</v>
      </c>
      <c r="U73" s="2"/>
      <c r="V73" s="6">
        <f t="shared" si="51"/>
        <v>2.7314656902430234E-2</v>
      </c>
      <c r="W73" s="2"/>
      <c r="X73" s="7">
        <f t="shared" si="52"/>
        <v>-206.35000000000002</v>
      </c>
      <c r="Y73" s="2"/>
      <c r="Z73" s="6">
        <f t="shared" si="53"/>
        <v>-0.51742728184553666</v>
      </c>
    </row>
    <row r="74" spans="1:26" s="54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collapsed="1" x14ac:dyDescent="0.25">
      <c r="A75" s="10"/>
      <c r="B75" s="26" t="s">
        <v>0</v>
      </c>
      <c r="C75" s="10"/>
      <c r="D75" s="4">
        <f>SUM(OSRRefD25x_0)</f>
        <v>13598.7</v>
      </c>
      <c r="E75" s="4"/>
      <c r="F75" s="12">
        <f t="shared" ref="F75:F78" si="54">IF(D$12=0,0,D75/D$12)</f>
        <v>1.5263848496311074</v>
      </c>
      <c r="G75" s="4"/>
      <c r="H75" s="4">
        <f>SUM(OSRRefH25x_0)</f>
        <v>12428</v>
      </c>
      <c r="I75" s="4"/>
      <c r="J75" s="12">
        <f t="shared" ref="J75:J78" si="55">IF(H$12=0,0,H75/H$12)</f>
        <v>0.85122005010883395</v>
      </c>
      <c r="K75" s="4"/>
      <c r="L75" s="4">
        <f t="shared" ref="L75:L78" si="56">+D75-H75</f>
        <v>1170.7000000000007</v>
      </c>
      <c r="M75" s="4"/>
      <c r="N75" s="12">
        <f t="shared" ref="N75:N78" si="57">IF(H75=0,0,L75/H75)</f>
        <v>9.4198583842935363E-2</v>
      </c>
      <c r="O75" s="10"/>
      <c r="P75" s="4">
        <f>SUM(OSRRefP25x_0)</f>
        <v>13598.7</v>
      </c>
      <c r="Q75" s="4"/>
      <c r="R75" s="12">
        <f t="shared" ref="R75:R78" si="58">IF(P$12=0,0,P75/P$12)</f>
        <v>1.5263848496311074</v>
      </c>
      <c r="S75" s="4"/>
      <c r="T75" s="4">
        <f>SUM(OSRRefT25x_0)</f>
        <v>12428</v>
      </c>
      <c r="U75" s="4"/>
      <c r="V75" s="12">
        <f t="shared" ref="V75:V78" si="59">IF(T$12=0,0,T75/T$12)</f>
        <v>0.85122005010883395</v>
      </c>
      <c r="W75" s="4"/>
      <c r="X75" s="4">
        <f t="shared" ref="X75:X78" si="60">+P75-T75</f>
        <v>1170.7000000000007</v>
      </c>
      <c r="Y75" s="4"/>
      <c r="Z75" s="12">
        <f t="shared" ref="Z75:Z78" si="61">IF(T75=0,0,X75/T75)</f>
        <v>9.4198583842935363E-2</v>
      </c>
    </row>
    <row r="76" spans="1:26" s="24" customFormat="1" hidden="1" outlineLevel="1" x14ac:dyDescent="0.25">
      <c r="A76" s="50"/>
      <c r="B76" s="11" t="str">
        <f>CONCATENATE("          ", "4098", " - ", "TAXABLE SALES-GRAD RENTALS")</f>
        <v xml:space="preserve">          4098 - TAXABLE SALES-GRAD RENTALS</v>
      </c>
      <c r="C76" s="11"/>
      <c r="D76" s="2">
        <f>--74.7</f>
        <v>74.7</v>
      </c>
      <c r="E76" s="2"/>
      <c r="F76" s="22">
        <f t="shared" si="54"/>
        <v>8.3846947331321173E-3</v>
      </c>
      <c r="G76" s="2"/>
      <c r="H76" s="2">
        <f>0</f>
        <v>0</v>
      </c>
      <c r="I76" s="2"/>
      <c r="J76" s="22">
        <f t="shared" si="55"/>
        <v>0</v>
      </c>
      <c r="K76" s="2"/>
      <c r="L76" s="2">
        <f t="shared" si="56"/>
        <v>74.7</v>
      </c>
      <c r="M76" s="2"/>
      <c r="N76" s="22">
        <f t="shared" si="57"/>
        <v>0</v>
      </c>
      <c r="O76" s="11"/>
      <c r="P76" s="2">
        <f>--74.7</f>
        <v>74.7</v>
      </c>
      <c r="Q76" s="2"/>
      <c r="R76" s="22">
        <f t="shared" si="58"/>
        <v>8.3846947331321173E-3</v>
      </c>
      <c r="S76" s="2"/>
      <c r="T76" s="2">
        <f>0</f>
        <v>0</v>
      </c>
      <c r="U76" s="2"/>
      <c r="V76" s="22">
        <f t="shared" si="59"/>
        <v>0</v>
      </c>
      <c r="W76" s="2"/>
      <c r="X76" s="2">
        <f t="shared" si="60"/>
        <v>74.7</v>
      </c>
      <c r="Y76" s="2"/>
      <c r="Z76" s="22">
        <f t="shared" si="61"/>
        <v>0</v>
      </c>
    </row>
    <row r="77" spans="1:26" s="24" customFormat="1" hidden="1" outlineLevel="1" x14ac:dyDescent="0.25">
      <c r="A77" s="50"/>
      <c r="B77" s="11" t="str">
        <f>CONCATENATE("          ", "4198", " - ", "NON-TAXABLE SALES-GRAD RENTALS")</f>
        <v xml:space="preserve">          4198 - NON-TAXABLE SALES-GRAD RENTALS</v>
      </c>
      <c r="C77" s="11"/>
      <c r="D77" s="2">
        <f>--255</f>
        <v>255</v>
      </c>
      <c r="E77" s="2"/>
      <c r="F77" s="22">
        <f t="shared" si="54"/>
        <v>2.8622451900250201E-2</v>
      </c>
      <c r="G77" s="2"/>
      <c r="H77" s="2">
        <f>--345</f>
        <v>345</v>
      </c>
      <c r="I77" s="2"/>
      <c r="J77" s="22">
        <f t="shared" si="55"/>
        <v>2.3629780921109407E-2</v>
      </c>
      <c r="K77" s="2"/>
      <c r="L77" s="2">
        <f t="shared" si="56"/>
        <v>-90</v>
      </c>
      <c r="M77" s="2"/>
      <c r="N77" s="22">
        <f t="shared" si="57"/>
        <v>-0.2608695652173913</v>
      </c>
      <c r="O77" s="11"/>
      <c r="P77" s="2">
        <f>--255</f>
        <v>255</v>
      </c>
      <c r="Q77" s="2"/>
      <c r="R77" s="22">
        <f t="shared" si="58"/>
        <v>2.8622451900250201E-2</v>
      </c>
      <c r="S77" s="2"/>
      <c r="T77" s="2">
        <f>--345</f>
        <v>345</v>
      </c>
      <c r="U77" s="2"/>
      <c r="V77" s="22">
        <f t="shared" si="59"/>
        <v>2.3629780921109407E-2</v>
      </c>
      <c r="W77" s="2"/>
      <c r="X77" s="2">
        <f t="shared" si="60"/>
        <v>-90</v>
      </c>
      <c r="Y77" s="2"/>
      <c r="Z77" s="22">
        <f t="shared" si="61"/>
        <v>-0.2608695652173913</v>
      </c>
    </row>
    <row r="78" spans="1:26" s="24" customFormat="1" hidden="1" outlineLevel="1" x14ac:dyDescent="0.25">
      <c r="A78" s="50"/>
      <c r="B78" s="11" t="str">
        <f>CONCATENATE("          ", "9150", " - ", "MISC. INCOME")</f>
        <v xml:space="preserve">          9150 - MISC. INCOME</v>
      </c>
      <c r="C78" s="11"/>
      <c r="D78" s="2">
        <f>--13269</f>
        <v>13269</v>
      </c>
      <c r="E78" s="2"/>
      <c r="F78" s="22">
        <f t="shared" si="54"/>
        <v>1.4893777029977251</v>
      </c>
      <c r="G78" s="2"/>
      <c r="H78" s="2">
        <f>--12083</f>
        <v>12083</v>
      </c>
      <c r="I78" s="2"/>
      <c r="J78" s="22">
        <f t="shared" si="55"/>
        <v>0.82759026918772449</v>
      </c>
      <c r="K78" s="2"/>
      <c r="L78" s="2">
        <f t="shared" si="56"/>
        <v>1186</v>
      </c>
      <c r="M78" s="2"/>
      <c r="N78" s="22">
        <f t="shared" si="57"/>
        <v>9.8154431846395759E-2</v>
      </c>
      <c r="O78" s="11"/>
      <c r="P78" s="2">
        <f>--13269</f>
        <v>13269</v>
      </c>
      <c r="Q78" s="2"/>
      <c r="R78" s="22">
        <f t="shared" si="58"/>
        <v>1.4893777029977251</v>
      </c>
      <c r="S78" s="2"/>
      <c r="T78" s="2">
        <f>--12083</f>
        <v>12083</v>
      </c>
      <c r="U78" s="2"/>
      <c r="V78" s="22">
        <f t="shared" si="59"/>
        <v>0.82759026918772449</v>
      </c>
      <c r="W78" s="2"/>
      <c r="X78" s="2">
        <f t="shared" si="60"/>
        <v>1186</v>
      </c>
      <c r="Y78" s="2"/>
      <c r="Z78" s="22">
        <f t="shared" si="61"/>
        <v>9.8154431846395759E-2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1">
        <f>+D34-D36+D75</f>
        <v>-13280.02</v>
      </c>
      <c r="E80" s="13"/>
      <c r="F80" s="20">
        <f>IF(D$12=0,0,D80/D$12)</f>
        <v>-1.4906146418994535</v>
      </c>
      <c r="G80" s="13"/>
      <c r="H80" s="21">
        <f>+H34-H36+H75</f>
        <v>-14817.639999999989</v>
      </c>
      <c r="I80" s="13"/>
      <c r="J80" s="20">
        <f>IF(H$12=0,0,H80/H$12)</f>
        <v>-1.014891556428601</v>
      </c>
      <c r="K80" s="16"/>
      <c r="L80" s="21">
        <f>+D80-H80</f>
        <v>1537.6199999999881</v>
      </c>
      <c r="M80" s="16"/>
      <c r="N80" s="20">
        <f>IF(H80=0,0,L80/H80)</f>
        <v>-0.10376956114468898</v>
      </c>
      <c r="O80" s="26"/>
      <c r="P80" s="21">
        <f>+P34-P36+P75</f>
        <v>-13280.02</v>
      </c>
      <c r="Q80" s="13"/>
      <c r="R80" s="20">
        <f>IF(P$12=0,0,P80/P$12)</f>
        <v>-1.4906146418994535</v>
      </c>
      <c r="S80" s="13"/>
      <c r="T80" s="21">
        <f>+T34-T36+T75</f>
        <v>-14817.639999999989</v>
      </c>
      <c r="U80" s="13"/>
      <c r="V80" s="20">
        <f>IF(T$12=0,0,T80/T$12)</f>
        <v>-1.014891556428601</v>
      </c>
      <c r="W80" s="16"/>
      <c r="X80" s="21">
        <f>+P80-T80</f>
        <v>1537.6199999999881</v>
      </c>
      <c r="Y80" s="16"/>
      <c r="Z80" s="20">
        <f>IF(T80=0,0,X80/T80)</f>
        <v>-0.10376956114468898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1852.47</v>
      </c>
      <c r="E82" s="4"/>
      <c r="F82" s="12">
        <f>IF(D$12=0,0,D82/D$12)</f>
        <v>0.20793032733982936</v>
      </c>
      <c r="G82" s="4"/>
      <c r="H82" s="4">
        <v>2997.44</v>
      </c>
      <c r="I82" s="4"/>
      <c r="J82" s="12">
        <f>IF(H$12=0,0,H82/H$12)</f>
        <v>0.20530101601208747</v>
      </c>
      <c r="K82" s="4"/>
      <c r="L82" s="4">
        <f>+D82-H82</f>
        <v>-1144.97</v>
      </c>
      <c r="M82" s="4"/>
      <c r="N82" s="12">
        <f>IF(H82=0,0,L82/H82)</f>
        <v>-0.38198262517348136</v>
      </c>
      <c r="O82" s="10"/>
      <c r="P82" s="4">
        <v>1852.47</v>
      </c>
      <c r="Q82" s="4"/>
      <c r="R82" s="12">
        <f>IF(P$12=0,0,P82/P$12)</f>
        <v>0.20793032733982936</v>
      </c>
      <c r="S82" s="4"/>
      <c r="T82" s="4">
        <v>2997.44</v>
      </c>
      <c r="U82" s="4"/>
      <c r="V82" s="12">
        <f>IF(T$12=0,0,T82/T$12)</f>
        <v>0.20530101601208747</v>
      </c>
      <c r="W82" s="4"/>
      <c r="X82" s="4">
        <f>+P82-T82</f>
        <v>-1144.97</v>
      </c>
      <c r="Y82" s="4"/>
      <c r="Z82" s="12">
        <f>IF(T82=0,0,X82/T82)</f>
        <v>-0.38198262517348136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3">
        <f>+D80-D82</f>
        <v>-15132.49</v>
      </c>
      <c r="E84" s="13"/>
      <c r="F84" s="34">
        <f>IF(D$12=0,0,D84/D$12)</f>
        <v>-1.6985449692392829</v>
      </c>
      <c r="G84" s="13"/>
      <c r="H84" s="33">
        <f>+H80-H82</f>
        <v>-17815.079999999987</v>
      </c>
      <c r="I84" s="13"/>
      <c r="J84" s="34">
        <f>IF(H$12=0,0,H84/H$12)</f>
        <v>-1.2201925724406883</v>
      </c>
      <c r="K84" s="16"/>
      <c r="L84" s="33">
        <f>D84-H84</f>
        <v>2682.5899999999874</v>
      </c>
      <c r="M84" s="16"/>
      <c r="N84" s="34">
        <f>IF(H84=0,0,L84/H84)</f>
        <v>-0.15057973357402771</v>
      </c>
      <c r="O84" s="26"/>
      <c r="P84" s="33">
        <f>+P80-P82</f>
        <v>-15132.49</v>
      </c>
      <c r="Q84" s="13"/>
      <c r="R84" s="34">
        <f>IF(P$12=0,0,P84/P$12)</f>
        <v>-1.6985449692392829</v>
      </c>
      <c r="S84" s="13"/>
      <c r="T84" s="33">
        <f>+T80-T82</f>
        <v>-17815.079999999987</v>
      </c>
      <c r="U84" s="13"/>
      <c r="V84" s="34">
        <f>IF(T$12=0,0,T84/T$12)</f>
        <v>-1.2201925724406883</v>
      </c>
      <c r="W84" s="16"/>
      <c r="X84" s="33">
        <f>P84-T84</f>
        <v>2682.5899999999874</v>
      </c>
      <c r="Y84" s="16"/>
      <c r="Z84" s="34">
        <f>IF(T84=0,0,X84/T84)</f>
        <v>-0.15057973357402771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1">
        <f>SUM(D84:D86)</f>
        <v>-15132.49</v>
      </c>
      <c r="E87" s="13"/>
      <c r="F87" s="30">
        <f>IF(D$12=0,0,D87/D$12)</f>
        <v>-1.6985449692392829</v>
      </c>
      <c r="G87" s="13"/>
      <c r="H87" s="31">
        <f>SUM(H84:H86)</f>
        <v>-17815.079999999987</v>
      </c>
      <c r="I87" s="13"/>
      <c r="J87" s="30">
        <f>IF(H$12=0,0,H87/H$12)</f>
        <v>-1.2201925724406883</v>
      </c>
      <c r="K87" s="16"/>
      <c r="L87" s="31">
        <f>+D87-H87</f>
        <v>2682.5899999999874</v>
      </c>
      <c r="M87" s="16"/>
      <c r="N87" s="30">
        <f>IF(H87=0,0,L87/H87)</f>
        <v>-0.15057973357402771</v>
      </c>
      <c r="O87" s="26"/>
      <c r="P87" s="31">
        <f>SUM(P84:P86)</f>
        <v>-15132.49</v>
      </c>
      <c r="Q87" s="13"/>
      <c r="R87" s="30">
        <f>IF(P$12=0,0,P87/P$12)</f>
        <v>-1.6985449692392829</v>
      </c>
      <c r="S87" s="13"/>
      <c r="T87" s="31">
        <f>SUM(T84:T86)</f>
        <v>-17815.079999999987</v>
      </c>
      <c r="U87" s="13"/>
      <c r="V87" s="30">
        <f>IF(T$12=0,0,T87/T$12)</f>
        <v>-1.2201925724406883</v>
      </c>
      <c r="W87" s="16"/>
      <c r="X87" s="31">
        <f>+P87-T87</f>
        <v>2682.5899999999874</v>
      </c>
      <c r="Y87" s="16"/>
      <c r="Z87" s="30">
        <f>IF(T87=0,0,X87/T87)</f>
        <v>-0.15057973357402771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>
        <v>43726.681437581021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3" t="s">
        <v>313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6754.7699999999995</v>
      </c>
      <c r="E12" s="4"/>
      <c r="F12" s="12"/>
      <c r="G12" s="4"/>
      <c r="H12" s="4">
        <f>SUM(OSRRefH13x_0)</f>
        <v>11558.800000000001</v>
      </c>
      <c r="I12" s="4"/>
      <c r="J12" s="12"/>
      <c r="K12" s="4"/>
      <c r="L12" s="4">
        <f t="shared" ref="L12:L22" si="0">+D12-H12</f>
        <v>-4804.0300000000016</v>
      </c>
      <c r="M12" s="4"/>
      <c r="N12" s="12">
        <f t="shared" ref="N12:N22" si="1">IF(H12=0,0,L12/H12)</f>
        <v>-0.41561667301103933</v>
      </c>
      <c r="O12" s="10"/>
      <c r="P12" s="4">
        <f>SUM(OSRRefP13x_0)</f>
        <v>6754.7699999999995</v>
      </c>
      <c r="Q12" s="4"/>
      <c r="R12" s="12"/>
      <c r="S12" s="4"/>
      <c r="T12" s="4">
        <f>SUM(OSRRefT13x_0)</f>
        <v>11558.800000000001</v>
      </c>
      <c r="U12" s="4"/>
      <c r="V12" s="12"/>
      <c r="W12" s="4"/>
      <c r="X12" s="4">
        <f t="shared" ref="X12:X22" si="2">+P12-T12</f>
        <v>-4804.0300000000016</v>
      </c>
      <c r="Y12" s="4"/>
      <c r="Z12" s="12">
        <f t="shared" ref="Z12:Z22" si="3">IF(T12=0,0,X12/T12)</f>
        <v>-0.41561667301103933</v>
      </c>
    </row>
    <row r="13" spans="1:26" s="24" customFormat="1" hidden="1" outlineLevel="1" x14ac:dyDescent="0.25">
      <c r="A13" s="50"/>
      <c r="B13" s="11" t="str">
        <f>CONCATENATE("          ", "4041", " - ", "TAXABLE SALES-LOGO GIFTS")</f>
        <v xml:space="preserve">          4041 - TAXABLE SALES-LOGO GIFTS</v>
      </c>
      <c r="C13" s="11"/>
      <c r="D13" s="2">
        <f>--463.7</f>
        <v>463.7</v>
      </c>
      <c r="E13" s="2"/>
      <c r="F13" s="22"/>
      <c r="G13" s="2"/>
      <c r="H13" s="2">
        <f>--4877.6</f>
        <v>4877.6000000000004</v>
      </c>
      <c r="I13" s="2"/>
      <c r="J13" s="22"/>
      <c r="K13" s="2"/>
      <c r="L13" s="2">
        <f t="shared" si="0"/>
        <v>-4413.9000000000005</v>
      </c>
      <c r="M13" s="2"/>
      <c r="N13" s="22">
        <f t="shared" si="1"/>
        <v>-0.90493275381335092</v>
      </c>
      <c r="O13" s="11"/>
      <c r="P13" s="2">
        <f>--463.7</f>
        <v>463.7</v>
      </c>
      <c r="Q13" s="2"/>
      <c r="R13" s="22"/>
      <c r="S13" s="2"/>
      <c r="T13" s="2">
        <f>--4877.6</f>
        <v>4877.6000000000004</v>
      </c>
      <c r="U13" s="2"/>
      <c r="V13" s="22"/>
      <c r="W13" s="2"/>
      <c r="X13" s="2">
        <f t="shared" si="2"/>
        <v>-4413.9000000000005</v>
      </c>
      <c r="Y13" s="2"/>
      <c r="Z13" s="22">
        <f t="shared" si="3"/>
        <v>-0.90493275381335092</v>
      </c>
    </row>
    <row r="14" spans="1:26" s="24" customFormat="1" hidden="1" outlineLevel="1" x14ac:dyDescent="0.25">
      <c r="A14" s="50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--4059.92</f>
        <v>4059.92</v>
      </c>
      <c r="E14" s="2"/>
      <c r="F14" s="22"/>
      <c r="G14" s="2"/>
      <c r="H14" s="2">
        <f>--3995.61</f>
        <v>3995.61</v>
      </c>
      <c r="I14" s="2"/>
      <c r="J14" s="22"/>
      <c r="K14" s="2"/>
      <c r="L14" s="2">
        <f t="shared" si="0"/>
        <v>64.309999999999945</v>
      </c>
      <c r="M14" s="2"/>
      <c r="N14" s="22">
        <f t="shared" si="1"/>
        <v>1.6095164442976151E-2</v>
      </c>
      <c r="O14" s="11"/>
      <c r="P14" s="2">
        <f>--4059.92</f>
        <v>4059.92</v>
      </c>
      <c r="Q14" s="2"/>
      <c r="R14" s="22"/>
      <c r="S14" s="2"/>
      <c r="T14" s="2">
        <f>--3995.61</f>
        <v>3995.61</v>
      </c>
      <c r="U14" s="2"/>
      <c r="V14" s="22"/>
      <c r="W14" s="2"/>
      <c r="X14" s="2">
        <f t="shared" si="2"/>
        <v>64.309999999999945</v>
      </c>
      <c r="Y14" s="2"/>
      <c r="Z14" s="22">
        <f t="shared" si="3"/>
        <v>1.6095164442976151E-2</v>
      </c>
    </row>
    <row r="15" spans="1:26" s="24" customFormat="1" hidden="1" outlineLevel="1" x14ac:dyDescent="0.25">
      <c r="A15" s="50"/>
      <c r="B15" s="11" t="str">
        <f>CONCATENATE("          ", "4043", " - ", "TAXABLE SALES-CARDS")</f>
        <v xml:space="preserve">          4043 - TAXABLE SALES-CARDS</v>
      </c>
      <c r="C15" s="11"/>
      <c r="D15" s="2">
        <f>--15.55</f>
        <v>15.55</v>
      </c>
      <c r="E15" s="2"/>
      <c r="F15" s="22"/>
      <c r="G15" s="2"/>
      <c r="H15" s="2">
        <f>--87</f>
        <v>87</v>
      </c>
      <c r="I15" s="2"/>
      <c r="J15" s="22"/>
      <c r="K15" s="2"/>
      <c r="L15" s="2">
        <f t="shared" si="0"/>
        <v>-71.45</v>
      </c>
      <c r="M15" s="2"/>
      <c r="N15" s="22">
        <f t="shared" si="1"/>
        <v>-0.82126436781609202</v>
      </c>
      <c r="O15" s="11"/>
      <c r="P15" s="2">
        <f>--15.55</f>
        <v>15.55</v>
      </c>
      <c r="Q15" s="2"/>
      <c r="R15" s="22"/>
      <c r="S15" s="2"/>
      <c r="T15" s="2">
        <f>--87</f>
        <v>87</v>
      </c>
      <c r="U15" s="2"/>
      <c r="V15" s="22"/>
      <c r="W15" s="2"/>
      <c r="X15" s="2">
        <f t="shared" si="2"/>
        <v>-71.45</v>
      </c>
      <c r="Y15" s="2"/>
      <c r="Z15" s="22">
        <f t="shared" si="3"/>
        <v>-0.82126436781609202</v>
      </c>
    </row>
    <row r="16" spans="1:26" s="24" customFormat="1" hidden="1" outlineLevel="1" x14ac:dyDescent="0.25">
      <c r="A16" s="50"/>
      <c r="B16" s="11" t="str">
        <f>CONCATENATE("          ", "4047", " - ", "TAXABLE SALES-MISC")</f>
        <v xml:space="preserve">          4047 - TAXABLE SALES-MISC</v>
      </c>
      <c r="C16" s="11"/>
      <c r="D16" s="2">
        <f>--40</f>
        <v>40</v>
      </c>
      <c r="E16" s="2"/>
      <c r="F16" s="22"/>
      <c r="G16" s="2"/>
      <c r="H16" s="2">
        <f>--49.99</f>
        <v>49.99</v>
      </c>
      <c r="I16" s="2"/>
      <c r="J16" s="22"/>
      <c r="K16" s="2"/>
      <c r="L16" s="2">
        <f t="shared" si="0"/>
        <v>-9.990000000000002</v>
      </c>
      <c r="M16" s="2"/>
      <c r="N16" s="22">
        <f t="shared" si="1"/>
        <v>-0.19983996799359874</v>
      </c>
      <c r="O16" s="11"/>
      <c r="P16" s="2">
        <f>--40</f>
        <v>40</v>
      </c>
      <c r="Q16" s="2"/>
      <c r="R16" s="22"/>
      <c r="S16" s="2"/>
      <c r="T16" s="2">
        <f>--49.99</f>
        <v>49.99</v>
      </c>
      <c r="U16" s="2"/>
      <c r="V16" s="22"/>
      <c r="W16" s="2"/>
      <c r="X16" s="2">
        <f t="shared" si="2"/>
        <v>-9.990000000000002</v>
      </c>
      <c r="Y16" s="2"/>
      <c r="Z16" s="22">
        <f t="shared" si="3"/>
        <v>-0.19983996799359874</v>
      </c>
    </row>
    <row r="17" spans="1:26" s="24" customFormat="1" hidden="1" outlineLevel="1" x14ac:dyDescent="0.25">
      <c r="A17" s="50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--7.95</f>
        <v>7.95</v>
      </c>
      <c r="E17" s="2"/>
      <c r="F17" s="22"/>
      <c r="G17" s="2"/>
      <c r="H17" s="2">
        <f>--7.95</f>
        <v>7.95</v>
      </c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--7.95</f>
        <v>7.95</v>
      </c>
      <c r="Q17" s="2"/>
      <c r="R17" s="22"/>
      <c r="S17" s="2"/>
      <c r="T17" s="2">
        <f>--7.95</f>
        <v>7.95</v>
      </c>
      <c r="U17" s="2"/>
      <c r="V17" s="22"/>
      <c r="W17" s="2"/>
      <c r="X17" s="2">
        <f t="shared" si="2"/>
        <v>0</v>
      </c>
      <c r="Y17" s="2"/>
      <c r="Z17" s="22">
        <f t="shared" si="3"/>
        <v>0</v>
      </c>
    </row>
    <row r="18" spans="1:26" s="24" customFormat="1" hidden="1" outlineLevel="1" x14ac:dyDescent="0.25">
      <c r="A18" s="50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--111</f>
        <v>111</v>
      </c>
      <c r="E18" s="2"/>
      <c r="F18" s="22"/>
      <c r="G18" s="2"/>
      <c r="H18" s="2">
        <f>--142</f>
        <v>142</v>
      </c>
      <c r="I18" s="2"/>
      <c r="J18" s="22"/>
      <c r="K18" s="2"/>
      <c r="L18" s="2">
        <f t="shared" si="0"/>
        <v>-31</v>
      </c>
      <c r="M18" s="2"/>
      <c r="N18" s="22">
        <f t="shared" si="1"/>
        <v>-0.21830985915492956</v>
      </c>
      <c r="O18" s="11"/>
      <c r="P18" s="2">
        <f>--111</f>
        <v>111</v>
      </c>
      <c r="Q18" s="2"/>
      <c r="R18" s="22"/>
      <c r="S18" s="2"/>
      <c r="T18" s="2">
        <f>--142</f>
        <v>142</v>
      </c>
      <c r="U18" s="2"/>
      <c r="V18" s="22"/>
      <c r="W18" s="2"/>
      <c r="X18" s="2">
        <f t="shared" si="2"/>
        <v>-31</v>
      </c>
      <c r="Y18" s="2"/>
      <c r="Z18" s="22">
        <f t="shared" si="3"/>
        <v>-0.21830985915492956</v>
      </c>
    </row>
    <row r="19" spans="1:26" s="24" customFormat="1" hidden="1" outlineLevel="1" x14ac:dyDescent="0.25">
      <c r="A19" s="50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--2067.1</f>
        <v>2067.1</v>
      </c>
      <c r="E19" s="2"/>
      <c r="F19" s="22"/>
      <c r="G19" s="2"/>
      <c r="H19" s="2">
        <f>--2380.65</f>
        <v>2380.65</v>
      </c>
      <c r="I19" s="2"/>
      <c r="J19" s="22"/>
      <c r="K19" s="2"/>
      <c r="L19" s="2">
        <f t="shared" si="0"/>
        <v>-313.55000000000018</v>
      </c>
      <c r="M19" s="2"/>
      <c r="N19" s="22">
        <f t="shared" si="1"/>
        <v>-0.13170772688131399</v>
      </c>
      <c r="O19" s="11"/>
      <c r="P19" s="2">
        <f>--2067.1</f>
        <v>2067.1</v>
      </c>
      <c r="Q19" s="2"/>
      <c r="R19" s="22"/>
      <c r="S19" s="2"/>
      <c r="T19" s="2">
        <f>--2380.65</f>
        <v>2380.65</v>
      </c>
      <c r="U19" s="2"/>
      <c r="V19" s="22"/>
      <c r="W19" s="2"/>
      <c r="X19" s="2">
        <f t="shared" si="2"/>
        <v>-313.55000000000018</v>
      </c>
      <c r="Y19" s="2"/>
      <c r="Z19" s="22">
        <f t="shared" si="3"/>
        <v>-0.13170772688131399</v>
      </c>
    </row>
    <row r="20" spans="1:26" s="24" customFormat="1" hidden="1" outlineLevel="1" x14ac:dyDescent="0.25">
      <c r="A20" s="50"/>
      <c r="B20" s="11" t="str">
        <f>CONCATENATE("          ", "4147", " - ", "NON-TAXABLE SALES-MISC")</f>
        <v xml:space="preserve">          4147 - NON-TAXABLE SALES-MISC</v>
      </c>
      <c r="C20" s="11"/>
      <c r="D20" s="2">
        <f>--16.5</f>
        <v>16.5</v>
      </c>
      <c r="E20" s="2"/>
      <c r="F20" s="22"/>
      <c r="G20" s="2"/>
      <c r="H20" s="2">
        <f>--18</f>
        <v>18</v>
      </c>
      <c r="I20" s="2"/>
      <c r="J20" s="22"/>
      <c r="K20" s="2"/>
      <c r="L20" s="2">
        <f t="shared" si="0"/>
        <v>-1.5</v>
      </c>
      <c r="M20" s="2"/>
      <c r="N20" s="22">
        <f t="shared" si="1"/>
        <v>-8.3333333333333329E-2</v>
      </c>
      <c r="O20" s="11"/>
      <c r="P20" s="2">
        <f>--16.5</f>
        <v>16.5</v>
      </c>
      <c r="Q20" s="2"/>
      <c r="R20" s="22"/>
      <c r="S20" s="2"/>
      <c r="T20" s="2">
        <f>--18</f>
        <v>18</v>
      </c>
      <c r="U20" s="2"/>
      <c r="V20" s="22"/>
      <c r="W20" s="2"/>
      <c r="X20" s="2">
        <f t="shared" si="2"/>
        <v>-1.5</v>
      </c>
      <c r="Y20" s="2"/>
      <c r="Z20" s="22">
        <f t="shared" si="3"/>
        <v>-8.3333333333333329E-2</v>
      </c>
    </row>
    <row r="21" spans="1:26" s="24" customFormat="1" hidden="1" outlineLevel="1" x14ac:dyDescent="0.25">
      <c r="A21" s="50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>-10.75</f>
        <v>-10.75</v>
      </c>
      <c r="E21" s="2"/>
      <c r="F21" s="22"/>
      <c r="G21" s="2"/>
      <c r="H21" s="2">
        <f t="shared" ref="H21:H22" si="4">0</f>
        <v>0</v>
      </c>
      <c r="I21" s="2"/>
      <c r="J21" s="22"/>
      <c r="K21" s="2"/>
      <c r="L21" s="2">
        <f t="shared" si="0"/>
        <v>-10.75</v>
      </c>
      <c r="M21" s="2"/>
      <c r="N21" s="22">
        <f t="shared" si="1"/>
        <v>0</v>
      </c>
      <c r="O21" s="11"/>
      <c r="P21" s="2">
        <f>-10.75</f>
        <v>-10.75</v>
      </c>
      <c r="Q21" s="2"/>
      <c r="R21" s="22"/>
      <c r="S21" s="2"/>
      <c r="T21" s="2">
        <f t="shared" ref="T21:T22" si="5">0</f>
        <v>0</v>
      </c>
      <c r="U21" s="2"/>
      <c r="V21" s="22"/>
      <c r="W21" s="2"/>
      <c r="X21" s="2">
        <f t="shared" si="2"/>
        <v>-10.75</v>
      </c>
      <c r="Y21" s="2"/>
      <c r="Z21" s="22">
        <f t="shared" si="3"/>
        <v>0</v>
      </c>
    </row>
    <row r="22" spans="1:26" s="24" customFormat="1" hidden="1" outlineLevel="1" x14ac:dyDescent="0.25">
      <c r="A22" s="50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>-16.2</f>
        <v>-16.2</v>
      </c>
      <c r="E22" s="2"/>
      <c r="F22" s="22"/>
      <c r="G22" s="2"/>
      <c r="H22" s="2">
        <f t="shared" si="4"/>
        <v>0</v>
      </c>
      <c r="I22" s="2"/>
      <c r="J22" s="22"/>
      <c r="K22" s="2"/>
      <c r="L22" s="2">
        <f t="shared" si="0"/>
        <v>-16.2</v>
      </c>
      <c r="M22" s="2"/>
      <c r="N22" s="22">
        <f t="shared" si="1"/>
        <v>0</v>
      </c>
      <c r="O22" s="11"/>
      <c r="P22" s="2">
        <f>-16.2</f>
        <v>-16.2</v>
      </c>
      <c r="Q22" s="2"/>
      <c r="R22" s="22"/>
      <c r="S22" s="2"/>
      <c r="T22" s="2">
        <f t="shared" si="5"/>
        <v>0</v>
      </c>
      <c r="U22" s="2"/>
      <c r="V22" s="22"/>
      <c r="W22" s="2"/>
      <c r="X22" s="2">
        <f t="shared" si="2"/>
        <v>-16.2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1">
        <f>D12-D24</f>
        <v>6754.7699999999995</v>
      </c>
      <c r="E26" s="13"/>
      <c r="F26" s="20">
        <f>IF(D$12=0,0,D26/D$12)</f>
        <v>1</v>
      </c>
      <c r="G26" s="13"/>
      <c r="H26" s="21">
        <f>H12-H24</f>
        <v>11558.800000000001</v>
      </c>
      <c r="I26" s="13"/>
      <c r="J26" s="20">
        <f>IF(H$12=0,0,H26/H$12)</f>
        <v>1</v>
      </c>
      <c r="K26" s="16"/>
      <c r="L26" s="21">
        <f>+D26-H26</f>
        <v>-4804.0300000000016</v>
      </c>
      <c r="M26" s="16"/>
      <c r="N26" s="20">
        <f>IF(H26=0,0,L26/H26)</f>
        <v>-0.41561667301103933</v>
      </c>
      <c r="O26" s="26"/>
      <c r="P26" s="21">
        <f>P12-P24</f>
        <v>6754.7699999999995</v>
      </c>
      <c r="Q26" s="13"/>
      <c r="R26" s="20">
        <f>IF(P$12=0,0,P26/P$12)</f>
        <v>1</v>
      </c>
      <c r="S26" s="13"/>
      <c r="T26" s="21">
        <f>T12-T24</f>
        <v>11558.800000000001</v>
      </c>
      <c r="U26" s="13"/>
      <c r="V26" s="20">
        <f>IF(T$12=0,0,T26/T$12)</f>
        <v>1</v>
      </c>
      <c r="W26" s="16"/>
      <c r="X26" s="21">
        <f>+P26-T26</f>
        <v>-4804.0300000000016</v>
      </c>
      <c r="Y26" s="16"/>
      <c r="Z26" s="20">
        <f>IF(T26=0,0,X26/T26)</f>
        <v>-0.41561667301103933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19">
        <f>SUM(OSRRefD22x_0)</f>
        <v>33916.94</v>
      </c>
      <c r="E28" s="19"/>
      <c r="F28" s="35">
        <f t="shared" ref="F28:F37" si="6">IF(D$12=0,0,D28/D$12)</f>
        <v>5.0211835488106926</v>
      </c>
      <c r="G28" s="19"/>
      <c r="H28" s="19">
        <f>SUM(OSRRefH22x_0)</f>
        <v>38996.01999999999</v>
      </c>
      <c r="I28" s="19"/>
      <c r="J28" s="35">
        <f t="shared" ref="J28:J37" si="7">IF(H$12=0,0,H28/H$12)</f>
        <v>3.3737083434266522</v>
      </c>
      <c r="K28" s="4"/>
      <c r="L28" s="19">
        <f t="shared" ref="L28:L37" si="8">+D28-H28</f>
        <v>-5079.0799999999872</v>
      </c>
      <c r="M28" s="4"/>
      <c r="N28" s="35">
        <f t="shared" ref="N28:N37" si="9">IF(H28=0,0,L28/H28)</f>
        <v>-0.13024611229556218</v>
      </c>
      <c r="O28" s="10"/>
      <c r="P28" s="19">
        <f>SUM(OSRRefP22x_0)</f>
        <v>33916.94</v>
      </c>
      <c r="Q28" s="19"/>
      <c r="R28" s="35">
        <f t="shared" ref="R28:R37" si="10">IF(P$12=0,0,P28/P$12)</f>
        <v>5.0211835488106926</v>
      </c>
      <c r="S28" s="19"/>
      <c r="T28" s="19">
        <f>SUM(OSRRefT22x_0)</f>
        <v>38996.01999999999</v>
      </c>
      <c r="U28" s="19"/>
      <c r="V28" s="35">
        <f t="shared" ref="V28:V37" si="11">IF(T$12=0,0,T28/T$12)</f>
        <v>3.3737083434266522</v>
      </c>
      <c r="W28" s="4"/>
      <c r="X28" s="19">
        <f t="shared" ref="X28:X37" si="12">+P28-T28</f>
        <v>-5079.0799999999872</v>
      </c>
      <c r="Y28" s="4"/>
      <c r="Z28" s="35">
        <f t="shared" ref="Z28:Z37" si="13">IF(T28=0,0,X28/T28)</f>
        <v>-0.13024611229556218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7494.78</v>
      </c>
      <c r="E29" s="1"/>
      <c r="F29" s="5">
        <f t="shared" si="6"/>
        <v>1.1095536931679391</v>
      </c>
      <c r="G29" s="1"/>
      <c r="H29" s="1">
        <f>SUM(OSRRefH22_0x_0)</f>
        <v>6607.7499999999991</v>
      </c>
      <c r="I29" s="1"/>
      <c r="J29" s="5">
        <f t="shared" si="7"/>
        <v>0.57166401356542185</v>
      </c>
      <c r="K29" s="1"/>
      <c r="L29" s="1">
        <f t="shared" si="8"/>
        <v>887.03000000000065</v>
      </c>
      <c r="M29" s="1"/>
      <c r="N29" s="5">
        <f t="shared" si="9"/>
        <v>0.13424085354318804</v>
      </c>
      <c r="O29" s="14"/>
      <c r="P29" s="1">
        <f>SUM(OSRRefP22_0x_0)</f>
        <v>7494.78</v>
      </c>
      <c r="Q29" s="1"/>
      <c r="R29" s="5">
        <f t="shared" si="10"/>
        <v>1.1095536931679391</v>
      </c>
      <c r="S29" s="1"/>
      <c r="T29" s="1">
        <f>SUM(OSRRefT22_0x_0)</f>
        <v>6607.7499999999991</v>
      </c>
      <c r="U29" s="1"/>
      <c r="V29" s="5">
        <f t="shared" si="11"/>
        <v>0.57166401356542185</v>
      </c>
      <c r="W29" s="1"/>
      <c r="X29" s="1">
        <f t="shared" si="12"/>
        <v>887.03000000000065</v>
      </c>
      <c r="Y29" s="1"/>
      <c r="Z29" s="5">
        <f t="shared" si="13"/>
        <v>0.13424085354318804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7">
        <v>1053.3599999999999</v>
      </c>
      <c r="E30" s="2"/>
      <c r="F30" s="6">
        <f t="shared" si="6"/>
        <v>0.15594313351897993</v>
      </c>
      <c r="G30" s="2"/>
      <c r="H30" s="7">
        <v>1025.02</v>
      </c>
      <c r="I30" s="2"/>
      <c r="J30" s="6">
        <f t="shared" si="7"/>
        <v>8.8678755580164026E-2</v>
      </c>
      <c r="K30" s="2"/>
      <c r="L30" s="7">
        <f t="shared" si="8"/>
        <v>28.339999999999918</v>
      </c>
      <c r="M30" s="2"/>
      <c r="N30" s="6">
        <f t="shared" si="9"/>
        <v>2.7648241009931435E-2</v>
      </c>
      <c r="O30" s="11"/>
      <c r="P30" s="7">
        <v>1053.3599999999999</v>
      </c>
      <c r="Q30" s="2"/>
      <c r="R30" s="6">
        <f t="shared" si="10"/>
        <v>0.15594313351897993</v>
      </c>
      <c r="S30" s="2"/>
      <c r="T30" s="7">
        <v>1025.02</v>
      </c>
      <c r="U30" s="2"/>
      <c r="V30" s="6">
        <f t="shared" si="11"/>
        <v>8.8678755580164026E-2</v>
      </c>
      <c r="W30" s="2"/>
      <c r="X30" s="7">
        <f t="shared" si="12"/>
        <v>28.339999999999918</v>
      </c>
      <c r="Y30" s="2"/>
      <c r="Z30" s="6">
        <f t="shared" si="13"/>
        <v>2.7648241009931435E-2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7">
        <v>160.22999999999999</v>
      </c>
      <c r="E31" s="2"/>
      <c r="F31" s="6">
        <f t="shared" si="6"/>
        <v>2.3721014927229202E-2</v>
      </c>
      <c r="G31" s="2"/>
      <c r="H31" s="7">
        <v>232.06</v>
      </c>
      <c r="I31" s="2"/>
      <c r="J31" s="6">
        <f t="shared" si="7"/>
        <v>2.0076478527182751E-2</v>
      </c>
      <c r="K31" s="2"/>
      <c r="L31" s="7">
        <f t="shared" si="8"/>
        <v>-71.830000000000013</v>
      </c>
      <c r="M31" s="2"/>
      <c r="N31" s="6">
        <f t="shared" si="9"/>
        <v>-0.30953201758165999</v>
      </c>
      <c r="O31" s="11"/>
      <c r="P31" s="7">
        <v>160.22999999999999</v>
      </c>
      <c r="Q31" s="2"/>
      <c r="R31" s="6">
        <f t="shared" si="10"/>
        <v>2.3721014927229202E-2</v>
      </c>
      <c r="S31" s="2"/>
      <c r="T31" s="7">
        <v>232.06</v>
      </c>
      <c r="U31" s="2"/>
      <c r="V31" s="6">
        <f t="shared" si="11"/>
        <v>2.0076478527182751E-2</v>
      </c>
      <c r="W31" s="2"/>
      <c r="X31" s="7">
        <f t="shared" si="12"/>
        <v>-71.830000000000013</v>
      </c>
      <c r="Y31" s="2"/>
      <c r="Z31" s="6">
        <f t="shared" si="13"/>
        <v>-0.30953201758165999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7">
        <v>2589.16</v>
      </c>
      <c r="E32" s="2"/>
      <c r="F32" s="6">
        <f t="shared" si="6"/>
        <v>0.38330838799840705</v>
      </c>
      <c r="G32" s="2"/>
      <c r="H32" s="7">
        <v>1025.83</v>
      </c>
      <c r="I32" s="2"/>
      <c r="J32" s="6">
        <f t="shared" si="7"/>
        <v>8.8748832058691204E-2</v>
      </c>
      <c r="K32" s="2"/>
      <c r="L32" s="7">
        <f t="shared" si="8"/>
        <v>1563.33</v>
      </c>
      <c r="M32" s="2"/>
      <c r="N32" s="6">
        <f t="shared" si="9"/>
        <v>1.5239659592720041</v>
      </c>
      <c r="O32" s="11"/>
      <c r="P32" s="7">
        <v>2589.16</v>
      </c>
      <c r="Q32" s="2"/>
      <c r="R32" s="6">
        <f t="shared" si="10"/>
        <v>0.38330838799840705</v>
      </c>
      <c r="S32" s="2"/>
      <c r="T32" s="7">
        <v>1025.83</v>
      </c>
      <c r="U32" s="2"/>
      <c r="V32" s="6">
        <f t="shared" si="11"/>
        <v>8.8748832058691204E-2</v>
      </c>
      <c r="W32" s="2"/>
      <c r="X32" s="7">
        <f t="shared" si="12"/>
        <v>1563.33</v>
      </c>
      <c r="Y32" s="2"/>
      <c r="Z32" s="6">
        <f t="shared" si="13"/>
        <v>1.5239659592720041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7">
        <v>36.28</v>
      </c>
      <c r="E33" s="2"/>
      <c r="F33" s="6">
        <f t="shared" si="6"/>
        <v>5.3710192945133593E-3</v>
      </c>
      <c r="G33" s="2"/>
      <c r="H33" s="7">
        <v>50.7</v>
      </c>
      <c r="I33" s="2"/>
      <c r="J33" s="6">
        <f t="shared" si="7"/>
        <v>4.3862684707755128E-3</v>
      </c>
      <c r="K33" s="2"/>
      <c r="L33" s="7">
        <f t="shared" si="8"/>
        <v>-14.420000000000002</v>
      </c>
      <c r="M33" s="2"/>
      <c r="N33" s="6">
        <f t="shared" si="9"/>
        <v>-0.28441814595660753</v>
      </c>
      <c r="O33" s="11"/>
      <c r="P33" s="7">
        <v>36.28</v>
      </c>
      <c r="Q33" s="2"/>
      <c r="R33" s="6">
        <f t="shared" si="10"/>
        <v>5.3710192945133593E-3</v>
      </c>
      <c r="S33" s="2"/>
      <c r="T33" s="7">
        <v>50.7</v>
      </c>
      <c r="U33" s="2"/>
      <c r="V33" s="6">
        <f t="shared" si="11"/>
        <v>4.3862684707755128E-3</v>
      </c>
      <c r="W33" s="2"/>
      <c r="X33" s="7">
        <f t="shared" si="12"/>
        <v>-14.420000000000002</v>
      </c>
      <c r="Y33" s="2"/>
      <c r="Z33" s="6">
        <f t="shared" si="13"/>
        <v>-0.28441814595660753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7">
        <v>1089.6300000000001</v>
      </c>
      <c r="E34" s="2"/>
      <c r="F34" s="6">
        <f t="shared" si="6"/>
        <v>0.16131267237818611</v>
      </c>
      <c r="G34" s="2"/>
      <c r="H34" s="7">
        <v>1462.69</v>
      </c>
      <c r="I34" s="2"/>
      <c r="J34" s="6">
        <f t="shared" si="7"/>
        <v>0.12654341281101844</v>
      </c>
      <c r="K34" s="2"/>
      <c r="L34" s="7">
        <f t="shared" si="8"/>
        <v>-373.05999999999995</v>
      </c>
      <c r="M34" s="2"/>
      <c r="N34" s="6">
        <f t="shared" si="9"/>
        <v>-0.25505062590159222</v>
      </c>
      <c r="O34" s="11"/>
      <c r="P34" s="7">
        <v>1089.6300000000001</v>
      </c>
      <c r="Q34" s="2"/>
      <c r="R34" s="6">
        <f t="shared" si="10"/>
        <v>0.16131267237818611</v>
      </c>
      <c r="S34" s="2"/>
      <c r="T34" s="7">
        <v>1462.69</v>
      </c>
      <c r="U34" s="2"/>
      <c r="V34" s="6">
        <f t="shared" si="11"/>
        <v>0.12654341281101844</v>
      </c>
      <c r="W34" s="2"/>
      <c r="X34" s="7">
        <f t="shared" si="12"/>
        <v>-373.05999999999995</v>
      </c>
      <c r="Y34" s="2"/>
      <c r="Z34" s="6">
        <f t="shared" si="13"/>
        <v>-0.25505062590159222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7">
        <v>1476.96</v>
      </c>
      <c r="E35" s="2"/>
      <c r="F35" s="6">
        <f t="shared" si="6"/>
        <v>0.21865437313187572</v>
      </c>
      <c r="G35" s="2"/>
      <c r="H35" s="7">
        <v>951.42</v>
      </c>
      <c r="I35" s="2"/>
      <c r="J35" s="6">
        <f t="shared" si="7"/>
        <v>8.2311312593002728E-2</v>
      </c>
      <c r="K35" s="2"/>
      <c r="L35" s="7">
        <f t="shared" si="8"/>
        <v>525.54000000000008</v>
      </c>
      <c r="M35" s="2"/>
      <c r="N35" s="6">
        <f t="shared" si="9"/>
        <v>0.55237434571482635</v>
      </c>
      <c r="O35" s="11"/>
      <c r="P35" s="7">
        <v>1476.96</v>
      </c>
      <c r="Q35" s="2"/>
      <c r="R35" s="6">
        <f t="shared" si="10"/>
        <v>0.21865437313187572</v>
      </c>
      <c r="S35" s="2"/>
      <c r="T35" s="7">
        <v>951.42</v>
      </c>
      <c r="U35" s="2"/>
      <c r="V35" s="6">
        <f t="shared" si="11"/>
        <v>8.2311312593002728E-2</v>
      </c>
      <c r="W35" s="2"/>
      <c r="X35" s="7">
        <f t="shared" si="12"/>
        <v>525.54000000000008</v>
      </c>
      <c r="Y35" s="2"/>
      <c r="Z35" s="6">
        <f t="shared" si="13"/>
        <v>0.55237434571482635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7">
        <v>846.78</v>
      </c>
      <c r="E36" s="2"/>
      <c r="F36" s="6">
        <f t="shared" si="6"/>
        <v>0.12536030094288925</v>
      </c>
      <c r="G36" s="2"/>
      <c r="H36" s="7">
        <v>1586.75</v>
      </c>
      <c r="I36" s="2"/>
      <c r="J36" s="6">
        <f t="shared" si="7"/>
        <v>0.13727636086791015</v>
      </c>
      <c r="K36" s="2"/>
      <c r="L36" s="7">
        <f t="shared" si="8"/>
        <v>-739.97</v>
      </c>
      <c r="M36" s="2"/>
      <c r="N36" s="6">
        <f t="shared" si="9"/>
        <v>-0.46634315424610051</v>
      </c>
      <c r="O36" s="11"/>
      <c r="P36" s="7">
        <v>846.78</v>
      </c>
      <c r="Q36" s="2"/>
      <c r="R36" s="6">
        <f t="shared" si="10"/>
        <v>0.12536030094288925</v>
      </c>
      <c r="S36" s="2"/>
      <c r="T36" s="7">
        <v>1586.75</v>
      </c>
      <c r="U36" s="2"/>
      <c r="V36" s="6">
        <f t="shared" si="11"/>
        <v>0.13727636086791015</v>
      </c>
      <c r="W36" s="2"/>
      <c r="X36" s="7">
        <f t="shared" si="12"/>
        <v>-739.97</v>
      </c>
      <c r="Y36" s="2"/>
      <c r="Z36" s="6">
        <f t="shared" si="13"/>
        <v>-0.46634315424610051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7">
        <v>242.38</v>
      </c>
      <c r="E37" s="2"/>
      <c r="F37" s="6">
        <f t="shared" si="6"/>
        <v>3.5882790975858544E-2</v>
      </c>
      <c r="G37" s="2"/>
      <c r="H37" s="7">
        <v>273.27999999999997</v>
      </c>
      <c r="I37" s="2"/>
      <c r="J37" s="6">
        <f t="shared" si="7"/>
        <v>2.3642592656677158E-2</v>
      </c>
      <c r="K37" s="2"/>
      <c r="L37" s="7">
        <f t="shared" si="8"/>
        <v>-30.899999999999977</v>
      </c>
      <c r="M37" s="2"/>
      <c r="N37" s="6">
        <f t="shared" si="9"/>
        <v>-0.11307084309133482</v>
      </c>
      <c r="O37" s="11"/>
      <c r="P37" s="7">
        <v>242.38</v>
      </c>
      <c r="Q37" s="2"/>
      <c r="R37" s="6">
        <f t="shared" si="10"/>
        <v>3.5882790975858544E-2</v>
      </c>
      <c r="S37" s="2"/>
      <c r="T37" s="7">
        <v>273.27999999999997</v>
      </c>
      <c r="U37" s="2"/>
      <c r="V37" s="6">
        <f t="shared" si="11"/>
        <v>2.3642592656677158E-2</v>
      </c>
      <c r="W37" s="2"/>
      <c r="X37" s="7">
        <f t="shared" si="12"/>
        <v>-30.899999999999977</v>
      </c>
      <c r="Y37" s="2"/>
      <c r="Z37" s="6">
        <f t="shared" si="13"/>
        <v>-0.11307084309133482</v>
      </c>
    </row>
    <row r="38" spans="1:26" s="28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16606.870000000003</v>
      </c>
      <c r="E38" s="1"/>
      <c r="F38" s="5">
        <f t="shared" ref="F38:F42" si="14">IF(D$12=0,0,D38/D$12)</f>
        <v>2.4585396690042747</v>
      </c>
      <c r="G38" s="1"/>
      <c r="H38" s="1">
        <f>SUM(OSRRefH22_1x_0)</f>
        <v>16397.54</v>
      </c>
      <c r="I38" s="1"/>
      <c r="J38" s="5">
        <f t="shared" ref="J38:J42" si="15">IF(H$12=0,0,H38/H$12)</f>
        <v>1.4186195798871855</v>
      </c>
      <c r="K38" s="1"/>
      <c r="L38" s="1">
        <f t="shared" ref="L38:L42" si="16">+D38-H38</f>
        <v>209.33000000000175</v>
      </c>
      <c r="M38" s="1"/>
      <c r="N38" s="5">
        <f t="shared" ref="N38:N42" si="17">IF(H38=0,0,L38/H38)</f>
        <v>1.2765939281136179E-2</v>
      </c>
      <c r="O38" s="14"/>
      <c r="P38" s="1">
        <f>SUM(OSRRefP22_1x_0)</f>
        <v>16606.870000000003</v>
      </c>
      <c r="Q38" s="1"/>
      <c r="R38" s="5">
        <f t="shared" ref="R38:R42" si="18">IF(P$12=0,0,P38/P$12)</f>
        <v>2.4585396690042747</v>
      </c>
      <c r="S38" s="1"/>
      <c r="T38" s="1">
        <f>SUM(OSRRefT22_1x_0)</f>
        <v>16397.54</v>
      </c>
      <c r="U38" s="1"/>
      <c r="V38" s="5">
        <f t="shared" ref="V38:V42" si="19">IF(T$12=0,0,T38/T$12)</f>
        <v>1.4186195798871855</v>
      </c>
      <c r="W38" s="1"/>
      <c r="X38" s="1">
        <f t="shared" ref="X38:X42" si="20">+P38-T38</f>
        <v>209.33000000000175</v>
      </c>
      <c r="Y38" s="1"/>
      <c r="Z38" s="5">
        <f t="shared" ref="Z38:Z42" si="21">IF(T38=0,0,X38/T38)</f>
        <v>1.2765939281136179E-2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12474.37</v>
      </c>
      <c r="E39" s="2"/>
      <c r="F39" s="6">
        <f t="shared" si="14"/>
        <v>1.846749778304813</v>
      </c>
      <c r="G39" s="2"/>
      <c r="H39" s="7">
        <v>12575.14</v>
      </c>
      <c r="I39" s="2"/>
      <c r="J39" s="6">
        <f t="shared" si="15"/>
        <v>1.0879278125756997</v>
      </c>
      <c r="K39" s="2"/>
      <c r="L39" s="7">
        <f t="shared" si="16"/>
        <v>-100.76999999999862</v>
      </c>
      <c r="M39" s="2"/>
      <c r="N39" s="6">
        <f t="shared" si="17"/>
        <v>-8.0134296715582195E-3</v>
      </c>
      <c r="O39" s="11"/>
      <c r="P39" s="7">
        <v>12474.37</v>
      </c>
      <c r="Q39" s="2"/>
      <c r="R39" s="6">
        <f t="shared" si="18"/>
        <v>1.846749778304813</v>
      </c>
      <c r="S39" s="2"/>
      <c r="T39" s="7">
        <v>12575.14</v>
      </c>
      <c r="U39" s="2"/>
      <c r="V39" s="6">
        <f t="shared" si="19"/>
        <v>1.0879278125756997</v>
      </c>
      <c r="W39" s="2"/>
      <c r="X39" s="7">
        <f t="shared" si="20"/>
        <v>-100.76999999999862</v>
      </c>
      <c r="Y39" s="2"/>
      <c r="Z39" s="6">
        <f t="shared" si="21"/>
        <v>-8.0134296715582195E-3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987</v>
      </c>
      <c r="E40" s="2"/>
      <c r="F40" s="6">
        <f t="shared" si="14"/>
        <v>0.14611896482041581</v>
      </c>
      <c r="G40" s="2"/>
      <c r="H40" s="7">
        <v>787.96</v>
      </c>
      <c r="I40" s="2"/>
      <c r="J40" s="6">
        <f t="shared" si="15"/>
        <v>6.8169706197875213E-2</v>
      </c>
      <c r="K40" s="2"/>
      <c r="L40" s="7">
        <f t="shared" si="16"/>
        <v>199.03999999999996</v>
      </c>
      <c r="M40" s="2"/>
      <c r="N40" s="6">
        <f t="shared" si="17"/>
        <v>0.25260165490634034</v>
      </c>
      <c r="O40" s="11"/>
      <c r="P40" s="7">
        <v>987</v>
      </c>
      <c r="Q40" s="2"/>
      <c r="R40" s="6">
        <f t="shared" si="18"/>
        <v>0.14611896482041581</v>
      </c>
      <c r="S40" s="2"/>
      <c r="T40" s="7">
        <v>787.96</v>
      </c>
      <c r="U40" s="2"/>
      <c r="V40" s="6">
        <f t="shared" si="19"/>
        <v>6.8169706197875213E-2</v>
      </c>
      <c r="W40" s="2"/>
      <c r="X40" s="7">
        <f t="shared" si="20"/>
        <v>199.03999999999996</v>
      </c>
      <c r="Y40" s="2"/>
      <c r="Z40" s="6">
        <f t="shared" si="21"/>
        <v>0.25260165490634034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14"/>
        <v>0</v>
      </c>
      <c r="G41" s="2"/>
      <c r="H41" s="7">
        <v>772.69</v>
      </c>
      <c r="I41" s="2"/>
      <c r="J41" s="6">
        <f t="shared" si="15"/>
        <v>6.6848634806381285E-2</v>
      </c>
      <c r="K41" s="2"/>
      <c r="L41" s="7">
        <f t="shared" si="16"/>
        <v>-772.69</v>
      </c>
      <c r="M41" s="2"/>
      <c r="N41" s="6">
        <f t="shared" si="17"/>
        <v>-1</v>
      </c>
      <c r="O41" s="11"/>
      <c r="P41" s="7"/>
      <c r="Q41" s="2"/>
      <c r="R41" s="6">
        <f t="shared" si="18"/>
        <v>0</v>
      </c>
      <c r="S41" s="2"/>
      <c r="T41" s="7">
        <v>772.69</v>
      </c>
      <c r="U41" s="2"/>
      <c r="V41" s="6">
        <f t="shared" si="19"/>
        <v>6.6848634806381285E-2</v>
      </c>
      <c r="W41" s="2"/>
      <c r="X41" s="7">
        <f t="shared" si="20"/>
        <v>-772.69</v>
      </c>
      <c r="Y41" s="2"/>
      <c r="Z41" s="6">
        <f t="shared" si="21"/>
        <v>-1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3145.5</v>
      </c>
      <c r="E42" s="2"/>
      <c r="F42" s="6">
        <f t="shared" si="14"/>
        <v>0.46567092587904552</v>
      </c>
      <c r="G42" s="2"/>
      <c r="H42" s="7">
        <v>2261.75</v>
      </c>
      <c r="I42" s="2"/>
      <c r="J42" s="6">
        <f t="shared" si="15"/>
        <v>0.19567342630722911</v>
      </c>
      <c r="K42" s="2"/>
      <c r="L42" s="7">
        <f t="shared" si="16"/>
        <v>883.75</v>
      </c>
      <c r="M42" s="2"/>
      <c r="N42" s="6">
        <f t="shared" si="17"/>
        <v>0.39073726097048744</v>
      </c>
      <c r="O42" s="11"/>
      <c r="P42" s="7">
        <v>3145.5</v>
      </c>
      <c r="Q42" s="2"/>
      <c r="R42" s="6">
        <f t="shared" si="18"/>
        <v>0.46567092587904552</v>
      </c>
      <c r="S42" s="2"/>
      <c r="T42" s="7">
        <v>2261.75</v>
      </c>
      <c r="U42" s="2"/>
      <c r="V42" s="6">
        <f t="shared" si="19"/>
        <v>0.19567342630722911</v>
      </c>
      <c r="W42" s="2"/>
      <c r="X42" s="7">
        <f t="shared" si="20"/>
        <v>883.75</v>
      </c>
      <c r="Y42" s="2"/>
      <c r="Z42" s="6">
        <f t="shared" si="21"/>
        <v>0.39073726097048744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7" si="22">IF(D$12=0,0,D43/D$12)</f>
        <v>0</v>
      </c>
      <c r="G43" s="1"/>
      <c r="H43" s="1">
        <f>SUM(OSRRefH22_2x_0)</f>
        <v>518</v>
      </c>
      <c r="I43" s="1"/>
      <c r="J43" s="5">
        <f t="shared" ref="J43:J57" si="23">IF(H$12=0,0,H43/H$12)</f>
        <v>4.481434058898847E-2</v>
      </c>
      <c r="K43" s="1"/>
      <c r="L43" s="1">
        <f t="shared" ref="L43:L57" si="24">+D43-H43</f>
        <v>-518</v>
      </c>
      <c r="M43" s="1"/>
      <c r="N43" s="5">
        <f t="shared" ref="N43:N57" si="25">IF(H43=0,0,L43/H43)</f>
        <v>-1</v>
      </c>
      <c r="O43" s="14"/>
      <c r="P43" s="1">
        <f>SUM(OSRRefP22_2x_0)</f>
        <v>0</v>
      </c>
      <c r="Q43" s="1"/>
      <c r="R43" s="5">
        <f t="shared" ref="R43:R57" si="26">IF(P$12=0,0,P43/P$12)</f>
        <v>0</v>
      </c>
      <c r="S43" s="1"/>
      <c r="T43" s="1">
        <f>SUM(OSRRefT22_2x_0)</f>
        <v>518</v>
      </c>
      <c r="U43" s="1"/>
      <c r="V43" s="5">
        <f t="shared" ref="V43:V57" si="27">IF(T$12=0,0,T43/T$12)</f>
        <v>4.481434058898847E-2</v>
      </c>
      <c r="W43" s="1"/>
      <c r="X43" s="1">
        <f t="shared" ref="X43:X57" si="28">+P43-T43</f>
        <v>-518</v>
      </c>
      <c r="Y43" s="1"/>
      <c r="Z43" s="5">
        <f t="shared" ref="Z43:Z57" si="29">IF(T43=0,0,X43/T43)</f>
        <v>-1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22"/>
        <v>0</v>
      </c>
      <c r="G44" s="2"/>
      <c r="H44" s="7">
        <v>518</v>
      </c>
      <c r="I44" s="2"/>
      <c r="J44" s="6">
        <f t="shared" si="23"/>
        <v>4.481434058898847E-2</v>
      </c>
      <c r="K44" s="2"/>
      <c r="L44" s="7">
        <f t="shared" si="24"/>
        <v>-518</v>
      </c>
      <c r="M44" s="2"/>
      <c r="N44" s="6">
        <f t="shared" si="25"/>
        <v>-1</v>
      </c>
      <c r="O44" s="11"/>
      <c r="P44" s="7"/>
      <c r="Q44" s="2"/>
      <c r="R44" s="6">
        <f t="shared" si="26"/>
        <v>0</v>
      </c>
      <c r="S44" s="2"/>
      <c r="T44" s="7">
        <v>518</v>
      </c>
      <c r="U44" s="2"/>
      <c r="V44" s="6">
        <f t="shared" si="27"/>
        <v>4.481434058898847E-2</v>
      </c>
      <c r="W44" s="2"/>
      <c r="X44" s="7">
        <f t="shared" si="28"/>
        <v>-518</v>
      </c>
      <c r="Y44" s="2"/>
      <c r="Z44" s="6">
        <f t="shared" si="29"/>
        <v>-1</v>
      </c>
    </row>
    <row r="45" spans="1:26" s="28" customFormat="1" outlineLevel="1" collapsed="1" x14ac:dyDescent="0.25">
      <c r="A45" s="27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SUM(OSRRefD22_3x_0)</f>
        <v>63.22</v>
      </c>
      <c r="E45" s="1"/>
      <c r="F45" s="5">
        <f t="shared" si="22"/>
        <v>9.3593120121040398E-3</v>
      </c>
      <c r="G45" s="1"/>
      <c r="H45" s="1">
        <f>SUM(OSRRefH22_3x_0)</f>
        <v>50.51</v>
      </c>
      <c r="I45" s="1"/>
      <c r="J45" s="5">
        <f t="shared" si="23"/>
        <v>4.3698307782814817E-3</v>
      </c>
      <c r="K45" s="1"/>
      <c r="L45" s="1">
        <f t="shared" si="24"/>
        <v>12.71</v>
      </c>
      <c r="M45" s="1"/>
      <c r="N45" s="5">
        <f t="shared" si="25"/>
        <v>0.25163333993268661</v>
      </c>
      <c r="O45" s="14"/>
      <c r="P45" s="1">
        <f>SUM(OSRRefP22_3x_0)</f>
        <v>63.22</v>
      </c>
      <c r="Q45" s="1"/>
      <c r="R45" s="5">
        <f t="shared" si="26"/>
        <v>9.3593120121040398E-3</v>
      </c>
      <c r="S45" s="1"/>
      <c r="T45" s="1">
        <f>SUM(OSRRefT22_3x_0)</f>
        <v>50.51</v>
      </c>
      <c r="U45" s="1"/>
      <c r="V45" s="5">
        <f t="shared" si="27"/>
        <v>4.3698307782814817E-3</v>
      </c>
      <c r="W45" s="1"/>
      <c r="X45" s="1">
        <f t="shared" si="28"/>
        <v>12.71</v>
      </c>
      <c r="Y45" s="1"/>
      <c r="Z45" s="5">
        <f t="shared" si="29"/>
        <v>0.25163333993268661</v>
      </c>
    </row>
    <row r="46" spans="1:26" s="24" customFormat="1" hidden="1" outlineLevel="2" x14ac:dyDescent="0.25">
      <c r="A46" s="29"/>
      <c r="B46" s="11" t="str">
        <f>CONCATENATE("          ", "6382", " - ", "DISCOUNTS/MARK DOWNS")</f>
        <v xml:space="preserve">          6382 - DISCOUNTS/MARK DOWNS</v>
      </c>
      <c r="C46" s="11"/>
      <c r="D46" s="7">
        <v>63.22</v>
      </c>
      <c r="E46" s="2"/>
      <c r="F46" s="6">
        <f t="shared" si="22"/>
        <v>9.3593120121040398E-3</v>
      </c>
      <c r="G46" s="2"/>
      <c r="H46" s="7">
        <v>50.51</v>
      </c>
      <c r="I46" s="2"/>
      <c r="J46" s="6">
        <f t="shared" si="23"/>
        <v>4.3698307782814817E-3</v>
      </c>
      <c r="K46" s="2"/>
      <c r="L46" s="7">
        <f t="shared" si="24"/>
        <v>12.71</v>
      </c>
      <c r="M46" s="2"/>
      <c r="N46" s="6">
        <f t="shared" si="25"/>
        <v>0.25163333993268661</v>
      </c>
      <c r="O46" s="11"/>
      <c r="P46" s="7">
        <v>63.22</v>
      </c>
      <c r="Q46" s="2"/>
      <c r="R46" s="6">
        <f t="shared" si="26"/>
        <v>9.3593120121040398E-3</v>
      </c>
      <c r="S46" s="2"/>
      <c r="T46" s="7">
        <v>50.51</v>
      </c>
      <c r="U46" s="2"/>
      <c r="V46" s="6">
        <f t="shared" si="27"/>
        <v>4.3698307782814817E-3</v>
      </c>
      <c r="W46" s="2"/>
      <c r="X46" s="7">
        <f t="shared" si="28"/>
        <v>12.71</v>
      </c>
      <c r="Y46" s="2"/>
      <c r="Z46" s="6">
        <f t="shared" si="29"/>
        <v>0.25163333993268661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SUM(OSRRefD22_4x_0)</f>
        <v>1205.6400000000001</v>
      </c>
      <c r="E47" s="1"/>
      <c r="F47" s="5">
        <f t="shared" si="22"/>
        <v>0.17848720237698695</v>
      </c>
      <c r="G47" s="1"/>
      <c r="H47" s="1">
        <f>SUM(OSRRefH22_4x_0)</f>
        <v>3144.19</v>
      </c>
      <c r="I47" s="1"/>
      <c r="J47" s="5">
        <f t="shared" si="23"/>
        <v>0.27201699138318852</v>
      </c>
      <c r="K47" s="1"/>
      <c r="L47" s="1">
        <f t="shared" si="24"/>
        <v>-1938.55</v>
      </c>
      <c r="M47" s="1"/>
      <c r="N47" s="5">
        <f t="shared" si="25"/>
        <v>-0.61654989043283004</v>
      </c>
      <c r="O47" s="14"/>
      <c r="P47" s="1">
        <f>SUM(OSRRefP22_4x_0)</f>
        <v>1205.6400000000001</v>
      </c>
      <c r="Q47" s="1"/>
      <c r="R47" s="5">
        <f t="shared" si="26"/>
        <v>0.17848720237698695</v>
      </c>
      <c r="S47" s="1"/>
      <c r="T47" s="1">
        <f>SUM(OSRRefT22_4x_0)</f>
        <v>3144.19</v>
      </c>
      <c r="U47" s="1"/>
      <c r="V47" s="5">
        <f t="shared" si="27"/>
        <v>0.27201699138318852</v>
      </c>
      <c r="W47" s="1"/>
      <c r="X47" s="1">
        <f t="shared" si="28"/>
        <v>-1938.55</v>
      </c>
      <c r="Y47" s="1"/>
      <c r="Z47" s="5">
        <f t="shared" si="29"/>
        <v>-0.61654989043283004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1205.6400000000001</v>
      </c>
      <c r="E48" s="2"/>
      <c r="F48" s="6">
        <f t="shared" si="22"/>
        <v>0.17848720237698695</v>
      </c>
      <c r="G48" s="2"/>
      <c r="H48" s="7">
        <v>3144.19</v>
      </c>
      <c r="I48" s="2"/>
      <c r="J48" s="6">
        <f t="shared" si="23"/>
        <v>0.27201699138318852</v>
      </c>
      <c r="K48" s="2"/>
      <c r="L48" s="7">
        <f t="shared" si="24"/>
        <v>-1938.55</v>
      </c>
      <c r="M48" s="2"/>
      <c r="N48" s="6">
        <f t="shared" si="25"/>
        <v>-0.61654989043283004</v>
      </c>
      <c r="O48" s="11"/>
      <c r="P48" s="7">
        <v>1205.6400000000001</v>
      </c>
      <c r="Q48" s="2"/>
      <c r="R48" s="6">
        <f t="shared" si="26"/>
        <v>0.17848720237698695</v>
      </c>
      <c r="S48" s="2"/>
      <c r="T48" s="7">
        <v>3144.19</v>
      </c>
      <c r="U48" s="2"/>
      <c r="V48" s="6">
        <f t="shared" si="27"/>
        <v>0.27201699138318852</v>
      </c>
      <c r="W48" s="2"/>
      <c r="X48" s="7">
        <f t="shared" si="28"/>
        <v>-1938.55</v>
      </c>
      <c r="Y48" s="2"/>
      <c r="Z48" s="6">
        <f t="shared" si="29"/>
        <v>-0.61654989043283004</v>
      </c>
    </row>
    <row r="49" spans="1:26" s="28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SUM(OSRRefD22_5x_0)</f>
        <v>5942.4</v>
      </c>
      <c r="E49" s="1"/>
      <c r="F49" s="5">
        <f t="shared" si="22"/>
        <v>0.87973387694917815</v>
      </c>
      <c r="G49" s="1"/>
      <c r="H49" s="1">
        <f>SUM(OSRRefH22_5x_0)</f>
        <v>8591.74</v>
      </c>
      <c r="I49" s="1"/>
      <c r="J49" s="5">
        <f t="shared" si="23"/>
        <v>0.74330726372979883</v>
      </c>
      <c r="K49" s="1"/>
      <c r="L49" s="1">
        <f t="shared" si="24"/>
        <v>-2649.34</v>
      </c>
      <c r="M49" s="1"/>
      <c r="N49" s="5">
        <f t="shared" si="25"/>
        <v>-0.30835895872081792</v>
      </c>
      <c r="O49" s="14"/>
      <c r="P49" s="1">
        <f>SUM(OSRRefP22_5x_0)</f>
        <v>5942.4</v>
      </c>
      <c r="Q49" s="1"/>
      <c r="R49" s="5">
        <f t="shared" si="26"/>
        <v>0.87973387694917815</v>
      </c>
      <c r="S49" s="1"/>
      <c r="T49" s="1">
        <f>SUM(OSRRefT22_5x_0)</f>
        <v>8591.74</v>
      </c>
      <c r="U49" s="1"/>
      <c r="V49" s="5">
        <f t="shared" si="27"/>
        <v>0.74330726372979883</v>
      </c>
      <c r="W49" s="1"/>
      <c r="X49" s="1">
        <f t="shared" si="28"/>
        <v>-2649.34</v>
      </c>
      <c r="Y49" s="1"/>
      <c r="Z49" s="5">
        <f t="shared" si="29"/>
        <v>-0.30835895872081792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7">
        <v>5942.4</v>
      </c>
      <c r="E50" s="2"/>
      <c r="F50" s="6">
        <f t="shared" si="22"/>
        <v>0.87973387694917815</v>
      </c>
      <c r="G50" s="2"/>
      <c r="H50" s="7">
        <v>8591.74</v>
      </c>
      <c r="I50" s="2"/>
      <c r="J50" s="6">
        <f t="shared" si="23"/>
        <v>0.74330726372979883</v>
      </c>
      <c r="K50" s="2"/>
      <c r="L50" s="7">
        <f t="shared" si="24"/>
        <v>-2649.34</v>
      </c>
      <c r="M50" s="2"/>
      <c r="N50" s="6">
        <f t="shared" si="25"/>
        <v>-0.30835895872081792</v>
      </c>
      <c r="O50" s="11"/>
      <c r="P50" s="7">
        <v>5942.4</v>
      </c>
      <c r="Q50" s="2"/>
      <c r="R50" s="6">
        <f t="shared" si="26"/>
        <v>0.87973387694917815</v>
      </c>
      <c r="S50" s="2"/>
      <c r="T50" s="7">
        <v>8591.74</v>
      </c>
      <c r="U50" s="2"/>
      <c r="V50" s="6">
        <f t="shared" si="27"/>
        <v>0.74330726372979883</v>
      </c>
      <c r="W50" s="2"/>
      <c r="X50" s="7">
        <f t="shared" si="28"/>
        <v>-2649.34</v>
      </c>
      <c r="Y50" s="2"/>
      <c r="Z50" s="6">
        <f t="shared" si="29"/>
        <v>-0.30835895872081792</v>
      </c>
    </row>
    <row r="51" spans="1:26" s="28" customFormat="1" outlineLevel="1" collapsed="1" x14ac:dyDescent="0.25">
      <c r="A51" s="27"/>
      <c r="B51" s="14" t="str">
        <f>CONCATENATE("     ","Royalty &amp; Commissions                             ")</f>
        <v xml:space="preserve">     Royalty &amp; Commissions                             </v>
      </c>
      <c r="C51" s="14"/>
      <c r="D51" s="1">
        <f>SUM(OSRRefD22_6x_0)</f>
        <v>605.01</v>
      </c>
      <c r="E51" s="1"/>
      <c r="F51" s="5">
        <f t="shared" si="22"/>
        <v>8.9567816520769769E-2</v>
      </c>
      <c r="G51" s="1"/>
      <c r="H51" s="1">
        <f>SUM(OSRRefH22_6x_0)</f>
        <v>691.84</v>
      </c>
      <c r="I51" s="1"/>
      <c r="J51" s="5">
        <f t="shared" si="23"/>
        <v>5.9853964079316188E-2</v>
      </c>
      <c r="K51" s="1"/>
      <c r="L51" s="1">
        <f t="shared" si="24"/>
        <v>-86.830000000000041</v>
      </c>
      <c r="M51" s="1"/>
      <c r="N51" s="5">
        <f t="shared" si="25"/>
        <v>-0.12550589731729886</v>
      </c>
      <c r="O51" s="14"/>
      <c r="P51" s="1">
        <f>SUM(OSRRefP22_6x_0)</f>
        <v>605.01</v>
      </c>
      <c r="Q51" s="1"/>
      <c r="R51" s="5">
        <f t="shared" si="26"/>
        <v>8.9567816520769769E-2</v>
      </c>
      <c r="S51" s="1"/>
      <c r="T51" s="1">
        <f>SUM(OSRRefT22_6x_0)</f>
        <v>691.84</v>
      </c>
      <c r="U51" s="1"/>
      <c r="V51" s="5">
        <f t="shared" si="27"/>
        <v>5.9853964079316188E-2</v>
      </c>
      <c r="W51" s="1"/>
      <c r="X51" s="1">
        <f t="shared" si="28"/>
        <v>-86.830000000000041</v>
      </c>
      <c r="Y51" s="1"/>
      <c r="Z51" s="5">
        <f t="shared" si="29"/>
        <v>-0.12550589731729886</v>
      </c>
    </row>
    <row r="52" spans="1:26" s="24" customFormat="1" hidden="1" outlineLevel="2" x14ac:dyDescent="0.25">
      <c r="A52" s="29"/>
      <c r="B52" s="11" t="str">
        <f>CONCATENATE("          ", "6259", " - ", "ROYALTY &amp; COMMISSIONS")</f>
        <v xml:space="preserve">          6259 - ROYALTY &amp; COMMISSIONS</v>
      </c>
      <c r="C52" s="11"/>
      <c r="D52" s="7">
        <v>605.01</v>
      </c>
      <c r="E52" s="2"/>
      <c r="F52" s="6">
        <f t="shared" si="22"/>
        <v>8.9567816520769769E-2</v>
      </c>
      <c r="G52" s="2"/>
      <c r="H52" s="7">
        <v>691.84</v>
      </c>
      <c r="I52" s="2"/>
      <c r="J52" s="6">
        <f t="shared" si="23"/>
        <v>5.9853964079316188E-2</v>
      </c>
      <c r="K52" s="2"/>
      <c r="L52" s="7">
        <f t="shared" si="24"/>
        <v>-86.830000000000041</v>
      </c>
      <c r="M52" s="2"/>
      <c r="N52" s="6">
        <f t="shared" si="25"/>
        <v>-0.12550589731729886</v>
      </c>
      <c r="O52" s="11"/>
      <c r="P52" s="7">
        <v>605.01</v>
      </c>
      <c r="Q52" s="2"/>
      <c r="R52" s="6">
        <f t="shared" si="26"/>
        <v>8.9567816520769769E-2</v>
      </c>
      <c r="S52" s="2"/>
      <c r="T52" s="7">
        <v>691.84</v>
      </c>
      <c r="U52" s="2"/>
      <c r="V52" s="6">
        <f t="shared" si="27"/>
        <v>5.9853964079316188E-2</v>
      </c>
      <c r="W52" s="2"/>
      <c r="X52" s="7">
        <f t="shared" si="28"/>
        <v>-86.830000000000041</v>
      </c>
      <c r="Y52" s="2"/>
      <c r="Z52" s="6">
        <f t="shared" si="29"/>
        <v>-0.12550589731729886</v>
      </c>
    </row>
    <row r="53" spans="1:26" s="28" customFormat="1" outlineLevel="1" collapsed="1" x14ac:dyDescent="0.25">
      <c r="A53" s="27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SUM(OSRRefD22_7x_0)</f>
        <v>1910.37</v>
      </c>
      <c r="E53" s="1"/>
      <c r="F53" s="5">
        <f t="shared" si="22"/>
        <v>0.28281791978113247</v>
      </c>
      <c r="G53" s="1"/>
      <c r="H53" s="1">
        <f>SUM(OSRRefH22_7x_0)</f>
        <v>2929.35</v>
      </c>
      <c r="I53" s="1"/>
      <c r="J53" s="5">
        <f t="shared" si="23"/>
        <v>0.25343028688099106</v>
      </c>
      <c r="K53" s="1"/>
      <c r="L53" s="1">
        <f t="shared" si="24"/>
        <v>-1018.98</v>
      </c>
      <c r="M53" s="1"/>
      <c r="N53" s="5">
        <f t="shared" si="25"/>
        <v>-0.34785191254032466</v>
      </c>
      <c r="O53" s="14"/>
      <c r="P53" s="1">
        <f>SUM(OSRRefP22_7x_0)</f>
        <v>1910.37</v>
      </c>
      <c r="Q53" s="1"/>
      <c r="R53" s="5">
        <f t="shared" si="26"/>
        <v>0.28281791978113247</v>
      </c>
      <c r="S53" s="1"/>
      <c r="T53" s="1">
        <f>SUM(OSRRefT22_7x_0)</f>
        <v>2929.35</v>
      </c>
      <c r="U53" s="1"/>
      <c r="V53" s="5">
        <f t="shared" si="27"/>
        <v>0.25343028688099106</v>
      </c>
      <c r="W53" s="1"/>
      <c r="X53" s="1">
        <f t="shared" si="28"/>
        <v>-1018.98</v>
      </c>
      <c r="Y53" s="1"/>
      <c r="Z53" s="5">
        <f t="shared" si="29"/>
        <v>-0.34785191254032466</v>
      </c>
    </row>
    <row r="54" spans="1:26" s="24" customFormat="1" hidden="1" outlineLevel="2" x14ac:dyDescent="0.25">
      <c r="A54" s="29"/>
      <c r="B54" s="11" t="str">
        <f>CONCATENATE("          ", "6234", " - ", "EXPENDABLE SUPPLIES &amp; EQUIPMEN")</f>
        <v xml:space="preserve">          6234 - EXPENDABLE SUPPLIES &amp; EQUIPMEN</v>
      </c>
      <c r="C54" s="11"/>
      <c r="D54" s="7">
        <v>17.27</v>
      </c>
      <c r="E54" s="2"/>
      <c r="F54" s="6">
        <f t="shared" si="22"/>
        <v>2.5567117755304772E-3</v>
      </c>
      <c r="G54" s="2"/>
      <c r="H54" s="7"/>
      <c r="I54" s="2"/>
      <c r="J54" s="6">
        <f t="shared" si="23"/>
        <v>0</v>
      </c>
      <c r="K54" s="2"/>
      <c r="L54" s="7">
        <f t="shared" si="24"/>
        <v>17.27</v>
      </c>
      <c r="M54" s="2"/>
      <c r="N54" s="6">
        <f t="shared" si="25"/>
        <v>0</v>
      </c>
      <c r="O54" s="11"/>
      <c r="P54" s="7">
        <v>17.27</v>
      </c>
      <c r="Q54" s="2"/>
      <c r="R54" s="6">
        <f t="shared" si="26"/>
        <v>2.5567117755304772E-3</v>
      </c>
      <c r="S54" s="2"/>
      <c r="T54" s="7"/>
      <c r="U54" s="2"/>
      <c r="V54" s="6">
        <f t="shared" si="27"/>
        <v>0</v>
      </c>
      <c r="W54" s="2"/>
      <c r="X54" s="7">
        <f t="shared" si="28"/>
        <v>17.27</v>
      </c>
      <c r="Y54" s="2"/>
      <c r="Z54" s="6">
        <f t="shared" si="29"/>
        <v>0</v>
      </c>
    </row>
    <row r="55" spans="1:26" s="24" customFormat="1" hidden="1" outlineLevel="2" x14ac:dyDescent="0.25">
      <c r="A55" s="29"/>
      <c r="B55" s="11" t="str">
        <f>CONCATENATE("          ", "6243", " - ", "PAPER SUPPLIES")</f>
        <v xml:space="preserve">          6243 - PAPER SUPPLIES</v>
      </c>
      <c r="C55" s="11"/>
      <c r="D55" s="7">
        <v>1161.3399999999999</v>
      </c>
      <c r="E55" s="2"/>
      <c r="F55" s="6">
        <f t="shared" si="22"/>
        <v>0.17192887396610099</v>
      </c>
      <c r="G55" s="2"/>
      <c r="H55" s="7">
        <v>2437.0300000000002</v>
      </c>
      <c r="I55" s="2"/>
      <c r="J55" s="6">
        <f t="shared" si="23"/>
        <v>0.2108376302038274</v>
      </c>
      <c r="K55" s="2"/>
      <c r="L55" s="7">
        <f t="shared" si="24"/>
        <v>-1275.6900000000003</v>
      </c>
      <c r="M55" s="2"/>
      <c r="N55" s="6">
        <f t="shared" si="25"/>
        <v>-0.52346093400573657</v>
      </c>
      <c r="O55" s="11"/>
      <c r="P55" s="7">
        <v>1161.3399999999999</v>
      </c>
      <c r="Q55" s="2"/>
      <c r="R55" s="6">
        <f t="shared" si="26"/>
        <v>0.17192887396610099</v>
      </c>
      <c r="S55" s="2"/>
      <c r="T55" s="7">
        <v>2437.0300000000002</v>
      </c>
      <c r="U55" s="2"/>
      <c r="V55" s="6">
        <f t="shared" si="27"/>
        <v>0.2108376302038274</v>
      </c>
      <c r="W55" s="2"/>
      <c r="X55" s="7">
        <f t="shared" si="28"/>
        <v>-1275.6900000000003</v>
      </c>
      <c r="Y55" s="2"/>
      <c r="Z55" s="6">
        <f t="shared" si="29"/>
        <v>-0.52346093400573657</v>
      </c>
    </row>
    <row r="56" spans="1:26" s="24" customFormat="1" hidden="1" outlineLevel="2" x14ac:dyDescent="0.25">
      <c r="A56" s="29"/>
      <c r="B56" s="11" t="str">
        <f>CONCATENATE("          ", "6245", " - ", "PRINTING")</f>
        <v xml:space="preserve">          6245 - PRINTING</v>
      </c>
      <c r="C56" s="11"/>
      <c r="D56" s="7"/>
      <c r="E56" s="2"/>
      <c r="F56" s="6">
        <f t="shared" si="22"/>
        <v>0</v>
      </c>
      <c r="G56" s="2"/>
      <c r="H56" s="7">
        <v>2.62</v>
      </c>
      <c r="I56" s="2"/>
      <c r="J56" s="6">
        <f t="shared" si="23"/>
        <v>2.2666712807557876E-4</v>
      </c>
      <c r="K56" s="2"/>
      <c r="L56" s="7">
        <f t="shared" si="24"/>
        <v>-2.62</v>
      </c>
      <c r="M56" s="2"/>
      <c r="N56" s="6">
        <f t="shared" si="25"/>
        <v>-1</v>
      </c>
      <c r="O56" s="11"/>
      <c r="P56" s="7"/>
      <c r="Q56" s="2"/>
      <c r="R56" s="6">
        <f t="shared" si="26"/>
        <v>0</v>
      </c>
      <c r="S56" s="2"/>
      <c r="T56" s="7">
        <v>2.62</v>
      </c>
      <c r="U56" s="2"/>
      <c r="V56" s="6">
        <f t="shared" si="27"/>
        <v>2.2666712807557876E-4</v>
      </c>
      <c r="W56" s="2"/>
      <c r="X56" s="7">
        <f t="shared" si="28"/>
        <v>-2.62</v>
      </c>
      <c r="Y56" s="2"/>
      <c r="Z56" s="6">
        <f t="shared" si="29"/>
        <v>-1</v>
      </c>
    </row>
    <row r="57" spans="1:26" s="24" customFormat="1" hidden="1" outlineLevel="2" x14ac:dyDescent="0.25">
      <c r="A57" s="29"/>
      <c r="B57" s="11" t="str">
        <f>CONCATENATE("          ", "6247", " - ", "STORE SUPPLIES")</f>
        <v xml:space="preserve">          6247 - STORE SUPPLIES</v>
      </c>
      <c r="C57" s="11"/>
      <c r="D57" s="7">
        <v>731.76</v>
      </c>
      <c r="E57" s="2"/>
      <c r="F57" s="6">
        <f t="shared" si="22"/>
        <v>0.10833233403950097</v>
      </c>
      <c r="G57" s="2"/>
      <c r="H57" s="7">
        <v>489.7</v>
      </c>
      <c r="I57" s="2"/>
      <c r="J57" s="6">
        <f t="shared" si="23"/>
        <v>4.2365989549088136E-2</v>
      </c>
      <c r="K57" s="2"/>
      <c r="L57" s="7">
        <f t="shared" si="24"/>
        <v>242.06</v>
      </c>
      <c r="M57" s="2"/>
      <c r="N57" s="6">
        <f t="shared" si="25"/>
        <v>0.49430263426587706</v>
      </c>
      <c r="O57" s="11"/>
      <c r="P57" s="7">
        <v>731.76</v>
      </c>
      <c r="Q57" s="2"/>
      <c r="R57" s="6">
        <f t="shared" si="26"/>
        <v>0.10833233403950097</v>
      </c>
      <c r="S57" s="2"/>
      <c r="T57" s="7">
        <v>489.7</v>
      </c>
      <c r="U57" s="2"/>
      <c r="V57" s="6">
        <f t="shared" si="27"/>
        <v>4.2365989549088136E-2</v>
      </c>
      <c r="W57" s="2"/>
      <c r="X57" s="7">
        <f t="shared" si="28"/>
        <v>242.06</v>
      </c>
      <c r="Y57" s="2"/>
      <c r="Z57" s="6">
        <f t="shared" si="29"/>
        <v>0.49430263426587706</v>
      </c>
    </row>
    <row r="58" spans="1:26" s="28" customFormat="1" outlineLevel="1" collapsed="1" x14ac:dyDescent="0.25">
      <c r="A58" s="27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SUM(OSRRefD22_8x_0)</f>
        <v>88.65</v>
      </c>
      <c r="E58" s="1"/>
      <c r="F58" s="5">
        <f t="shared" ref="F58:F59" si="30">IF(D$12=0,0,D58/D$12)</f>
        <v>1.3124058998307864E-2</v>
      </c>
      <c r="G58" s="1"/>
      <c r="H58" s="1">
        <f>SUM(OSRRefH22_8x_0)</f>
        <v>65.099999999999994</v>
      </c>
      <c r="I58" s="1"/>
      <c r="J58" s="5">
        <f t="shared" ref="J58:J59" si="31">IF(H$12=0,0,H58/H$12)</f>
        <v>5.6320725334809835E-3</v>
      </c>
      <c r="K58" s="1"/>
      <c r="L58" s="1">
        <f t="shared" ref="L58:L59" si="32">+D58-H58</f>
        <v>23.550000000000011</v>
      </c>
      <c r="M58" s="1"/>
      <c r="N58" s="5">
        <f t="shared" ref="N58:N59" si="33">IF(H58=0,0,L58/H58)</f>
        <v>0.36175115207373293</v>
      </c>
      <c r="O58" s="14"/>
      <c r="P58" s="1">
        <f>SUM(OSRRefP22_8x_0)</f>
        <v>88.65</v>
      </c>
      <c r="Q58" s="1"/>
      <c r="R58" s="5">
        <f t="shared" ref="R58:R59" si="34">IF(P$12=0,0,P58/P$12)</f>
        <v>1.3124058998307864E-2</v>
      </c>
      <c r="S58" s="1"/>
      <c r="T58" s="1">
        <f>SUM(OSRRefT22_8x_0)</f>
        <v>65.099999999999994</v>
      </c>
      <c r="U58" s="1"/>
      <c r="V58" s="5">
        <f t="shared" ref="V58:V59" si="35">IF(T$12=0,0,T58/T$12)</f>
        <v>5.6320725334809835E-3</v>
      </c>
      <c r="W58" s="1"/>
      <c r="X58" s="1">
        <f t="shared" ref="X58:X59" si="36">+P58-T58</f>
        <v>23.550000000000011</v>
      </c>
      <c r="Y58" s="1"/>
      <c r="Z58" s="5">
        <f t="shared" ref="Z58:Z59" si="37">IF(T58=0,0,X58/T58)</f>
        <v>0.36175115207373293</v>
      </c>
    </row>
    <row r="59" spans="1:26" s="24" customFormat="1" hidden="1" outlineLevel="2" x14ac:dyDescent="0.25">
      <c r="A59" s="29"/>
      <c r="B59" s="11" t="str">
        <f>CONCATENATE("          ", "6309", " - ", "TELEPHONE")</f>
        <v xml:space="preserve">          6309 - TELEPHONE</v>
      </c>
      <c r="C59" s="11"/>
      <c r="D59" s="7">
        <v>88.65</v>
      </c>
      <c r="E59" s="2"/>
      <c r="F59" s="6">
        <f t="shared" si="30"/>
        <v>1.3124058998307864E-2</v>
      </c>
      <c r="G59" s="2"/>
      <c r="H59" s="7">
        <v>65.099999999999994</v>
      </c>
      <c r="I59" s="2"/>
      <c r="J59" s="6">
        <f t="shared" si="31"/>
        <v>5.6320725334809835E-3</v>
      </c>
      <c r="K59" s="2"/>
      <c r="L59" s="7">
        <f t="shared" si="32"/>
        <v>23.550000000000011</v>
      </c>
      <c r="M59" s="2"/>
      <c r="N59" s="6">
        <f t="shared" si="33"/>
        <v>0.36175115207373293</v>
      </c>
      <c r="O59" s="11"/>
      <c r="P59" s="7">
        <v>88.65</v>
      </c>
      <c r="Q59" s="2"/>
      <c r="R59" s="6">
        <f t="shared" si="34"/>
        <v>1.3124058998307864E-2</v>
      </c>
      <c r="S59" s="2"/>
      <c r="T59" s="7">
        <v>65.099999999999994</v>
      </c>
      <c r="U59" s="2"/>
      <c r="V59" s="6">
        <f t="shared" si="35"/>
        <v>5.6320725334809835E-3</v>
      </c>
      <c r="W59" s="2"/>
      <c r="X59" s="7">
        <f t="shared" si="36"/>
        <v>23.550000000000011</v>
      </c>
      <c r="Y59" s="2"/>
      <c r="Z59" s="6">
        <f t="shared" si="37"/>
        <v>0.36175115207373293</v>
      </c>
    </row>
    <row r="60" spans="1:26" s="54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collapsed="1" x14ac:dyDescent="0.25">
      <c r="A61" s="10"/>
      <c r="B61" s="26" t="s">
        <v>0</v>
      </c>
      <c r="C61" s="10"/>
      <c r="D61" s="4">
        <f>SUM(OSRRefD25x_0)</f>
        <v>13269</v>
      </c>
      <c r="E61" s="4"/>
      <c r="F61" s="12">
        <f t="shared" ref="F61:F62" si="38">IF(D$12=0,0,D61/D$12)</f>
        <v>1.9643896091206661</v>
      </c>
      <c r="G61" s="4"/>
      <c r="H61" s="4">
        <f>SUM(OSRRefH25x_0)</f>
        <v>12083</v>
      </c>
      <c r="I61" s="4"/>
      <c r="J61" s="12">
        <f t="shared" ref="J61:J62" si="39">IF(H$12=0,0,H61/H$12)</f>
        <v>1.04535072844932</v>
      </c>
      <c r="K61" s="4"/>
      <c r="L61" s="4">
        <f t="shared" ref="L61:L62" si="40">+D61-H61</f>
        <v>1186</v>
      </c>
      <c r="M61" s="4"/>
      <c r="N61" s="12">
        <f t="shared" ref="N61:N62" si="41">IF(H61=0,0,L61/H61)</f>
        <v>9.8154431846395759E-2</v>
      </c>
      <c r="O61" s="10"/>
      <c r="P61" s="4">
        <f>SUM(OSRRefP25x_0)</f>
        <v>13269</v>
      </c>
      <c r="Q61" s="4"/>
      <c r="R61" s="12">
        <f t="shared" ref="R61:R62" si="42">IF(P$12=0,0,P61/P$12)</f>
        <v>1.9643896091206661</v>
      </c>
      <c r="S61" s="4"/>
      <c r="T61" s="4">
        <f>SUM(OSRRefT25x_0)</f>
        <v>12083</v>
      </c>
      <c r="U61" s="4"/>
      <c r="V61" s="12">
        <f t="shared" ref="V61:V62" si="43">IF(T$12=0,0,T61/T$12)</f>
        <v>1.04535072844932</v>
      </c>
      <c r="W61" s="4"/>
      <c r="X61" s="4">
        <f t="shared" ref="X61:X62" si="44">+P61-T61</f>
        <v>1186</v>
      </c>
      <c r="Y61" s="4"/>
      <c r="Z61" s="12">
        <f t="shared" ref="Z61:Z62" si="45">IF(T61=0,0,X61/T61)</f>
        <v>9.8154431846395759E-2</v>
      </c>
    </row>
    <row r="62" spans="1:26" s="24" customFormat="1" hidden="1" outlineLevel="1" x14ac:dyDescent="0.25">
      <c r="A62" s="50"/>
      <c r="B62" s="11" t="str">
        <f>CONCATENATE("          ", "9150", " - ", "MISC. INCOME")</f>
        <v xml:space="preserve">          9150 - MISC. INCOME</v>
      </c>
      <c r="C62" s="11"/>
      <c r="D62" s="2">
        <f>--13269</f>
        <v>13269</v>
      </c>
      <c r="E62" s="2"/>
      <c r="F62" s="22">
        <f t="shared" si="38"/>
        <v>1.9643896091206661</v>
      </c>
      <c r="G62" s="2"/>
      <c r="H62" s="2">
        <f>--12083</f>
        <v>12083</v>
      </c>
      <c r="I62" s="2"/>
      <c r="J62" s="22">
        <f t="shared" si="39"/>
        <v>1.04535072844932</v>
      </c>
      <c r="K62" s="2"/>
      <c r="L62" s="2">
        <f t="shared" si="40"/>
        <v>1186</v>
      </c>
      <c r="M62" s="2"/>
      <c r="N62" s="22">
        <f t="shared" si="41"/>
        <v>9.8154431846395759E-2</v>
      </c>
      <c r="O62" s="11"/>
      <c r="P62" s="2">
        <f>--13269</f>
        <v>13269</v>
      </c>
      <c r="Q62" s="2"/>
      <c r="R62" s="22">
        <f t="shared" si="42"/>
        <v>1.9643896091206661</v>
      </c>
      <c r="S62" s="2"/>
      <c r="T62" s="2">
        <f>--12083</f>
        <v>12083</v>
      </c>
      <c r="U62" s="2"/>
      <c r="V62" s="22">
        <f t="shared" si="43"/>
        <v>1.04535072844932</v>
      </c>
      <c r="W62" s="2"/>
      <c r="X62" s="2">
        <f t="shared" si="44"/>
        <v>1186</v>
      </c>
      <c r="Y62" s="2"/>
      <c r="Z62" s="22">
        <f t="shared" si="45"/>
        <v>9.8154431846395759E-2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5" t="s">
        <v>3</v>
      </c>
      <c r="C64" s="25"/>
      <c r="D64" s="21">
        <f>+D26-D28+D61</f>
        <v>-13893.170000000002</v>
      </c>
      <c r="E64" s="13"/>
      <c r="F64" s="20">
        <f>IF(D$12=0,0,D64/D$12)</f>
        <v>-2.056793939690027</v>
      </c>
      <c r="G64" s="13"/>
      <c r="H64" s="21">
        <f>+H26-H28+H61</f>
        <v>-15354.219999999987</v>
      </c>
      <c r="I64" s="13"/>
      <c r="J64" s="20">
        <f>IF(H$12=0,0,H64/H$12)</f>
        <v>-1.328357614977332</v>
      </c>
      <c r="K64" s="16"/>
      <c r="L64" s="21">
        <f>+D64-H64</f>
        <v>1461.0499999999847</v>
      </c>
      <c r="M64" s="16"/>
      <c r="N64" s="20">
        <f>IF(H64=0,0,L64/H64)</f>
        <v>-9.5156250203526194E-2</v>
      </c>
      <c r="O64" s="26"/>
      <c r="P64" s="21">
        <f>+P26-P28+P61</f>
        <v>-13893.170000000002</v>
      </c>
      <c r="Q64" s="13"/>
      <c r="R64" s="20">
        <f>IF(P$12=0,0,P64/P$12)</f>
        <v>-2.056793939690027</v>
      </c>
      <c r="S64" s="13"/>
      <c r="T64" s="21">
        <f>+T26-T28+T61</f>
        <v>-15354.219999999987</v>
      </c>
      <c r="U64" s="13"/>
      <c r="V64" s="20">
        <f>IF(T$12=0,0,T64/T$12)</f>
        <v>-1.328357614977332</v>
      </c>
      <c r="W64" s="16"/>
      <c r="X64" s="21">
        <f>+P64-T64</f>
        <v>1461.0499999999847</v>
      </c>
      <c r="Y64" s="16"/>
      <c r="Z64" s="20">
        <f>IF(T64=0,0,X64/T64)</f>
        <v>-9.5156250203526194E-2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>
        <v>1404.52</v>
      </c>
      <c r="E66" s="4"/>
      <c r="F66" s="12">
        <f>IF(D$12=0,0,D66/D$12)</f>
        <v>0.20793009976653537</v>
      </c>
      <c r="G66" s="4"/>
      <c r="H66" s="4">
        <v>2373.0300000000002</v>
      </c>
      <c r="I66" s="4"/>
      <c r="J66" s="12">
        <f>IF(H$12=0,0,H66/H$12)</f>
        <v>0.20530072325846974</v>
      </c>
      <c r="K66" s="4"/>
      <c r="L66" s="4">
        <f>+D66-H66</f>
        <v>-968.51000000000022</v>
      </c>
      <c r="M66" s="4"/>
      <c r="N66" s="12">
        <f>IF(H66=0,0,L66/H66)</f>
        <v>-0.40813221914598641</v>
      </c>
      <c r="O66" s="10"/>
      <c r="P66" s="4">
        <v>1404.52</v>
      </c>
      <c r="Q66" s="4"/>
      <c r="R66" s="12">
        <f>IF(P$12=0,0,P66/P$12)</f>
        <v>0.20793009976653537</v>
      </c>
      <c r="S66" s="4"/>
      <c r="T66" s="4">
        <v>2373.0300000000002</v>
      </c>
      <c r="U66" s="4"/>
      <c r="V66" s="12">
        <f>IF(T$12=0,0,T66/T$12)</f>
        <v>0.20530072325846974</v>
      </c>
      <c r="W66" s="4"/>
      <c r="X66" s="4">
        <f>+P66-T66</f>
        <v>-968.51000000000022</v>
      </c>
      <c r="Y66" s="4"/>
      <c r="Z66" s="12">
        <f>IF(T66=0,0,X66/T66)</f>
        <v>-0.40813221914598641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5" t="s">
        <v>4</v>
      </c>
      <c r="C68" s="25"/>
      <c r="D68" s="33">
        <f>+D64-D66</f>
        <v>-15297.690000000002</v>
      </c>
      <c r="E68" s="13"/>
      <c r="F68" s="34">
        <f>IF(D$12=0,0,D68/D$12)</f>
        <v>-2.2647240394565622</v>
      </c>
      <c r="G68" s="13"/>
      <c r="H68" s="33">
        <f>+H64-H66</f>
        <v>-17727.249999999985</v>
      </c>
      <c r="I68" s="13"/>
      <c r="J68" s="34">
        <f>IF(H$12=0,0,H68/H$12)</f>
        <v>-1.5336583382358016</v>
      </c>
      <c r="K68" s="16"/>
      <c r="L68" s="33">
        <f>D68-H68</f>
        <v>2429.5599999999831</v>
      </c>
      <c r="M68" s="16"/>
      <c r="N68" s="34">
        <f>IF(H68=0,0,L68/H68)</f>
        <v>-0.1370522782721508</v>
      </c>
      <c r="O68" s="26"/>
      <c r="P68" s="33">
        <f>+P64-P66</f>
        <v>-15297.690000000002</v>
      </c>
      <c r="Q68" s="13"/>
      <c r="R68" s="34">
        <f>IF(P$12=0,0,P68/P$12)</f>
        <v>-2.2647240394565622</v>
      </c>
      <c r="S68" s="13"/>
      <c r="T68" s="33">
        <f>+T64-T66</f>
        <v>-17727.249999999985</v>
      </c>
      <c r="U68" s="13"/>
      <c r="V68" s="34">
        <f>IF(T$12=0,0,T68/T$12)</f>
        <v>-1.5336583382358016</v>
      </c>
      <c r="W68" s="16"/>
      <c r="X68" s="33">
        <f>P68-T68</f>
        <v>2429.5599999999831</v>
      </c>
      <c r="Y68" s="16"/>
      <c r="Z68" s="34">
        <f>IF(T68=0,0,X68/T68)</f>
        <v>-0.1370522782721508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5" t="s">
        <v>5</v>
      </c>
      <c r="C71" s="25"/>
      <c r="D71" s="31">
        <f>SUM(D68:D70)</f>
        <v>-15297.690000000002</v>
      </c>
      <c r="E71" s="13"/>
      <c r="F71" s="30">
        <f>IF(D$12=0,0,D71/D$12)</f>
        <v>-2.2647240394565622</v>
      </c>
      <c r="G71" s="13"/>
      <c r="H71" s="31">
        <f>SUM(H68:H70)</f>
        <v>-17727.249999999985</v>
      </c>
      <c r="I71" s="13"/>
      <c r="J71" s="30">
        <f>IF(H$12=0,0,H71/H$12)</f>
        <v>-1.5336583382358016</v>
      </c>
      <c r="K71" s="16"/>
      <c r="L71" s="31">
        <f>+D71-H71</f>
        <v>2429.5599999999831</v>
      </c>
      <c r="M71" s="16"/>
      <c r="N71" s="30">
        <f>IF(H71=0,0,L71/H71)</f>
        <v>-0.1370522782721508</v>
      </c>
      <c r="O71" s="26"/>
      <c r="P71" s="31">
        <f>SUM(P68:P70)</f>
        <v>-15297.690000000002</v>
      </c>
      <c r="Q71" s="13"/>
      <c r="R71" s="30">
        <f>IF(P$12=0,0,P71/P$12)</f>
        <v>-2.2647240394565622</v>
      </c>
      <c r="S71" s="13"/>
      <c r="T71" s="31">
        <f>SUM(T68:T70)</f>
        <v>-17727.249999999985</v>
      </c>
      <c r="U71" s="13"/>
      <c r="V71" s="30">
        <f>IF(T$12=0,0,T71/T$12)</f>
        <v>-1.5336583382358016</v>
      </c>
      <c r="W71" s="16"/>
      <c r="X71" s="31">
        <f>+P71-T71</f>
        <v>2429.5599999999831</v>
      </c>
      <c r="Y71" s="16"/>
      <c r="Z71" s="30">
        <f>IF(T71=0,0,X71/T71)</f>
        <v>-0.1370522782721508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>
        <v>43726.68194170139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3" t="s">
        <v>313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2154.3200000000002</v>
      </c>
      <c r="E12" s="4"/>
      <c r="F12" s="12"/>
      <c r="G12" s="4"/>
      <c r="H12" s="4">
        <f>SUM(OSRRefH13x_0)</f>
        <v>3041.42</v>
      </c>
      <c r="I12" s="4"/>
      <c r="J12" s="12"/>
      <c r="K12" s="4"/>
      <c r="L12" s="4">
        <f t="shared" ref="L12:L15" si="0">+D12-H12</f>
        <v>-887.09999999999991</v>
      </c>
      <c r="M12" s="4"/>
      <c r="N12" s="12">
        <f t="shared" ref="N12:N15" si="1">IF(H12=0,0,L12/H12)</f>
        <v>-0.29167296854758629</v>
      </c>
      <c r="O12" s="10"/>
      <c r="P12" s="4">
        <f>SUM(OSRRefP13x_0)</f>
        <v>2154.3200000000002</v>
      </c>
      <c r="Q12" s="4"/>
      <c r="R12" s="12"/>
      <c r="S12" s="4"/>
      <c r="T12" s="4">
        <f>SUM(OSRRefT13x_0)</f>
        <v>3041.42</v>
      </c>
      <c r="U12" s="4"/>
      <c r="V12" s="12"/>
      <c r="W12" s="4"/>
      <c r="X12" s="4">
        <f t="shared" ref="X12:X15" si="2">+P12-T12</f>
        <v>-887.09999999999991</v>
      </c>
      <c r="Y12" s="4"/>
      <c r="Z12" s="12">
        <f t="shared" ref="Z12:Z15" si="3">IF(T12=0,0,X12/T12)</f>
        <v>-0.29167296854758629</v>
      </c>
    </row>
    <row r="13" spans="1:26" s="24" customFormat="1" hidden="1" outlineLevel="1" x14ac:dyDescent="0.25">
      <c r="A13" s="50"/>
      <c r="B13" s="11" t="str">
        <f>CONCATENATE("          ", "4092", " - ", "TAXABLE SALES-GRAD MERCH")</f>
        <v xml:space="preserve">          4092 - TAXABLE SALES-GRAD MERCH</v>
      </c>
      <c r="C13" s="11"/>
      <c r="D13" s="2">
        <f>--2128.63</f>
        <v>2128.63</v>
      </c>
      <c r="E13" s="2"/>
      <c r="F13" s="22"/>
      <c r="G13" s="2"/>
      <c r="H13" s="2">
        <f>--3338.5</f>
        <v>3338.5</v>
      </c>
      <c r="I13" s="2"/>
      <c r="J13" s="22"/>
      <c r="K13" s="2"/>
      <c r="L13" s="2">
        <f t="shared" si="0"/>
        <v>-1209.8699999999999</v>
      </c>
      <c r="M13" s="2"/>
      <c r="N13" s="22">
        <f t="shared" si="1"/>
        <v>-0.36239928111427283</v>
      </c>
      <c r="O13" s="11"/>
      <c r="P13" s="2">
        <f>--2128.63</f>
        <v>2128.63</v>
      </c>
      <c r="Q13" s="2"/>
      <c r="R13" s="22"/>
      <c r="S13" s="2"/>
      <c r="T13" s="2">
        <f>--3338.5</f>
        <v>3338.5</v>
      </c>
      <c r="U13" s="2"/>
      <c r="V13" s="22"/>
      <c r="W13" s="2"/>
      <c r="X13" s="2">
        <f t="shared" si="2"/>
        <v>-1209.8699999999999</v>
      </c>
      <c r="Y13" s="2"/>
      <c r="Z13" s="22">
        <f t="shared" si="3"/>
        <v>-0.36239928111427283</v>
      </c>
    </row>
    <row r="14" spans="1:26" s="24" customFormat="1" hidden="1" outlineLevel="1" x14ac:dyDescent="0.25">
      <c r="A14" s="50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--35.64</f>
        <v>35.64</v>
      </c>
      <c r="E14" s="2"/>
      <c r="F14" s="22"/>
      <c r="G14" s="2"/>
      <c r="H14" s="2">
        <f>--181.17</f>
        <v>181.17</v>
      </c>
      <c r="I14" s="2"/>
      <c r="J14" s="22"/>
      <c r="K14" s="2"/>
      <c r="L14" s="2">
        <f t="shared" si="0"/>
        <v>-145.52999999999997</v>
      </c>
      <c r="M14" s="2"/>
      <c r="N14" s="22">
        <f t="shared" si="1"/>
        <v>-0.80327868852459006</v>
      </c>
      <c r="O14" s="11"/>
      <c r="P14" s="2">
        <f>--35.64</f>
        <v>35.64</v>
      </c>
      <c r="Q14" s="2"/>
      <c r="R14" s="22"/>
      <c r="S14" s="2"/>
      <c r="T14" s="2">
        <f>--181.17</f>
        <v>181.17</v>
      </c>
      <c r="U14" s="2"/>
      <c r="V14" s="22"/>
      <c r="W14" s="2"/>
      <c r="X14" s="2">
        <f t="shared" si="2"/>
        <v>-145.52999999999997</v>
      </c>
      <c r="Y14" s="2"/>
      <c r="Z14" s="22">
        <f t="shared" si="3"/>
        <v>-0.80327868852459006</v>
      </c>
    </row>
    <row r="15" spans="1:26" s="24" customFormat="1" hidden="1" outlineLevel="1" x14ac:dyDescent="0.25">
      <c r="A15" s="50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-9.95</f>
        <v>-9.9499999999999993</v>
      </c>
      <c r="E15" s="2"/>
      <c r="F15" s="22"/>
      <c r="G15" s="2"/>
      <c r="H15" s="2">
        <f>-478.25</f>
        <v>-478.25</v>
      </c>
      <c r="I15" s="2"/>
      <c r="J15" s="22"/>
      <c r="K15" s="2"/>
      <c r="L15" s="2">
        <f t="shared" si="0"/>
        <v>468.3</v>
      </c>
      <c r="M15" s="2"/>
      <c r="N15" s="22">
        <f t="shared" si="1"/>
        <v>-0.97919498170412966</v>
      </c>
      <c r="O15" s="11"/>
      <c r="P15" s="2">
        <f>-9.95</f>
        <v>-9.9499999999999993</v>
      </c>
      <c r="Q15" s="2"/>
      <c r="R15" s="22"/>
      <c r="S15" s="2"/>
      <c r="T15" s="2">
        <f>-478.25</f>
        <v>-478.25</v>
      </c>
      <c r="U15" s="2"/>
      <c r="V15" s="22"/>
      <c r="W15" s="2"/>
      <c r="X15" s="2">
        <f t="shared" si="2"/>
        <v>468.3</v>
      </c>
      <c r="Y15" s="2"/>
      <c r="Z15" s="22">
        <f t="shared" si="3"/>
        <v>-0.97919498170412966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1044.4499999999998</v>
      </c>
      <c r="E17" s="4"/>
      <c r="F17" s="12">
        <f t="shared" ref="F17:F22" si="4">IF(D$12=0,0,D17/D$12)</f>
        <v>0.48481655464369255</v>
      </c>
      <c r="G17" s="4"/>
      <c r="H17" s="4">
        <f>SUM(OSRRefH16x_0)</f>
        <v>1167.3</v>
      </c>
      <c r="I17" s="4"/>
      <c r="J17" s="12">
        <f t="shared" ref="J17:J22" si="5">IF(H$12=0,0,H17/H$12)</f>
        <v>0.38380098769653648</v>
      </c>
      <c r="K17" s="4"/>
      <c r="L17" s="4">
        <f t="shared" ref="L17:L22" si="6">+D17-H17</f>
        <v>-122.85000000000014</v>
      </c>
      <c r="M17" s="4"/>
      <c r="N17" s="12">
        <f t="shared" ref="N17:N22" si="7">IF(H17=0,0,L17/H17)</f>
        <v>-0.10524286815728616</v>
      </c>
      <c r="O17" s="10"/>
      <c r="P17" s="4">
        <f>SUM(OSRRefP16x_0)</f>
        <v>1044.4499999999998</v>
      </c>
      <c r="Q17" s="4"/>
      <c r="R17" s="12">
        <f t="shared" ref="R17:R22" si="8">IF(P$12=0,0,P17/P$12)</f>
        <v>0.48481655464369255</v>
      </c>
      <c r="S17" s="4"/>
      <c r="T17" s="4">
        <f>SUM(OSRRefT16x_0)</f>
        <v>1167.3</v>
      </c>
      <c r="U17" s="4"/>
      <c r="V17" s="12">
        <f t="shared" ref="V17:V22" si="9">IF(T$12=0,0,T17/T$12)</f>
        <v>0.38380098769653648</v>
      </c>
      <c r="W17" s="4"/>
      <c r="X17" s="4">
        <f t="shared" ref="X17:X22" si="10">+P17-T17</f>
        <v>-122.85000000000014</v>
      </c>
      <c r="Y17" s="4"/>
      <c r="Z17" s="12">
        <f t="shared" ref="Z17:Z22" si="11">IF(T17=0,0,X17/T17)</f>
        <v>-0.10524286815728616</v>
      </c>
    </row>
    <row r="18" spans="1:26" s="24" customFormat="1" hidden="1" outlineLevel="1" x14ac:dyDescent="0.25">
      <c r="A18" s="50"/>
      <c r="B18" s="11" t="str">
        <f>CONCATENATE("          ", "5092", " - ", "PURCHASES @ COST-GRAD MERCH")</f>
        <v xml:space="preserve">          5092 - PURCHASES @ COST-GRAD MERCH</v>
      </c>
      <c r="C18" s="11"/>
      <c r="D18" s="2">
        <v>1228.5999999999999</v>
      </c>
      <c r="E18" s="2"/>
      <c r="F18" s="22">
        <f t="shared" si="4"/>
        <v>0.57029596345946743</v>
      </c>
      <c r="G18" s="2"/>
      <c r="H18" s="2">
        <v>-1235.3900000000001</v>
      </c>
      <c r="I18" s="2"/>
      <c r="J18" s="22">
        <f t="shared" si="5"/>
        <v>-0.40618855666103337</v>
      </c>
      <c r="K18" s="2"/>
      <c r="L18" s="2">
        <f t="shared" si="6"/>
        <v>2463.9899999999998</v>
      </c>
      <c r="M18" s="2"/>
      <c r="N18" s="22">
        <f t="shared" si="7"/>
        <v>-1.9945037599462514</v>
      </c>
      <c r="O18" s="11"/>
      <c r="P18" s="2">
        <v>1228.5999999999999</v>
      </c>
      <c r="Q18" s="2"/>
      <c r="R18" s="22">
        <f t="shared" si="8"/>
        <v>0.57029596345946743</v>
      </c>
      <c r="S18" s="2"/>
      <c r="T18" s="2">
        <v>-1235.3900000000001</v>
      </c>
      <c r="U18" s="2"/>
      <c r="V18" s="22">
        <f t="shared" si="9"/>
        <v>-0.40618855666103337</v>
      </c>
      <c r="W18" s="2"/>
      <c r="X18" s="2">
        <f t="shared" si="10"/>
        <v>2463.9899999999998</v>
      </c>
      <c r="Y18" s="2"/>
      <c r="Z18" s="22">
        <f t="shared" si="11"/>
        <v>-1.9945037599462514</v>
      </c>
    </row>
    <row r="19" spans="1:26" s="24" customFormat="1" hidden="1" outlineLevel="1" x14ac:dyDescent="0.25">
      <c r="A19" s="50"/>
      <c r="B19" s="11" t="str">
        <f>CONCATENATE("          ", "5095", " - ", "PURCHASES @ COST-CUSTOMER SERV")</f>
        <v xml:space="preserve">          5095 - PURCHASES @ COST-CUSTOMER SERV</v>
      </c>
      <c r="C19" s="11"/>
      <c r="D19" s="2">
        <v>11.85</v>
      </c>
      <c r="E19" s="2"/>
      <c r="F19" s="22">
        <f t="shared" si="4"/>
        <v>5.5005755876564293E-3</v>
      </c>
      <c r="G19" s="2"/>
      <c r="H19" s="2"/>
      <c r="I19" s="2"/>
      <c r="J19" s="22">
        <f t="shared" si="5"/>
        <v>0</v>
      </c>
      <c r="K19" s="2"/>
      <c r="L19" s="2">
        <f t="shared" si="6"/>
        <v>11.85</v>
      </c>
      <c r="M19" s="2"/>
      <c r="N19" s="22">
        <f t="shared" si="7"/>
        <v>0</v>
      </c>
      <c r="O19" s="11"/>
      <c r="P19" s="2">
        <v>11.85</v>
      </c>
      <c r="Q19" s="2"/>
      <c r="R19" s="22">
        <f t="shared" si="8"/>
        <v>5.5005755876564293E-3</v>
      </c>
      <c r="S19" s="2"/>
      <c r="T19" s="2"/>
      <c r="U19" s="2"/>
      <c r="V19" s="22">
        <f t="shared" si="9"/>
        <v>0</v>
      </c>
      <c r="W19" s="2"/>
      <c r="X19" s="2">
        <f t="shared" si="10"/>
        <v>11.85</v>
      </c>
      <c r="Y19" s="2"/>
      <c r="Z19" s="22">
        <f t="shared" si="11"/>
        <v>0</v>
      </c>
    </row>
    <row r="20" spans="1:26" s="24" customFormat="1" hidden="1" outlineLevel="1" x14ac:dyDescent="0.25">
      <c r="A20" s="50"/>
      <c r="B20" s="11" t="str">
        <f>CONCATENATE("          ", "5200", " - ", "PURCHASES OFFSET")</f>
        <v xml:space="preserve">          5200 - PURCHASES OFFSET</v>
      </c>
      <c r="C20" s="11"/>
      <c r="D20" s="2">
        <v>-1241</v>
      </c>
      <c r="E20" s="2"/>
      <c r="F20" s="22">
        <f t="shared" si="4"/>
        <v>-0.57605184002376619</v>
      </c>
      <c r="G20" s="2"/>
      <c r="H20" s="2">
        <v>1127</v>
      </c>
      <c r="I20" s="2"/>
      <c r="J20" s="22">
        <f t="shared" si="5"/>
        <v>0.37055059807589874</v>
      </c>
      <c r="K20" s="2"/>
      <c r="L20" s="2">
        <f t="shared" si="6"/>
        <v>-2368</v>
      </c>
      <c r="M20" s="2"/>
      <c r="N20" s="22">
        <f t="shared" si="7"/>
        <v>-2.1011535048802128</v>
      </c>
      <c r="O20" s="11"/>
      <c r="P20" s="2">
        <v>-1241</v>
      </c>
      <c r="Q20" s="2"/>
      <c r="R20" s="22">
        <f t="shared" si="8"/>
        <v>-0.57605184002376619</v>
      </c>
      <c r="S20" s="2"/>
      <c r="T20" s="2">
        <v>1127</v>
      </c>
      <c r="U20" s="2"/>
      <c r="V20" s="22">
        <f t="shared" si="9"/>
        <v>0.37055059807589874</v>
      </c>
      <c r="W20" s="2"/>
      <c r="X20" s="2">
        <f t="shared" si="10"/>
        <v>-2368</v>
      </c>
      <c r="Y20" s="2"/>
      <c r="Z20" s="22">
        <f t="shared" si="11"/>
        <v>-2.1011535048802128</v>
      </c>
    </row>
    <row r="21" spans="1:26" s="24" customFormat="1" hidden="1" outlineLevel="1" x14ac:dyDescent="0.25">
      <c r="A21" s="50"/>
      <c r="B21" s="11" t="str">
        <f>CONCATENATE("          ", "5300", " - ", "COG$ OFFSET")</f>
        <v xml:space="preserve">          5300 - COG$ OFFSET</v>
      </c>
      <c r="C21" s="11"/>
      <c r="D21" s="2">
        <v>1045</v>
      </c>
      <c r="E21" s="2"/>
      <c r="F21" s="22">
        <f t="shared" si="4"/>
        <v>0.48507185562033489</v>
      </c>
      <c r="G21" s="2"/>
      <c r="H21" s="2">
        <v>1167</v>
      </c>
      <c r="I21" s="2"/>
      <c r="J21" s="22">
        <f t="shared" si="5"/>
        <v>0.38370234956040272</v>
      </c>
      <c r="K21" s="2"/>
      <c r="L21" s="2">
        <f t="shared" si="6"/>
        <v>-122</v>
      </c>
      <c r="M21" s="2"/>
      <c r="N21" s="22">
        <f t="shared" si="7"/>
        <v>-0.10454155955441302</v>
      </c>
      <c r="O21" s="11"/>
      <c r="P21" s="2">
        <v>1045</v>
      </c>
      <c r="Q21" s="2"/>
      <c r="R21" s="22">
        <f t="shared" si="8"/>
        <v>0.48507185562033489</v>
      </c>
      <c r="S21" s="2"/>
      <c r="T21" s="2">
        <v>1167</v>
      </c>
      <c r="U21" s="2"/>
      <c r="V21" s="22">
        <f t="shared" si="9"/>
        <v>0.38370234956040272</v>
      </c>
      <c r="W21" s="2"/>
      <c r="X21" s="2">
        <f t="shared" si="10"/>
        <v>-122</v>
      </c>
      <c r="Y21" s="2"/>
      <c r="Z21" s="22">
        <f t="shared" si="11"/>
        <v>-0.10454155955441302</v>
      </c>
    </row>
    <row r="22" spans="1:26" s="24" customFormat="1" hidden="1" outlineLevel="1" x14ac:dyDescent="0.25">
      <c r="A22" s="50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22">
        <f t="shared" si="4"/>
        <v>0</v>
      </c>
      <c r="G22" s="2"/>
      <c r="H22" s="2">
        <v>108.69</v>
      </c>
      <c r="I22" s="2"/>
      <c r="J22" s="22">
        <f t="shared" si="5"/>
        <v>3.5736596721268353E-2</v>
      </c>
      <c r="K22" s="2"/>
      <c r="L22" s="2">
        <f t="shared" si="6"/>
        <v>-108.69</v>
      </c>
      <c r="M22" s="2"/>
      <c r="N22" s="22">
        <f t="shared" si="7"/>
        <v>-1</v>
      </c>
      <c r="O22" s="11"/>
      <c r="P22" s="2"/>
      <c r="Q22" s="2"/>
      <c r="R22" s="22">
        <f t="shared" si="8"/>
        <v>0</v>
      </c>
      <c r="S22" s="2"/>
      <c r="T22" s="2">
        <v>108.69</v>
      </c>
      <c r="U22" s="2"/>
      <c r="V22" s="22">
        <f t="shared" si="9"/>
        <v>3.5736596721268353E-2</v>
      </c>
      <c r="W22" s="2"/>
      <c r="X22" s="2">
        <f t="shared" si="10"/>
        <v>-108.69</v>
      </c>
      <c r="Y22" s="2"/>
      <c r="Z22" s="22">
        <f t="shared" si="11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6</v>
      </c>
      <c r="C24" s="25"/>
      <c r="D24" s="21">
        <f>D12-D17</f>
        <v>1109.8700000000003</v>
      </c>
      <c r="E24" s="13"/>
      <c r="F24" s="20">
        <f>IF(D$12=0,0,D24/D$12)</f>
        <v>0.51518344535630745</v>
      </c>
      <c r="G24" s="13"/>
      <c r="H24" s="21">
        <f>H12-H17</f>
        <v>1874.1200000000001</v>
      </c>
      <c r="I24" s="13"/>
      <c r="J24" s="20">
        <f>IF(H$12=0,0,H24/H$12)</f>
        <v>0.61619901230346352</v>
      </c>
      <c r="K24" s="16"/>
      <c r="L24" s="21">
        <f>+D24-H24</f>
        <v>-764.24999999999977</v>
      </c>
      <c r="M24" s="16"/>
      <c r="N24" s="20">
        <f>IF(H24=0,0,L24/H24)</f>
        <v>-0.40779139009241655</v>
      </c>
      <c r="O24" s="26"/>
      <c r="P24" s="21">
        <f>P12-P17</f>
        <v>1109.8700000000003</v>
      </c>
      <c r="Q24" s="13"/>
      <c r="R24" s="20">
        <f>IF(P$12=0,0,P24/P$12)</f>
        <v>0.51518344535630745</v>
      </c>
      <c r="S24" s="13"/>
      <c r="T24" s="21">
        <f>T12-T17</f>
        <v>1874.1200000000001</v>
      </c>
      <c r="U24" s="13"/>
      <c r="V24" s="20">
        <f>IF(T$12=0,0,T24/T$12)</f>
        <v>0.61619901230346352</v>
      </c>
      <c r="W24" s="16"/>
      <c r="X24" s="21">
        <f>+P24-T24</f>
        <v>-764.24999999999977</v>
      </c>
      <c r="Y24" s="16"/>
      <c r="Z24" s="20">
        <f>IF(T24=0,0,X24/T24)</f>
        <v>-0.40779139009241655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9</v>
      </c>
      <c r="C26" s="10"/>
      <c r="D26" s="19">
        <f>SUM(OSRRefD22x_0)</f>
        <v>826.42000000000007</v>
      </c>
      <c r="E26" s="19"/>
      <c r="F26" s="35">
        <f t="shared" ref="F26:F34" si="12">IF(D$12=0,0,D26/D$12)</f>
        <v>0.38361060566675331</v>
      </c>
      <c r="G26" s="19"/>
      <c r="H26" s="19">
        <f>SUM(OSRRefH22x_0)</f>
        <v>1682.5400000000004</v>
      </c>
      <c r="I26" s="19"/>
      <c r="J26" s="35">
        <f t="shared" ref="J26:J34" si="13">IF(H$12=0,0,H26/H$12)</f>
        <v>0.55320869856843202</v>
      </c>
      <c r="K26" s="4"/>
      <c r="L26" s="19">
        <f t="shared" ref="L26:L34" si="14">+D26-H26</f>
        <v>-856.12000000000035</v>
      </c>
      <c r="M26" s="4"/>
      <c r="N26" s="35">
        <f t="shared" ref="N26:N34" si="15">IF(H26=0,0,L26/H26)</f>
        <v>-0.50882594173095452</v>
      </c>
      <c r="O26" s="10"/>
      <c r="P26" s="19">
        <f>SUM(OSRRefP22x_0)</f>
        <v>826.42000000000007</v>
      </c>
      <c r="Q26" s="19"/>
      <c r="R26" s="35">
        <f t="shared" ref="R26:R34" si="16">IF(P$12=0,0,P26/P$12)</f>
        <v>0.38361060566675331</v>
      </c>
      <c r="S26" s="19"/>
      <c r="T26" s="19">
        <f>SUM(OSRRefT22x_0)</f>
        <v>1682.5400000000004</v>
      </c>
      <c r="U26" s="19"/>
      <c r="V26" s="35">
        <f t="shared" ref="V26:V34" si="17">IF(T$12=0,0,T26/T$12)</f>
        <v>0.55320869856843202</v>
      </c>
      <c r="W26" s="4"/>
      <c r="X26" s="19">
        <f t="shared" ref="X26:X34" si="18">+P26-T26</f>
        <v>-856.12000000000035</v>
      </c>
      <c r="Y26" s="4"/>
      <c r="Z26" s="35">
        <f t="shared" ref="Z26:Z34" si="19">IF(T26=0,0,X26/T26)</f>
        <v>-0.50882594173095452</v>
      </c>
    </row>
    <row r="27" spans="1:26" s="28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413.47</v>
      </c>
      <c r="E27" s="1"/>
      <c r="F27" s="5">
        <f t="shared" si="12"/>
        <v>0.19192599056778936</v>
      </c>
      <c r="G27" s="1"/>
      <c r="H27" s="1">
        <f>SUM(OSRRefH22_0x_0)</f>
        <v>7.64</v>
      </c>
      <c r="I27" s="1"/>
      <c r="J27" s="5">
        <f t="shared" si="13"/>
        <v>2.5119845335402542E-3</v>
      </c>
      <c r="K27" s="1"/>
      <c r="L27" s="1">
        <f t="shared" si="14"/>
        <v>405.83000000000004</v>
      </c>
      <c r="M27" s="1"/>
      <c r="N27" s="5">
        <f t="shared" si="15"/>
        <v>53.119109947643985</v>
      </c>
      <c r="O27" s="14"/>
      <c r="P27" s="1">
        <f>SUM(OSRRefP22_0x_0)</f>
        <v>413.47</v>
      </c>
      <c r="Q27" s="1"/>
      <c r="R27" s="5">
        <f t="shared" si="16"/>
        <v>0.19192599056778936</v>
      </c>
      <c r="S27" s="1"/>
      <c r="T27" s="1">
        <f>SUM(OSRRefT22_0x_0)</f>
        <v>7.64</v>
      </c>
      <c r="U27" s="1"/>
      <c r="V27" s="5">
        <f t="shared" si="17"/>
        <v>2.5119845335402542E-3</v>
      </c>
      <c r="W27" s="1"/>
      <c r="X27" s="1">
        <f t="shared" si="18"/>
        <v>405.83000000000004</v>
      </c>
      <c r="Y27" s="1"/>
      <c r="Z27" s="5">
        <f t="shared" si="19"/>
        <v>53.119109947643985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7">
        <v>73.44</v>
      </c>
      <c r="E28" s="2"/>
      <c r="F28" s="6">
        <f t="shared" si="12"/>
        <v>3.4089643135653012E-2</v>
      </c>
      <c r="G28" s="2"/>
      <c r="H28" s="7">
        <v>7.64</v>
      </c>
      <c r="I28" s="2"/>
      <c r="J28" s="6">
        <f t="shared" si="13"/>
        <v>2.5119845335402542E-3</v>
      </c>
      <c r="K28" s="2"/>
      <c r="L28" s="7">
        <f t="shared" si="14"/>
        <v>65.8</v>
      </c>
      <c r="M28" s="2"/>
      <c r="N28" s="6">
        <f t="shared" si="15"/>
        <v>8.6125654450261777</v>
      </c>
      <c r="O28" s="11"/>
      <c r="P28" s="7">
        <v>73.44</v>
      </c>
      <c r="Q28" s="2"/>
      <c r="R28" s="6">
        <f t="shared" si="16"/>
        <v>3.4089643135653012E-2</v>
      </c>
      <c r="S28" s="2"/>
      <c r="T28" s="7">
        <v>7.64</v>
      </c>
      <c r="U28" s="2"/>
      <c r="V28" s="6">
        <f t="shared" si="17"/>
        <v>2.5119845335402542E-3</v>
      </c>
      <c r="W28" s="2"/>
      <c r="X28" s="7">
        <f t="shared" si="18"/>
        <v>65.8</v>
      </c>
      <c r="Y28" s="2"/>
      <c r="Z28" s="6">
        <f t="shared" si="19"/>
        <v>8.6125654450261777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7">
        <v>18.239999999999998</v>
      </c>
      <c r="E29" s="2"/>
      <c r="F29" s="6">
        <f t="shared" si="12"/>
        <v>8.4667087526458448E-3</v>
      </c>
      <c r="G29" s="2"/>
      <c r="H29" s="7"/>
      <c r="I29" s="2"/>
      <c r="J29" s="6">
        <f t="shared" si="13"/>
        <v>0</v>
      </c>
      <c r="K29" s="2"/>
      <c r="L29" s="7">
        <f t="shared" si="14"/>
        <v>18.239999999999998</v>
      </c>
      <c r="M29" s="2"/>
      <c r="N29" s="6">
        <f t="shared" si="15"/>
        <v>0</v>
      </c>
      <c r="O29" s="11"/>
      <c r="P29" s="7">
        <v>18.239999999999998</v>
      </c>
      <c r="Q29" s="2"/>
      <c r="R29" s="6">
        <f t="shared" si="16"/>
        <v>8.4667087526458448E-3</v>
      </c>
      <c r="S29" s="2"/>
      <c r="T29" s="7"/>
      <c r="U29" s="2"/>
      <c r="V29" s="6">
        <f t="shared" si="17"/>
        <v>0</v>
      </c>
      <c r="W29" s="2"/>
      <c r="X29" s="7">
        <f t="shared" si="18"/>
        <v>18.239999999999998</v>
      </c>
      <c r="Y29" s="2"/>
      <c r="Z29" s="6">
        <f t="shared" si="19"/>
        <v>0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7">
        <v>152.63</v>
      </c>
      <c r="E30" s="2"/>
      <c r="F30" s="6">
        <f t="shared" si="12"/>
        <v>7.0848341936202597E-2</v>
      </c>
      <c r="G30" s="2"/>
      <c r="H30" s="7"/>
      <c r="I30" s="2"/>
      <c r="J30" s="6">
        <f t="shared" si="13"/>
        <v>0</v>
      </c>
      <c r="K30" s="2"/>
      <c r="L30" s="7">
        <f t="shared" si="14"/>
        <v>152.63</v>
      </c>
      <c r="M30" s="2"/>
      <c r="N30" s="6">
        <f t="shared" si="15"/>
        <v>0</v>
      </c>
      <c r="O30" s="11"/>
      <c r="P30" s="7">
        <v>152.63</v>
      </c>
      <c r="Q30" s="2"/>
      <c r="R30" s="6">
        <f t="shared" si="16"/>
        <v>7.0848341936202597E-2</v>
      </c>
      <c r="S30" s="2"/>
      <c r="T30" s="7"/>
      <c r="U30" s="2"/>
      <c r="V30" s="6">
        <f t="shared" si="17"/>
        <v>0</v>
      </c>
      <c r="W30" s="2"/>
      <c r="X30" s="7">
        <f t="shared" si="18"/>
        <v>152.63</v>
      </c>
      <c r="Y30" s="2"/>
      <c r="Z30" s="6">
        <f t="shared" si="19"/>
        <v>0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7">
        <v>2.5</v>
      </c>
      <c r="E31" s="2"/>
      <c r="F31" s="6">
        <f t="shared" si="12"/>
        <v>1.1604589847376433E-3</v>
      </c>
      <c r="G31" s="2"/>
      <c r="H31" s="7"/>
      <c r="I31" s="2"/>
      <c r="J31" s="6">
        <f t="shared" si="13"/>
        <v>0</v>
      </c>
      <c r="K31" s="2"/>
      <c r="L31" s="7">
        <f t="shared" si="14"/>
        <v>2.5</v>
      </c>
      <c r="M31" s="2"/>
      <c r="N31" s="6">
        <f t="shared" si="15"/>
        <v>0</v>
      </c>
      <c r="O31" s="11"/>
      <c r="P31" s="7">
        <v>2.5</v>
      </c>
      <c r="Q31" s="2"/>
      <c r="R31" s="6">
        <f t="shared" si="16"/>
        <v>1.1604589847376433E-3</v>
      </c>
      <c r="S31" s="2"/>
      <c r="T31" s="7"/>
      <c r="U31" s="2"/>
      <c r="V31" s="6">
        <f t="shared" si="17"/>
        <v>0</v>
      </c>
      <c r="W31" s="2"/>
      <c r="X31" s="7">
        <f t="shared" si="18"/>
        <v>2.5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7">
        <v>67.06</v>
      </c>
      <c r="E32" s="2"/>
      <c r="F32" s="6">
        <f t="shared" si="12"/>
        <v>3.1128151806602545E-2</v>
      </c>
      <c r="G32" s="2"/>
      <c r="H32" s="7"/>
      <c r="I32" s="2"/>
      <c r="J32" s="6">
        <f t="shared" si="13"/>
        <v>0</v>
      </c>
      <c r="K32" s="2"/>
      <c r="L32" s="7">
        <f t="shared" si="14"/>
        <v>67.06</v>
      </c>
      <c r="M32" s="2"/>
      <c r="N32" s="6">
        <f t="shared" si="15"/>
        <v>0</v>
      </c>
      <c r="O32" s="11"/>
      <c r="P32" s="7">
        <v>67.06</v>
      </c>
      <c r="Q32" s="2"/>
      <c r="R32" s="6">
        <f t="shared" si="16"/>
        <v>3.1128151806602545E-2</v>
      </c>
      <c r="S32" s="2"/>
      <c r="T32" s="7"/>
      <c r="U32" s="2"/>
      <c r="V32" s="6">
        <f t="shared" si="17"/>
        <v>0</v>
      </c>
      <c r="W32" s="2"/>
      <c r="X32" s="7">
        <f t="shared" si="18"/>
        <v>67.06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55.32</v>
      </c>
      <c r="E33" s="2"/>
      <c r="F33" s="6">
        <f t="shared" si="12"/>
        <v>2.5678636414274571E-2</v>
      </c>
      <c r="G33" s="2"/>
      <c r="H33" s="7"/>
      <c r="I33" s="2"/>
      <c r="J33" s="6">
        <f t="shared" si="13"/>
        <v>0</v>
      </c>
      <c r="K33" s="2"/>
      <c r="L33" s="7">
        <f t="shared" si="14"/>
        <v>55.32</v>
      </c>
      <c r="M33" s="2"/>
      <c r="N33" s="6">
        <f t="shared" si="15"/>
        <v>0</v>
      </c>
      <c r="O33" s="11"/>
      <c r="P33" s="7">
        <v>55.32</v>
      </c>
      <c r="Q33" s="2"/>
      <c r="R33" s="6">
        <f t="shared" si="16"/>
        <v>2.5678636414274571E-2</v>
      </c>
      <c r="S33" s="2"/>
      <c r="T33" s="7"/>
      <c r="U33" s="2"/>
      <c r="V33" s="6">
        <f t="shared" si="17"/>
        <v>0</v>
      </c>
      <c r="W33" s="2"/>
      <c r="X33" s="7">
        <f t="shared" si="18"/>
        <v>55.32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44.28</v>
      </c>
      <c r="E34" s="2"/>
      <c r="F34" s="6">
        <f t="shared" si="12"/>
        <v>2.055404953767314E-2</v>
      </c>
      <c r="G34" s="2"/>
      <c r="H34" s="7"/>
      <c r="I34" s="2"/>
      <c r="J34" s="6">
        <f t="shared" si="13"/>
        <v>0</v>
      </c>
      <c r="K34" s="2"/>
      <c r="L34" s="7">
        <f t="shared" si="14"/>
        <v>44.28</v>
      </c>
      <c r="M34" s="2"/>
      <c r="N34" s="6">
        <f t="shared" si="15"/>
        <v>0</v>
      </c>
      <c r="O34" s="11"/>
      <c r="P34" s="7">
        <v>44.28</v>
      </c>
      <c r="Q34" s="2"/>
      <c r="R34" s="6">
        <f t="shared" si="16"/>
        <v>2.055404953767314E-2</v>
      </c>
      <c r="S34" s="2"/>
      <c r="T34" s="7"/>
      <c r="U34" s="2"/>
      <c r="V34" s="6">
        <f t="shared" si="17"/>
        <v>0</v>
      </c>
      <c r="W34" s="2"/>
      <c r="X34" s="7">
        <f t="shared" si="18"/>
        <v>44.28</v>
      </c>
      <c r="Y34" s="2"/>
      <c r="Z34" s="6">
        <f t="shared" si="19"/>
        <v>0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1315</v>
      </c>
      <c r="E35" s="1"/>
      <c r="F35" s="5">
        <f t="shared" ref="F35:F37" si="20">IF(D$12=0,0,D35/D$12)</f>
        <v>0.61040142597200042</v>
      </c>
      <c r="G35" s="1"/>
      <c r="H35" s="1">
        <f>SUM(OSRRefH22_1x_0)</f>
        <v>99.88</v>
      </c>
      <c r="I35" s="1"/>
      <c r="J35" s="5">
        <f t="shared" ref="J35:J37" si="21">IF(H$12=0,0,H35/H$12)</f>
        <v>3.2839923456806357E-2</v>
      </c>
      <c r="K35" s="1"/>
      <c r="L35" s="1">
        <f t="shared" ref="L35:L37" si="22">+D35-H35</f>
        <v>1215.1199999999999</v>
      </c>
      <c r="M35" s="1"/>
      <c r="N35" s="5">
        <f t="shared" ref="N35:N37" si="23">IF(H35=0,0,L35/H35)</f>
        <v>12.1657989587505</v>
      </c>
      <c r="O35" s="14"/>
      <c r="P35" s="1">
        <f>SUM(OSRRefP22_1x_0)</f>
        <v>1315</v>
      </c>
      <c r="Q35" s="1"/>
      <c r="R35" s="5">
        <f t="shared" ref="R35:R37" si="24">IF(P$12=0,0,P35/P$12)</f>
        <v>0.61040142597200042</v>
      </c>
      <c r="S35" s="1"/>
      <c r="T35" s="1">
        <f>SUM(OSRRefT22_1x_0)</f>
        <v>99.88</v>
      </c>
      <c r="U35" s="1"/>
      <c r="V35" s="5">
        <f t="shared" ref="V35:V37" si="25">IF(T$12=0,0,T35/T$12)</f>
        <v>3.2839923456806357E-2</v>
      </c>
      <c r="W35" s="1"/>
      <c r="X35" s="1">
        <f t="shared" ref="X35:X37" si="26">+P35-T35</f>
        <v>1215.1199999999999</v>
      </c>
      <c r="Y35" s="1"/>
      <c r="Z35" s="5">
        <f t="shared" ref="Z35:Z37" si="27">IF(T35=0,0,X35/T35)</f>
        <v>12.1657989587505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1200</v>
      </c>
      <c r="E36" s="2"/>
      <c r="F36" s="6">
        <f t="shared" si="20"/>
        <v>0.55702031267406882</v>
      </c>
      <c r="G36" s="2"/>
      <c r="H36" s="7"/>
      <c r="I36" s="2"/>
      <c r="J36" s="6">
        <f t="shared" si="21"/>
        <v>0</v>
      </c>
      <c r="K36" s="2"/>
      <c r="L36" s="7">
        <f t="shared" si="22"/>
        <v>1200</v>
      </c>
      <c r="M36" s="2"/>
      <c r="N36" s="6">
        <f t="shared" si="23"/>
        <v>0</v>
      </c>
      <c r="O36" s="11"/>
      <c r="P36" s="7">
        <v>1200</v>
      </c>
      <c r="Q36" s="2"/>
      <c r="R36" s="6">
        <f t="shared" si="24"/>
        <v>0.55702031267406882</v>
      </c>
      <c r="S36" s="2"/>
      <c r="T36" s="7"/>
      <c r="U36" s="2"/>
      <c r="V36" s="6">
        <f t="shared" si="25"/>
        <v>0</v>
      </c>
      <c r="W36" s="2"/>
      <c r="X36" s="7">
        <f t="shared" si="26"/>
        <v>1200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115</v>
      </c>
      <c r="E37" s="2"/>
      <c r="F37" s="6">
        <f t="shared" si="20"/>
        <v>5.3381113297931597E-2</v>
      </c>
      <c r="G37" s="2"/>
      <c r="H37" s="7">
        <v>99.88</v>
      </c>
      <c r="I37" s="2"/>
      <c r="J37" s="6">
        <f t="shared" si="21"/>
        <v>3.2839923456806357E-2</v>
      </c>
      <c r="K37" s="2"/>
      <c r="L37" s="7">
        <f t="shared" si="22"/>
        <v>15.120000000000005</v>
      </c>
      <c r="M37" s="2"/>
      <c r="N37" s="6">
        <f t="shared" si="23"/>
        <v>0.15138165798958755</v>
      </c>
      <c r="O37" s="11"/>
      <c r="P37" s="7">
        <v>115</v>
      </c>
      <c r="Q37" s="2"/>
      <c r="R37" s="6">
        <f t="shared" si="24"/>
        <v>5.3381113297931597E-2</v>
      </c>
      <c r="S37" s="2"/>
      <c r="T37" s="7">
        <v>99.88</v>
      </c>
      <c r="U37" s="2"/>
      <c r="V37" s="6">
        <f t="shared" si="25"/>
        <v>3.2839923456806357E-2</v>
      </c>
      <c r="W37" s="2"/>
      <c r="X37" s="7">
        <f t="shared" si="26"/>
        <v>15.120000000000005</v>
      </c>
      <c r="Y37" s="2"/>
      <c r="Z37" s="6">
        <f t="shared" si="27"/>
        <v>0.15138165798958755</v>
      </c>
    </row>
    <row r="38" spans="1:26" s="28" customFormat="1" outlineLevel="1" collapsed="1" x14ac:dyDescent="0.25">
      <c r="A38" s="27"/>
      <c r="B38" s="14" t="str">
        <f>CONCATENATE("     ","Discounts and Markdowns                           ")</f>
        <v xml:space="preserve">     Discounts and Markdowns                           </v>
      </c>
      <c r="C38" s="14"/>
      <c r="D38" s="1">
        <f>SUM(OSRRefD22_2x_0)</f>
        <v>5.25</v>
      </c>
      <c r="E38" s="1"/>
      <c r="F38" s="5">
        <f t="shared" ref="F38:F42" si="28">IF(D$12=0,0,D38/D$12)</f>
        <v>2.4369638679490511E-3</v>
      </c>
      <c r="G38" s="1"/>
      <c r="H38" s="1">
        <f>SUM(OSRRefH22_2x_0)</f>
        <v>29.49</v>
      </c>
      <c r="I38" s="1"/>
      <c r="J38" s="5">
        <f t="shared" ref="J38:J42" si="29">IF(H$12=0,0,H38/H$12)</f>
        <v>9.6961287819505356E-3</v>
      </c>
      <c r="K38" s="1"/>
      <c r="L38" s="1">
        <f t="shared" ref="L38:L42" si="30">+D38-H38</f>
        <v>-24.24</v>
      </c>
      <c r="M38" s="1"/>
      <c r="N38" s="5">
        <f t="shared" ref="N38:N42" si="31">IF(H38=0,0,L38/H38)</f>
        <v>-0.82197355035605291</v>
      </c>
      <c r="O38" s="14"/>
      <c r="P38" s="1">
        <f>SUM(OSRRefP22_2x_0)</f>
        <v>5.25</v>
      </c>
      <c r="Q38" s="1"/>
      <c r="R38" s="5">
        <f t="shared" ref="R38:R42" si="32">IF(P$12=0,0,P38/P$12)</f>
        <v>2.4369638679490511E-3</v>
      </c>
      <c r="S38" s="1"/>
      <c r="T38" s="1">
        <f>SUM(OSRRefT22_2x_0)</f>
        <v>29.49</v>
      </c>
      <c r="U38" s="1"/>
      <c r="V38" s="5">
        <f t="shared" ref="V38:V42" si="33">IF(T$12=0,0,T38/T$12)</f>
        <v>9.6961287819505356E-3</v>
      </c>
      <c r="W38" s="1"/>
      <c r="X38" s="1">
        <f t="shared" ref="X38:X42" si="34">+P38-T38</f>
        <v>-24.24</v>
      </c>
      <c r="Y38" s="1"/>
      <c r="Z38" s="5">
        <f t="shared" ref="Z38:Z42" si="35">IF(T38=0,0,X38/T38)</f>
        <v>-0.82197355035605291</v>
      </c>
    </row>
    <row r="39" spans="1:26" s="24" customFormat="1" hidden="1" outlineLevel="2" x14ac:dyDescent="0.25">
      <c r="A39" s="29"/>
      <c r="B39" s="11" t="str">
        <f>CONCATENATE("          ", "6382", " - ", "DISCOUNTS/MARK DOWNS")</f>
        <v xml:space="preserve">          6382 - DISCOUNTS/MARK DOWNS</v>
      </c>
      <c r="C39" s="11"/>
      <c r="D39" s="7">
        <v>5.25</v>
      </c>
      <c r="E39" s="2"/>
      <c r="F39" s="6">
        <f t="shared" si="28"/>
        <v>2.4369638679490511E-3</v>
      </c>
      <c r="G39" s="2"/>
      <c r="H39" s="7">
        <v>29.49</v>
      </c>
      <c r="I39" s="2"/>
      <c r="J39" s="6">
        <f t="shared" si="29"/>
        <v>9.6961287819505356E-3</v>
      </c>
      <c r="K39" s="2"/>
      <c r="L39" s="7">
        <f t="shared" si="30"/>
        <v>-24.24</v>
      </c>
      <c r="M39" s="2"/>
      <c r="N39" s="6">
        <f t="shared" si="31"/>
        <v>-0.82197355035605291</v>
      </c>
      <c r="O39" s="11"/>
      <c r="P39" s="7">
        <v>5.25</v>
      </c>
      <c r="Q39" s="2"/>
      <c r="R39" s="6">
        <f t="shared" si="32"/>
        <v>2.4369638679490511E-3</v>
      </c>
      <c r="S39" s="2"/>
      <c r="T39" s="7">
        <v>29.49</v>
      </c>
      <c r="U39" s="2"/>
      <c r="V39" s="6">
        <f t="shared" si="33"/>
        <v>9.6961287819505356E-3</v>
      </c>
      <c r="W39" s="2"/>
      <c r="X39" s="7">
        <f t="shared" si="34"/>
        <v>-24.24</v>
      </c>
      <c r="Y39" s="2"/>
      <c r="Z39" s="6">
        <f t="shared" si="35"/>
        <v>-0.82197355035605291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SUM(OSRRefD22_3x_0)</f>
        <v>-2596.42</v>
      </c>
      <c r="E40" s="1"/>
      <c r="F40" s="5">
        <f t="shared" si="28"/>
        <v>-1.2052155668610047</v>
      </c>
      <c r="G40" s="1"/>
      <c r="H40" s="1">
        <f>SUM(OSRRefH22_3x_0)</f>
        <v>-401.94999999999982</v>
      </c>
      <c r="I40" s="1"/>
      <c r="J40" s="5">
        <f t="shared" si="29"/>
        <v>-0.132158662729909</v>
      </c>
      <c r="K40" s="1"/>
      <c r="L40" s="1">
        <f t="shared" si="30"/>
        <v>-2194.4700000000003</v>
      </c>
      <c r="M40" s="1"/>
      <c r="N40" s="5">
        <f t="shared" si="31"/>
        <v>5.4595596467222318</v>
      </c>
      <c r="O40" s="14"/>
      <c r="P40" s="1">
        <f>SUM(OSRRefP22_3x_0)</f>
        <v>-2596.42</v>
      </c>
      <c r="Q40" s="1"/>
      <c r="R40" s="5">
        <f t="shared" si="32"/>
        <v>-1.2052155668610047</v>
      </c>
      <c r="S40" s="1"/>
      <c r="T40" s="1">
        <f>SUM(OSRRefT22_3x_0)</f>
        <v>-401.94999999999982</v>
      </c>
      <c r="U40" s="1"/>
      <c r="V40" s="5">
        <f t="shared" si="33"/>
        <v>-0.132158662729909</v>
      </c>
      <c r="W40" s="1"/>
      <c r="X40" s="1">
        <f t="shared" si="34"/>
        <v>-2194.4700000000003</v>
      </c>
      <c r="Y40" s="1"/>
      <c r="Z40" s="5">
        <f t="shared" si="35"/>
        <v>5.4595596467222318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>
        <v>1053.1300000000001</v>
      </c>
      <c r="E41" s="2"/>
      <c r="F41" s="6">
        <f t="shared" si="28"/>
        <v>0.48884566823870179</v>
      </c>
      <c r="G41" s="2"/>
      <c r="H41" s="7">
        <v>2130.5100000000002</v>
      </c>
      <c r="I41" s="2"/>
      <c r="J41" s="6">
        <f t="shared" si="29"/>
        <v>0.70049845138126277</v>
      </c>
      <c r="K41" s="2"/>
      <c r="L41" s="7">
        <f t="shared" si="30"/>
        <v>-1077.3800000000001</v>
      </c>
      <c r="M41" s="2"/>
      <c r="N41" s="6">
        <f t="shared" si="31"/>
        <v>-0.50569112559903495</v>
      </c>
      <c r="O41" s="11"/>
      <c r="P41" s="7">
        <v>1053.1300000000001</v>
      </c>
      <c r="Q41" s="2"/>
      <c r="R41" s="6">
        <f t="shared" si="32"/>
        <v>0.48884566823870179</v>
      </c>
      <c r="S41" s="2"/>
      <c r="T41" s="7">
        <v>2130.5100000000002</v>
      </c>
      <c r="U41" s="2"/>
      <c r="V41" s="6">
        <f t="shared" si="33"/>
        <v>0.70049845138126277</v>
      </c>
      <c r="W41" s="2"/>
      <c r="X41" s="7">
        <f t="shared" si="34"/>
        <v>-1077.3800000000001</v>
      </c>
      <c r="Y41" s="2"/>
      <c r="Z41" s="6">
        <f t="shared" si="35"/>
        <v>-0.50569112559903495</v>
      </c>
    </row>
    <row r="42" spans="1:26" s="24" customFormat="1" hidden="1" outlineLevel="2" x14ac:dyDescent="0.25">
      <c r="A42" s="29"/>
      <c r="B42" s="11" t="str">
        <f>CONCATENATE("          ", "6307", " - ", "POSTAGE")</f>
        <v xml:space="preserve">          6307 - POSTAGE</v>
      </c>
      <c r="C42" s="11"/>
      <c r="D42" s="7">
        <v>-3649.55</v>
      </c>
      <c r="E42" s="2"/>
      <c r="F42" s="6">
        <f t="shared" si="28"/>
        <v>-1.6940612350997066</v>
      </c>
      <c r="G42" s="2"/>
      <c r="H42" s="7">
        <v>-2532.46</v>
      </c>
      <c r="I42" s="2"/>
      <c r="J42" s="6">
        <f t="shared" si="29"/>
        <v>-0.83265711411117171</v>
      </c>
      <c r="K42" s="2"/>
      <c r="L42" s="7">
        <f t="shared" si="30"/>
        <v>-1117.0900000000001</v>
      </c>
      <c r="M42" s="2"/>
      <c r="N42" s="6">
        <f t="shared" si="31"/>
        <v>0.44110864534879135</v>
      </c>
      <c r="O42" s="11"/>
      <c r="P42" s="7">
        <v>-3649.55</v>
      </c>
      <c r="Q42" s="2"/>
      <c r="R42" s="6">
        <f t="shared" si="32"/>
        <v>-1.6940612350997066</v>
      </c>
      <c r="S42" s="2"/>
      <c r="T42" s="7">
        <v>-2532.46</v>
      </c>
      <c r="U42" s="2"/>
      <c r="V42" s="6">
        <f t="shared" si="33"/>
        <v>-0.83265711411117171</v>
      </c>
      <c r="W42" s="2"/>
      <c r="X42" s="7">
        <f t="shared" si="34"/>
        <v>-1117.0900000000001</v>
      </c>
      <c r="Y42" s="2"/>
      <c r="Z42" s="6">
        <f t="shared" si="35"/>
        <v>0.44110864534879135</v>
      </c>
    </row>
    <row r="43" spans="1:26" s="28" customFormat="1" outlineLevel="1" collapsed="1" x14ac:dyDescent="0.25">
      <c r="A43" s="27"/>
      <c r="B43" s="14" t="str">
        <f>CONCATENATE("     ","Inventory Adjustment                              ")</f>
        <v xml:space="preserve">     Inventory Adjustment                              </v>
      </c>
      <c r="C43" s="14"/>
      <c r="D43" s="1">
        <f>SUM(OSRRefD22_4x_0)</f>
        <v>0</v>
      </c>
      <c r="E43" s="1"/>
      <c r="F43" s="5">
        <f t="shared" ref="F43:F47" si="36">IF(D$12=0,0,D43/D$12)</f>
        <v>0</v>
      </c>
      <c r="G43" s="1"/>
      <c r="H43" s="1">
        <f>SUM(OSRRefH22_4x_0)</f>
        <v>100</v>
      </c>
      <c r="I43" s="1"/>
      <c r="J43" s="5">
        <f t="shared" ref="J43:J47" si="37">IF(H$12=0,0,H43/H$12)</f>
        <v>3.2879378711259871E-2</v>
      </c>
      <c r="K43" s="1"/>
      <c r="L43" s="1">
        <f t="shared" ref="L43:L47" si="38">+D43-H43</f>
        <v>-100</v>
      </c>
      <c r="M43" s="1"/>
      <c r="N43" s="5">
        <f t="shared" ref="N43:N47" si="39">IF(H43=0,0,L43/H43)</f>
        <v>-1</v>
      </c>
      <c r="O43" s="14"/>
      <c r="P43" s="1">
        <f>SUM(OSRRefP22_4x_0)</f>
        <v>0</v>
      </c>
      <c r="Q43" s="1"/>
      <c r="R43" s="5">
        <f t="shared" ref="R43:R47" si="40">IF(P$12=0,0,P43/P$12)</f>
        <v>0</v>
      </c>
      <c r="S43" s="1"/>
      <c r="T43" s="1">
        <f>SUM(OSRRefT22_4x_0)</f>
        <v>100</v>
      </c>
      <c r="U43" s="1"/>
      <c r="V43" s="5">
        <f t="shared" ref="V43:V47" si="41">IF(T$12=0,0,T43/T$12)</f>
        <v>3.2879378711259871E-2</v>
      </c>
      <c r="W43" s="1"/>
      <c r="X43" s="1">
        <f t="shared" ref="X43:X47" si="42">+P43-T43</f>
        <v>-100</v>
      </c>
      <c r="Y43" s="1"/>
      <c r="Z43" s="5">
        <f t="shared" ref="Z43:Z47" si="43">IF(T43=0,0,X43/T43)</f>
        <v>-1</v>
      </c>
    </row>
    <row r="44" spans="1:26" s="24" customFormat="1" hidden="1" outlineLevel="2" x14ac:dyDescent="0.25">
      <c r="A44" s="29"/>
      <c r="B44" s="11" t="str">
        <f>CONCATENATE("          ", "6408", " - ", "INVENTORY ADJUSTMENT")</f>
        <v xml:space="preserve">          6408 - INVENTORY ADJUSTMENT</v>
      </c>
      <c r="C44" s="11"/>
      <c r="D44" s="7"/>
      <c r="E44" s="2"/>
      <c r="F44" s="6">
        <f t="shared" si="36"/>
        <v>0</v>
      </c>
      <c r="G44" s="2"/>
      <c r="H44" s="7">
        <v>100</v>
      </c>
      <c r="I44" s="2"/>
      <c r="J44" s="6">
        <f t="shared" si="37"/>
        <v>3.2879378711259871E-2</v>
      </c>
      <c r="K44" s="2"/>
      <c r="L44" s="7">
        <f t="shared" si="38"/>
        <v>-100</v>
      </c>
      <c r="M44" s="2"/>
      <c r="N44" s="6">
        <f t="shared" si="39"/>
        <v>-1</v>
      </c>
      <c r="O44" s="11"/>
      <c r="P44" s="7"/>
      <c r="Q44" s="2"/>
      <c r="R44" s="6">
        <f t="shared" si="40"/>
        <v>0</v>
      </c>
      <c r="S44" s="2"/>
      <c r="T44" s="7">
        <v>100</v>
      </c>
      <c r="U44" s="2"/>
      <c r="V44" s="6">
        <f t="shared" si="41"/>
        <v>3.2879378711259871E-2</v>
      </c>
      <c r="W44" s="2"/>
      <c r="X44" s="7">
        <f t="shared" si="42"/>
        <v>-100</v>
      </c>
      <c r="Y44" s="2"/>
      <c r="Z44" s="6">
        <f t="shared" si="43"/>
        <v>-1</v>
      </c>
    </row>
    <row r="45" spans="1:26" s="28" customFormat="1" outlineLevel="1" collapsed="1" x14ac:dyDescent="0.25">
      <c r="A45" s="27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SUM(OSRRefD22_5x_0)</f>
        <v>1585.32</v>
      </c>
      <c r="E45" s="1"/>
      <c r="F45" s="5">
        <f t="shared" si="36"/>
        <v>0.73587953507371229</v>
      </c>
      <c r="G45" s="1"/>
      <c r="H45" s="1">
        <f>SUM(OSRRefH22_5x_0)</f>
        <v>1513.78</v>
      </c>
      <c r="I45" s="1"/>
      <c r="J45" s="5">
        <f t="shared" si="37"/>
        <v>0.49772145905530968</v>
      </c>
      <c r="K45" s="1"/>
      <c r="L45" s="1">
        <f t="shared" si="38"/>
        <v>71.539999999999964</v>
      </c>
      <c r="M45" s="1"/>
      <c r="N45" s="5">
        <f t="shared" si="39"/>
        <v>4.7259179008838775E-2</v>
      </c>
      <c r="O45" s="14"/>
      <c r="P45" s="1">
        <f>SUM(OSRRefP22_5x_0)</f>
        <v>1585.32</v>
      </c>
      <c r="Q45" s="1"/>
      <c r="R45" s="5">
        <f t="shared" si="40"/>
        <v>0.73587953507371229</v>
      </c>
      <c r="S45" s="1"/>
      <c r="T45" s="1">
        <f>SUM(OSRRefT22_5x_0)</f>
        <v>1513.78</v>
      </c>
      <c r="U45" s="1"/>
      <c r="V45" s="5">
        <f t="shared" si="41"/>
        <v>0.49772145905530968</v>
      </c>
      <c r="W45" s="1"/>
      <c r="X45" s="1">
        <f t="shared" si="42"/>
        <v>71.539999999999964</v>
      </c>
      <c r="Y45" s="1"/>
      <c r="Z45" s="5">
        <f t="shared" si="43"/>
        <v>4.7259179008838775E-2</v>
      </c>
    </row>
    <row r="46" spans="1:26" s="24" customFormat="1" hidden="1" outlineLevel="2" x14ac:dyDescent="0.25">
      <c r="A46" s="29"/>
      <c r="B46" s="11" t="str">
        <f>CONCATENATE("          ", "6241", " - ", "OFFICE EXPENSE")</f>
        <v xml:space="preserve">          6241 - OFFICE EXPENSE</v>
      </c>
      <c r="C46" s="11"/>
      <c r="D46" s="7"/>
      <c r="E46" s="2"/>
      <c r="F46" s="6">
        <f t="shared" si="36"/>
        <v>0</v>
      </c>
      <c r="G46" s="2"/>
      <c r="H46" s="7">
        <v>1.59</v>
      </c>
      <c r="I46" s="2"/>
      <c r="J46" s="6">
        <f t="shared" si="37"/>
        <v>5.2278212150903196E-4</v>
      </c>
      <c r="K46" s="2"/>
      <c r="L46" s="7">
        <f t="shared" si="38"/>
        <v>-1.59</v>
      </c>
      <c r="M46" s="2"/>
      <c r="N46" s="6">
        <f t="shared" si="39"/>
        <v>-1</v>
      </c>
      <c r="O46" s="11"/>
      <c r="P46" s="7"/>
      <c r="Q46" s="2"/>
      <c r="R46" s="6">
        <f t="shared" si="40"/>
        <v>0</v>
      </c>
      <c r="S46" s="2"/>
      <c r="T46" s="7">
        <v>1.59</v>
      </c>
      <c r="U46" s="2"/>
      <c r="V46" s="6">
        <f t="shared" si="41"/>
        <v>5.2278212150903196E-4</v>
      </c>
      <c r="W46" s="2"/>
      <c r="X46" s="7">
        <f t="shared" si="42"/>
        <v>-1.59</v>
      </c>
      <c r="Y46" s="2"/>
      <c r="Z46" s="6">
        <f t="shared" si="43"/>
        <v>-1</v>
      </c>
    </row>
    <row r="47" spans="1:26" s="24" customFormat="1" hidden="1" outlineLevel="2" x14ac:dyDescent="0.25">
      <c r="A47" s="29"/>
      <c r="B47" s="11" t="str">
        <f>CONCATENATE("          ", "6247", " - ", "STORE SUPPLIES")</f>
        <v xml:space="preserve">          6247 - STORE SUPPLIES</v>
      </c>
      <c r="C47" s="11"/>
      <c r="D47" s="7">
        <v>1585.32</v>
      </c>
      <c r="E47" s="2"/>
      <c r="F47" s="6">
        <f t="shared" si="36"/>
        <v>0.73587953507371229</v>
      </c>
      <c r="G47" s="2"/>
      <c r="H47" s="7">
        <v>1512.19</v>
      </c>
      <c r="I47" s="2"/>
      <c r="J47" s="6">
        <f t="shared" si="37"/>
        <v>0.49719867693380065</v>
      </c>
      <c r="K47" s="2"/>
      <c r="L47" s="7">
        <f t="shared" si="38"/>
        <v>73.129999999999882</v>
      </c>
      <c r="M47" s="2"/>
      <c r="N47" s="6">
        <f t="shared" si="39"/>
        <v>4.8360325091423614E-2</v>
      </c>
      <c r="O47" s="11"/>
      <c r="P47" s="7">
        <v>1585.32</v>
      </c>
      <c r="Q47" s="2"/>
      <c r="R47" s="6">
        <f t="shared" si="40"/>
        <v>0.73587953507371229</v>
      </c>
      <c r="S47" s="2"/>
      <c r="T47" s="7">
        <v>1512.19</v>
      </c>
      <c r="U47" s="2"/>
      <c r="V47" s="6">
        <f t="shared" si="41"/>
        <v>0.49719867693380065</v>
      </c>
      <c r="W47" s="2"/>
      <c r="X47" s="7">
        <f t="shared" si="42"/>
        <v>73.129999999999882</v>
      </c>
      <c r="Y47" s="2"/>
      <c r="Z47" s="6">
        <f t="shared" si="43"/>
        <v>4.8360325091423614E-2</v>
      </c>
    </row>
    <row r="48" spans="1:26" s="28" customFormat="1" outlineLevel="1" collapsed="1" x14ac:dyDescent="0.25">
      <c r="A48" s="27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SUM(OSRRefD22_6x_0)</f>
        <v>103.8</v>
      </c>
      <c r="E48" s="1"/>
      <c r="F48" s="5">
        <f t="shared" ref="F48:F49" si="44">IF(D$12=0,0,D48/D$12)</f>
        <v>4.818225704630695E-2</v>
      </c>
      <c r="G48" s="1"/>
      <c r="H48" s="1">
        <f>SUM(OSRRefH22_6x_0)</f>
        <v>333.7</v>
      </c>
      <c r="I48" s="1"/>
      <c r="J48" s="5">
        <f t="shared" ref="J48:J49" si="45">IF(H$12=0,0,H48/H$12)</f>
        <v>0.10971848675947418</v>
      </c>
      <c r="K48" s="1"/>
      <c r="L48" s="1">
        <f t="shared" ref="L48:L49" si="46">+D48-H48</f>
        <v>-229.89999999999998</v>
      </c>
      <c r="M48" s="1"/>
      <c r="N48" s="5">
        <f t="shared" ref="N48:N49" si="47">IF(H48=0,0,L48/H48)</f>
        <v>-0.68894216362001792</v>
      </c>
      <c r="O48" s="14"/>
      <c r="P48" s="1">
        <f>SUM(OSRRefP22_6x_0)</f>
        <v>103.8</v>
      </c>
      <c r="Q48" s="1"/>
      <c r="R48" s="5">
        <f t="shared" ref="R48:R49" si="48">IF(P$12=0,0,P48/P$12)</f>
        <v>4.818225704630695E-2</v>
      </c>
      <c r="S48" s="1"/>
      <c r="T48" s="1">
        <f>SUM(OSRRefT22_6x_0)</f>
        <v>333.7</v>
      </c>
      <c r="U48" s="1"/>
      <c r="V48" s="5">
        <f t="shared" ref="V48:V49" si="49">IF(T$12=0,0,T48/T$12)</f>
        <v>0.10971848675947418</v>
      </c>
      <c r="W48" s="1"/>
      <c r="X48" s="1">
        <f t="shared" ref="X48:X49" si="50">+P48-T48</f>
        <v>-229.89999999999998</v>
      </c>
      <c r="Y48" s="1"/>
      <c r="Z48" s="5">
        <f t="shared" ref="Z48:Z49" si="51">IF(T48=0,0,X48/T48)</f>
        <v>-0.68894216362001792</v>
      </c>
    </row>
    <row r="49" spans="1:26" s="24" customFormat="1" hidden="1" outlineLevel="2" x14ac:dyDescent="0.25">
      <c r="A49" s="29"/>
      <c r="B49" s="11" t="str">
        <f>CONCATENATE("          ", "6309", " - ", "TELEPHONE")</f>
        <v xml:space="preserve">          6309 - TELEPHONE</v>
      </c>
      <c r="C49" s="11"/>
      <c r="D49" s="7">
        <v>103.8</v>
      </c>
      <c r="E49" s="2"/>
      <c r="F49" s="6">
        <f t="shared" si="44"/>
        <v>4.818225704630695E-2</v>
      </c>
      <c r="G49" s="2"/>
      <c r="H49" s="7">
        <v>333.7</v>
      </c>
      <c r="I49" s="2"/>
      <c r="J49" s="6">
        <f t="shared" si="45"/>
        <v>0.10971848675947418</v>
      </c>
      <c r="K49" s="2"/>
      <c r="L49" s="7">
        <f t="shared" si="46"/>
        <v>-229.89999999999998</v>
      </c>
      <c r="M49" s="2"/>
      <c r="N49" s="6">
        <f t="shared" si="47"/>
        <v>-0.68894216362001792</v>
      </c>
      <c r="O49" s="11"/>
      <c r="P49" s="7">
        <v>103.8</v>
      </c>
      <c r="Q49" s="2"/>
      <c r="R49" s="6">
        <f t="shared" si="48"/>
        <v>4.818225704630695E-2</v>
      </c>
      <c r="S49" s="2"/>
      <c r="T49" s="7">
        <v>333.7</v>
      </c>
      <c r="U49" s="2"/>
      <c r="V49" s="6">
        <f t="shared" si="49"/>
        <v>0.10971848675947418</v>
      </c>
      <c r="W49" s="2"/>
      <c r="X49" s="7">
        <f t="shared" si="50"/>
        <v>-229.89999999999998</v>
      </c>
      <c r="Y49" s="2"/>
      <c r="Z49" s="6">
        <f t="shared" si="51"/>
        <v>-0.68894216362001792</v>
      </c>
    </row>
    <row r="50" spans="1:26" s="54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6" t="s">
        <v>0</v>
      </c>
      <c r="C51" s="10"/>
      <c r="D51" s="4">
        <f>SUM(OSRRefD25x_0)</f>
        <v>329.7</v>
      </c>
      <c r="E51" s="4"/>
      <c r="F51" s="12">
        <f t="shared" ref="F51:F53" si="52">IF(D$12=0,0,D51/D$12)</f>
        <v>0.1530413309072004</v>
      </c>
      <c r="G51" s="4"/>
      <c r="H51" s="4">
        <f>SUM(OSRRefH25x_0)</f>
        <v>345</v>
      </c>
      <c r="I51" s="4"/>
      <c r="J51" s="12">
        <f t="shared" ref="J51:J53" si="53">IF(H$12=0,0,H51/H$12)</f>
        <v>0.11343385655384655</v>
      </c>
      <c r="K51" s="4"/>
      <c r="L51" s="4">
        <f t="shared" ref="L51:L53" si="54">+D51-H51</f>
        <v>-15.300000000000011</v>
      </c>
      <c r="M51" s="4"/>
      <c r="N51" s="12">
        <f t="shared" ref="N51:N53" si="55">IF(H51=0,0,L51/H51)</f>
        <v>-4.4347826086956553E-2</v>
      </c>
      <c r="O51" s="10"/>
      <c r="P51" s="4">
        <f>SUM(OSRRefP25x_0)</f>
        <v>329.7</v>
      </c>
      <c r="Q51" s="4"/>
      <c r="R51" s="12">
        <f t="shared" ref="R51:R53" si="56">IF(P$12=0,0,P51/P$12)</f>
        <v>0.1530413309072004</v>
      </c>
      <c r="S51" s="4"/>
      <c r="T51" s="4">
        <f>SUM(OSRRefT25x_0)</f>
        <v>345</v>
      </c>
      <c r="U51" s="4"/>
      <c r="V51" s="12">
        <f t="shared" ref="V51:V53" si="57">IF(T$12=0,0,T51/T$12)</f>
        <v>0.11343385655384655</v>
      </c>
      <c r="W51" s="4"/>
      <c r="X51" s="4">
        <f t="shared" ref="X51:X53" si="58">+P51-T51</f>
        <v>-15.300000000000011</v>
      </c>
      <c r="Y51" s="4"/>
      <c r="Z51" s="12">
        <f t="shared" ref="Z51:Z53" si="59">IF(T51=0,0,X51/T51)</f>
        <v>-4.4347826086956553E-2</v>
      </c>
    </row>
    <row r="52" spans="1:26" s="24" customFormat="1" hidden="1" outlineLevel="1" x14ac:dyDescent="0.25">
      <c r="A52" s="50"/>
      <c r="B52" s="11" t="str">
        <f>CONCATENATE("          ", "4098", " - ", "TAXABLE SALES-GRAD RENTALS")</f>
        <v xml:space="preserve">          4098 - TAXABLE SALES-GRAD RENTALS</v>
      </c>
      <c r="C52" s="11"/>
      <c r="D52" s="2">
        <f>--74.7</f>
        <v>74.7</v>
      </c>
      <c r="E52" s="2"/>
      <c r="F52" s="22">
        <f t="shared" si="52"/>
        <v>3.4674514463960783E-2</v>
      </c>
      <c r="G52" s="2"/>
      <c r="H52" s="2">
        <f>0</f>
        <v>0</v>
      </c>
      <c r="I52" s="2"/>
      <c r="J52" s="22">
        <f t="shared" si="53"/>
        <v>0</v>
      </c>
      <c r="K52" s="2"/>
      <c r="L52" s="2">
        <f t="shared" si="54"/>
        <v>74.7</v>
      </c>
      <c r="M52" s="2"/>
      <c r="N52" s="22">
        <f t="shared" si="55"/>
        <v>0</v>
      </c>
      <c r="O52" s="11"/>
      <c r="P52" s="2">
        <f>--74.7</f>
        <v>74.7</v>
      </c>
      <c r="Q52" s="2"/>
      <c r="R52" s="22">
        <f t="shared" si="56"/>
        <v>3.4674514463960783E-2</v>
      </c>
      <c r="S52" s="2"/>
      <c r="T52" s="2">
        <f>0</f>
        <v>0</v>
      </c>
      <c r="U52" s="2"/>
      <c r="V52" s="22">
        <f t="shared" si="57"/>
        <v>0</v>
      </c>
      <c r="W52" s="2"/>
      <c r="X52" s="2">
        <f t="shared" si="58"/>
        <v>74.7</v>
      </c>
      <c r="Y52" s="2"/>
      <c r="Z52" s="22">
        <f t="shared" si="59"/>
        <v>0</v>
      </c>
    </row>
    <row r="53" spans="1:26" s="24" customFormat="1" hidden="1" outlineLevel="1" x14ac:dyDescent="0.25">
      <c r="A53" s="50"/>
      <c r="B53" s="11" t="str">
        <f>CONCATENATE("          ", "4198", " - ", "NON-TAXABLE SALES-GRAD RENTALS")</f>
        <v xml:space="preserve">          4198 - NON-TAXABLE SALES-GRAD RENTALS</v>
      </c>
      <c r="C53" s="11"/>
      <c r="D53" s="2">
        <f>--255</f>
        <v>255</v>
      </c>
      <c r="E53" s="2"/>
      <c r="F53" s="22">
        <f t="shared" si="52"/>
        <v>0.11836681644323963</v>
      </c>
      <c r="G53" s="2"/>
      <c r="H53" s="2">
        <f>--345</f>
        <v>345</v>
      </c>
      <c r="I53" s="2"/>
      <c r="J53" s="22">
        <f t="shared" si="53"/>
        <v>0.11343385655384655</v>
      </c>
      <c r="K53" s="2"/>
      <c r="L53" s="2">
        <f t="shared" si="54"/>
        <v>-90</v>
      </c>
      <c r="M53" s="2"/>
      <c r="N53" s="22">
        <f t="shared" si="55"/>
        <v>-0.2608695652173913</v>
      </c>
      <c r="O53" s="11"/>
      <c r="P53" s="2">
        <f>--255</f>
        <v>255</v>
      </c>
      <c r="Q53" s="2"/>
      <c r="R53" s="22">
        <f t="shared" si="56"/>
        <v>0.11836681644323963</v>
      </c>
      <c r="S53" s="2"/>
      <c r="T53" s="2">
        <f>--345</f>
        <v>345</v>
      </c>
      <c r="U53" s="2"/>
      <c r="V53" s="22">
        <f t="shared" si="57"/>
        <v>0.11343385655384655</v>
      </c>
      <c r="W53" s="2"/>
      <c r="X53" s="2">
        <f t="shared" si="58"/>
        <v>-90</v>
      </c>
      <c r="Y53" s="2"/>
      <c r="Z53" s="22">
        <f t="shared" si="59"/>
        <v>-0.2608695652173913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5" t="s">
        <v>3</v>
      </c>
      <c r="C55" s="25"/>
      <c r="D55" s="21">
        <f>+D24-D26+D51</f>
        <v>613.15000000000032</v>
      </c>
      <c r="E55" s="13"/>
      <c r="F55" s="20">
        <f>IF(D$12=0,0,D55/D$12)</f>
        <v>0.28461417059675453</v>
      </c>
      <c r="G55" s="13"/>
      <c r="H55" s="21">
        <f>+H24-H26+H51</f>
        <v>536.5799999999997</v>
      </c>
      <c r="I55" s="13"/>
      <c r="J55" s="20">
        <f>IF(H$12=0,0,H55/H$12)</f>
        <v>0.17642417028887811</v>
      </c>
      <c r="K55" s="16"/>
      <c r="L55" s="21">
        <f>+D55-H55</f>
        <v>76.570000000000618</v>
      </c>
      <c r="M55" s="16"/>
      <c r="N55" s="20">
        <f>IF(H55=0,0,L55/H55)</f>
        <v>0.14270006336427124</v>
      </c>
      <c r="O55" s="26"/>
      <c r="P55" s="21">
        <f>+P24-P26+P51</f>
        <v>613.15000000000032</v>
      </c>
      <c r="Q55" s="13"/>
      <c r="R55" s="20">
        <f>IF(P$12=0,0,P55/P$12)</f>
        <v>0.28461417059675453</v>
      </c>
      <c r="S55" s="13"/>
      <c r="T55" s="21">
        <f>+T24-T26+T51</f>
        <v>536.5799999999997</v>
      </c>
      <c r="U55" s="13"/>
      <c r="V55" s="20">
        <f>IF(T$12=0,0,T55/T$12)</f>
        <v>0.17642417028887811</v>
      </c>
      <c r="W55" s="16"/>
      <c r="X55" s="21">
        <f>+P55-T55</f>
        <v>76.570000000000618</v>
      </c>
      <c r="Y55" s="16"/>
      <c r="Z55" s="20">
        <f>IF(T55=0,0,X55/T55)</f>
        <v>0.14270006336427124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1"/>
      <c r="B57" s="10" t="s">
        <v>13</v>
      </c>
      <c r="C57" s="10"/>
      <c r="D57" s="4">
        <v>447.95</v>
      </c>
      <c r="E57" s="4"/>
      <c r="F57" s="12">
        <f>IF(D$12=0,0,D57/D$12)</f>
        <v>0.20793104088529094</v>
      </c>
      <c r="G57" s="4"/>
      <c r="H57" s="4">
        <v>624.41</v>
      </c>
      <c r="I57" s="4"/>
      <c r="J57" s="12">
        <f>IF(H$12=0,0,H57/H$12)</f>
        <v>0.20530212861097774</v>
      </c>
      <c r="K57" s="4"/>
      <c r="L57" s="4">
        <f>+D57-H57</f>
        <v>-176.45999999999998</v>
      </c>
      <c r="M57" s="4"/>
      <c r="N57" s="12">
        <f>IF(H57=0,0,L57/H57)</f>
        <v>-0.28260277702150827</v>
      </c>
      <c r="O57" s="10"/>
      <c r="P57" s="4">
        <v>447.95</v>
      </c>
      <c r="Q57" s="4"/>
      <c r="R57" s="12">
        <f>IF(P$12=0,0,P57/P$12)</f>
        <v>0.20793104088529094</v>
      </c>
      <c r="S57" s="4"/>
      <c r="T57" s="4">
        <v>624.41</v>
      </c>
      <c r="U57" s="4"/>
      <c r="V57" s="12">
        <f>IF(T$12=0,0,T57/T$12)</f>
        <v>0.20530212861097774</v>
      </c>
      <c r="W57" s="4"/>
      <c r="X57" s="4">
        <f>+P57-T57</f>
        <v>-176.45999999999998</v>
      </c>
      <c r="Y57" s="4"/>
      <c r="Z57" s="12">
        <f>IF(T57=0,0,X57/T57)</f>
        <v>-0.28260277702150827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5" t="s">
        <v>4</v>
      </c>
      <c r="C59" s="25"/>
      <c r="D59" s="33">
        <f>+D55-D57</f>
        <v>165.20000000000033</v>
      </c>
      <c r="E59" s="13"/>
      <c r="F59" s="34">
        <f>IF(D$12=0,0,D59/D$12)</f>
        <v>7.6683129711463627E-2</v>
      </c>
      <c r="G59" s="13"/>
      <c r="H59" s="33">
        <f>+H55-H57</f>
        <v>-87.830000000000268</v>
      </c>
      <c r="I59" s="13"/>
      <c r="J59" s="34">
        <f>IF(H$12=0,0,H59/H$12)</f>
        <v>-2.8877958322099634E-2</v>
      </c>
      <c r="K59" s="16"/>
      <c r="L59" s="33">
        <f>D59-H59</f>
        <v>253.0300000000006</v>
      </c>
      <c r="M59" s="16"/>
      <c r="N59" s="34">
        <f>IF(H59=0,0,L59/H59)</f>
        <v>-2.8809062962541252</v>
      </c>
      <c r="O59" s="26"/>
      <c r="P59" s="33">
        <f>+P55-P57</f>
        <v>165.20000000000033</v>
      </c>
      <c r="Q59" s="13"/>
      <c r="R59" s="34">
        <f>IF(P$12=0,0,P59/P$12)</f>
        <v>7.6683129711463627E-2</v>
      </c>
      <c r="S59" s="13"/>
      <c r="T59" s="33">
        <f>+T55-T57</f>
        <v>-87.830000000000268</v>
      </c>
      <c r="U59" s="13"/>
      <c r="V59" s="34">
        <f>IF(T$12=0,0,T59/T$12)</f>
        <v>-2.8877958322099634E-2</v>
      </c>
      <c r="W59" s="16"/>
      <c r="X59" s="33">
        <f>P59-T59</f>
        <v>253.0300000000006</v>
      </c>
      <c r="Y59" s="16"/>
      <c r="Z59" s="34">
        <f>IF(T59=0,0,X59/T59)</f>
        <v>-2.8809062962541252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5</v>
      </c>
      <c r="C62" s="25"/>
      <c r="D62" s="31">
        <f>SUM(D59:D61)</f>
        <v>165.20000000000033</v>
      </c>
      <c r="E62" s="13"/>
      <c r="F62" s="30">
        <f>IF(D$12=0,0,D62/D$12)</f>
        <v>7.6683129711463627E-2</v>
      </c>
      <c r="G62" s="13"/>
      <c r="H62" s="31">
        <f>SUM(H59:H61)</f>
        <v>-87.830000000000268</v>
      </c>
      <c r="I62" s="13"/>
      <c r="J62" s="30">
        <f>IF(H$12=0,0,H62/H$12)</f>
        <v>-2.8877958322099634E-2</v>
      </c>
      <c r="K62" s="16"/>
      <c r="L62" s="31">
        <f>+D62-H62</f>
        <v>253.0300000000006</v>
      </c>
      <c r="M62" s="16"/>
      <c r="N62" s="30">
        <f>IF(H62=0,0,L62/H62)</f>
        <v>-2.8809062962541252</v>
      </c>
      <c r="O62" s="26"/>
      <c r="P62" s="31">
        <f>SUM(P59:P61)</f>
        <v>165.20000000000033</v>
      </c>
      <c r="Q62" s="13"/>
      <c r="R62" s="30">
        <f>IF(P$12=0,0,P62/P$12)</f>
        <v>7.6683129711463627E-2</v>
      </c>
      <c r="S62" s="13"/>
      <c r="T62" s="31">
        <f>SUM(T59:T61)</f>
        <v>-87.830000000000268</v>
      </c>
      <c r="U62" s="13"/>
      <c r="V62" s="30">
        <f>IF(T$12=0,0,T62/T$12)</f>
        <v>-2.8877958322099634E-2</v>
      </c>
      <c r="W62" s="16"/>
      <c r="X62" s="31">
        <f>+P62-T62</f>
        <v>253.0300000000006</v>
      </c>
      <c r="Y62" s="16"/>
      <c r="Z62" s="30">
        <f>IF(T62=0,0,X62/T62)</f>
        <v>-2.8809062962541252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56">
        <v>43726.681990775462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3" t="s">
        <v>313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310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370337.37</v>
      </c>
      <c r="E12" s="4"/>
      <c r="F12" s="12"/>
      <c r="G12" s="4"/>
      <c r="H12" s="4">
        <f>SUM(OSRRefH13x_0)</f>
        <v>426200.95999999996</v>
      </c>
      <c r="I12" s="4"/>
      <c r="J12" s="12"/>
      <c r="K12" s="4"/>
      <c r="L12" s="4">
        <f t="shared" ref="L12:L30" si="0">+D12-H12</f>
        <v>-55863.589999999967</v>
      </c>
      <c r="M12" s="4"/>
      <c r="N12" s="12">
        <f t="shared" ref="N12:N30" si="1">IF(H12=0,0,L12/H12)</f>
        <v>-0.13107335563017028</v>
      </c>
      <c r="O12" s="10"/>
      <c r="P12" s="4">
        <f>SUM(OSRRefP13x_0)</f>
        <v>370337.37</v>
      </c>
      <c r="Q12" s="4"/>
      <c r="R12" s="12"/>
      <c r="S12" s="4"/>
      <c r="T12" s="4">
        <f>SUM(OSRRefT13x_0)</f>
        <v>426200.95999999996</v>
      </c>
      <c r="U12" s="4"/>
      <c r="V12" s="12"/>
      <c r="W12" s="4"/>
      <c r="X12" s="4">
        <f t="shared" ref="X12:X30" si="2">+P12-T12</f>
        <v>-55863.589999999967</v>
      </c>
      <c r="Y12" s="4"/>
      <c r="Z12" s="12">
        <f t="shared" ref="Z12:Z30" si="3">IF(T12=0,0,X12/T12)</f>
        <v>-0.13107335563017028</v>
      </c>
    </row>
    <row r="13" spans="1:26" s="24" customFormat="1" hidden="1" outlineLevel="1" x14ac:dyDescent="0.25">
      <c r="A13" s="50"/>
      <c r="B13" s="11" t="str">
        <f>CONCATENATE("          ", "4081", " - ", "TAXABLE SALES-ELECTRONICS")</f>
        <v xml:space="preserve">          4081 - TAXABLE SALES-ELECTRONICS</v>
      </c>
      <c r="C13" s="11"/>
      <c r="D13" s="2">
        <f>--20944.59</f>
        <v>20944.59</v>
      </c>
      <c r="E13" s="2"/>
      <c r="F13" s="22"/>
      <c r="G13" s="2"/>
      <c r="H13" s="2">
        <f>--17053.89</f>
        <v>17053.89</v>
      </c>
      <c r="I13" s="2"/>
      <c r="J13" s="22"/>
      <c r="K13" s="2"/>
      <c r="L13" s="2">
        <f t="shared" si="0"/>
        <v>3890.7000000000007</v>
      </c>
      <c r="M13" s="2"/>
      <c r="N13" s="22">
        <f t="shared" si="1"/>
        <v>0.2281414973357985</v>
      </c>
      <c r="O13" s="11"/>
      <c r="P13" s="2">
        <f>--20944.59</f>
        <v>20944.59</v>
      </c>
      <c r="Q13" s="2"/>
      <c r="R13" s="22"/>
      <c r="S13" s="2"/>
      <c r="T13" s="2">
        <f>--17053.89</f>
        <v>17053.89</v>
      </c>
      <c r="U13" s="2"/>
      <c r="V13" s="22"/>
      <c r="W13" s="2"/>
      <c r="X13" s="2">
        <f t="shared" si="2"/>
        <v>3890.7000000000007</v>
      </c>
      <c r="Y13" s="2"/>
      <c r="Z13" s="22">
        <f t="shared" si="3"/>
        <v>0.2281414973357985</v>
      </c>
    </row>
    <row r="14" spans="1:26" s="24" customFormat="1" hidden="1" outlineLevel="1" x14ac:dyDescent="0.25">
      <c r="A14" s="50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--398769.74</f>
        <v>398769.74</v>
      </c>
      <c r="E14" s="2"/>
      <c r="F14" s="22"/>
      <c r="G14" s="2"/>
      <c r="H14" s="2">
        <f>--371248.83</f>
        <v>371248.83</v>
      </c>
      <c r="I14" s="2"/>
      <c r="J14" s="22"/>
      <c r="K14" s="2"/>
      <c r="L14" s="2">
        <f t="shared" si="0"/>
        <v>27520.909999999974</v>
      </c>
      <c r="M14" s="2"/>
      <c r="N14" s="22">
        <f t="shared" si="1"/>
        <v>7.4130630930203806E-2</v>
      </c>
      <c r="O14" s="11"/>
      <c r="P14" s="2">
        <f>--398769.74</f>
        <v>398769.74</v>
      </c>
      <c r="Q14" s="2"/>
      <c r="R14" s="22"/>
      <c r="S14" s="2"/>
      <c r="T14" s="2">
        <f>--371248.83</f>
        <v>371248.83</v>
      </c>
      <c r="U14" s="2"/>
      <c r="V14" s="22"/>
      <c r="W14" s="2"/>
      <c r="X14" s="2">
        <f t="shared" si="2"/>
        <v>27520.909999999974</v>
      </c>
      <c r="Y14" s="2"/>
      <c r="Z14" s="22">
        <f t="shared" si="3"/>
        <v>7.4130630930203806E-2</v>
      </c>
    </row>
    <row r="15" spans="1:26" s="24" customFormat="1" hidden="1" outlineLevel="1" x14ac:dyDescent="0.25">
      <c r="A15" s="50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--7906.1</f>
        <v>7906.1</v>
      </c>
      <c r="E15" s="2"/>
      <c r="F15" s="22"/>
      <c r="G15" s="2"/>
      <c r="H15" s="2">
        <f>--7417.5</f>
        <v>7417.5</v>
      </c>
      <c r="I15" s="2"/>
      <c r="J15" s="22"/>
      <c r="K15" s="2"/>
      <c r="L15" s="2">
        <f t="shared" si="0"/>
        <v>488.60000000000036</v>
      </c>
      <c r="M15" s="2"/>
      <c r="N15" s="22">
        <f t="shared" si="1"/>
        <v>6.5871250421301028E-2</v>
      </c>
      <c r="O15" s="11"/>
      <c r="P15" s="2">
        <f>--7906.1</f>
        <v>7906.1</v>
      </c>
      <c r="Q15" s="2"/>
      <c r="R15" s="22"/>
      <c r="S15" s="2"/>
      <c r="T15" s="2">
        <f>--7417.5</f>
        <v>7417.5</v>
      </c>
      <c r="U15" s="2"/>
      <c r="V15" s="22"/>
      <c r="W15" s="2"/>
      <c r="X15" s="2">
        <f t="shared" si="2"/>
        <v>488.60000000000036</v>
      </c>
      <c r="Y15" s="2"/>
      <c r="Z15" s="22">
        <f t="shared" si="3"/>
        <v>6.5871250421301028E-2</v>
      </c>
    </row>
    <row r="16" spans="1:26" s="24" customFormat="1" hidden="1" outlineLevel="1" x14ac:dyDescent="0.25">
      <c r="A16" s="50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--129</f>
        <v>129</v>
      </c>
      <c r="E16" s="2"/>
      <c r="F16" s="22"/>
      <c r="G16" s="2"/>
      <c r="H16" s="2">
        <f>--278.99</f>
        <v>278.99</v>
      </c>
      <c r="I16" s="2"/>
      <c r="J16" s="22"/>
      <c r="K16" s="2"/>
      <c r="L16" s="2">
        <f t="shared" si="0"/>
        <v>-149.99</v>
      </c>
      <c r="M16" s="2"/>
      <c r="N16" s="22">
        <f t="shared" si="1"/>
        <v>-0.53761783576472277</v>
      </c>
      <c r="O16" s="11"/>
      <c r="P16" s="2">
        <f>--129</f>
        <v>129</v>
      </c>
      <c r="Q16" s="2"/>
      <c r="R16" s="22"/>
      <c r="S16" s="2"/>
      <c r="T16" s="2">
        <f>--278.99</f>
        <v>278.99</v>
      </c>
      <c r="U16" s="2"/>
      <c r="V16" s="22"/>
      <c r="W16" s="2"/>
      <c r="X16" s="2">
        <f t="shared" si="2"/>
        <v>-149.99</v>
      </c>
      <c r="Y16" s="2"/>
      <c r="Z16" s="22">
        <f t="shared" si="3"/>
        <v>-0.53761783576472277</v>
      </c>
    </row>
    <row r="17" spans="1:26" s="24" customFormat="1" hidden="1" outlineLevel="1" x14ac:dyDescent="0.25">
      <c r="A17" s="50"/>
      <c r="B17" s="11" t="str">
        <f>CONCATENATE("          ", "4085", " - ", "TAXABLE SALES-SOFTWARE")</f>
        <v xml:space="preserve">          4085 - TAXABLE SALES-SOFTWARE</v>
      </c>
      <c r="C17" s="11"/>
      <c r="D17" s="2">
        <f>--493.95</f>
        <v>493.95</v>
      </c>
      <c r="E17" s="2"/>
      <c r="F17" s="22"/>
      <c r="G17" s="2"/>
      <c r="H17" s="2">
        <f>--816</f>
        <v>816</v>
      </c>
      <c r="I17" s="2"/>
      <c r="J17" s="22"/>
      <c r="K17" s="2"/>
      <c r="L17" s="2">
        <f t="shared" si="0"/>
        <v>-322.05</v>
      </c>
      <c r="M17" s="2"/>
      <c r="N17" s="22">
        <f t="shared" si="1"/>
        <v>-0.39466911764705886</v>
      </c>
      <c r="O17" s="11"/>
      <c r="P17" s="2">
        <f>--493.95</f>
        <v>493.95</v>
      </c>
      <c r="Q17" s="2"/>
      <c r="R17" s="22"/>
      <c r="S17" s="2"/>
      <c r="T17" s="2">
        <f>--816</f>
        <v>816</v>
      </c>
      <c r="U17" s="2"/>
      <c r="V17" s="22"/>
      <c r="W17" s="2"/>
      <c r="X17" s="2">
        <f t="shared" si="2"/>
        <v>-322.05</v>
      </c>
      <c r="Y17" s="2"/>
      <c r="Z17" s="22">
        <f t="shared" si="3"/>
        <v>-0.39466911764705886</v>
      </c>
    </row>
    <row r="18" spans="1:26" s="24" customFormat="1" hidden="1" outlineLevel="1" x14ac:dyDescent="0.25">
      <c r="A18" s="50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--1980.33</f>
        <v>1980.33</v>
      </c>
      <c r="E18" s="2"/>
      <c r="F18" s="22"/>
      <c r="G18" s="2"/>
      <c r="H18" s="2">
        <f>--4470.43</f>
        <v>4470.43</v>
      </c>
      <c r="I18" s="2"/>
      <c r="J18" s="22"/>
      <c r="K18" s="2"/>
      <c r="L18" s="2">
        <f t="shared" si="0"/>
        <v>-2490.1000000000004</v>
      </c>
      <c r="M18" s="2"/>
      <c r="N18" s="22">
        <f t="shared" si="1"/>
        <v>-0.55701576805810626</v>
      </c>
      <c r="O18" s="11"/>
      <c r="P18" s="2">
        <f>--1980.33</f>
        <v>1980.33</v>
      </c>
      <c r="Q18" s="2"/>
      <c r="R18" s="22"/>
      <c r="S18" s="2"/>
      <c r="T18" s="2">
        <f>--4470.43</f>
        <v>4470.43</v>
      </c>
      <c r="U18" s="2"/>
      <c r="V18" s="22"/>
      <c r="W18" s="2"/>
      <c r="X18" s="2">
        <f t="shared" si="2"/>
        <v>-2490.1000000000004</v>
      </c>
      <c r="Y18" s="2"/>
      <c r="Z18" s="22">
        <f t="shared" si="3"/>
        <v>-0.55701576805810626</v>
      </c>
    </row>
    <row r="19" spans="1:26" s="24" customFormat="1" hidden="1" outlineLevel="1" x14ac:dyDescent="0.25">
      <c r="A19" s="50"/>
      <c r="B19" s="11" t="str">
        <f>CONCATENATE("          ", "4088", " - ", "TAXABLE SALES-MUSIC")</f>
        <v xml:space="preserve">          4088 - TAXABLE SALES-MUSIC</v>
      </c>
      <c r="C19" s="11"/>
      <c r="D19" s="2">
        <f>--258.99</f>
        <v>258.99</v>
      </c>
      <c r="E19" s="2"/>
      <c r="F19" s="22"/>
      <c r="G19" s="2"/>
      <c r="H19" s="2">
        <f>--330.99</f>
        <v>330.99</v>
      </c>
      <c r="I19" s="2"/>
      <c r="J19" s="22"/>
      <c r="K19" s="2"/>
      <c r="L19" s="2">
        <f t="shared" si="0"/>
        <v>-72</v>
      </c>
      <c r="M19" s="2"/>
      <c r="N19" s="22">
        <f t="shared" si="1"/>
        <v>-0.21752923049034714</v>
      </c>
      <c r="O19" s="11"/>
      <c r="P19" s="2">
        <f>--258.99</f>
        <v>258.99</v>
      </c>
      <c r="Q19" s="2"/>
      <c r="R19" s="22"/>
      <c r="S19" s="2"/>
      <c r="T19" s="2">
        <f>--330.99</f>
        <v>330.99</v>
      </c>
      <c r="U19" s="2"/>
      <c r="V19" s="22"/>
      <c r="W19" s="2"/>
      <c r="X19" s="2">
        <f t="shared" si="2"/>
        <v>-72</v>
      </c>
      <c r="Y19" s="2"/>
      <c r="Z19" s="22">
        <f t="shared" si="3"/>
        <v>-0.21752923049034714</v>
      </c>
    </row>
    <row r="20" spans="1:26" s="24" customFormat="1" hidden="1" outlineLevel="1" x14ac:dyDescent="0.25">
      <c r="A20" s="50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--1302.61</f>
        <v>1302.6099999999999</v>
      </c>
      <c r="E20" s="2"/>
      <c r="F20" s="22"/>
      <c r="G20" s="2"/>
      <c r="H20" s="2">
        <f>--194.02</f>
        <v>194.02</v>
      </c>
      <c r="I20" s="2"/>
      <c r="J20" s="22"/>
      <c r="K20" s="2"/>
      <c r="L20" s="2">
        <f t="shared" si="0"/>
        <v>1108.5899999999999</v>
      </c>
      <c r="M20" s="2"/>
      <c r="N20" s="22">
        <f t="shared" si="1"/>
        <v>5.7137923925368508</v>
      </c>
      <c r="O20" s="11"/>
      <c r="P20" s="2">
        <f>--1302.61</f>
        <v>1302.6099999999999</v>
      </c>
      <c r="Q20" s="2"/>
      <c r="R20" s="22"/>
      <c r="S20" s="2"/>
      <c r="T20" s="2">
        <f>--194.02</f>
        <v>194.02</v>
      </c>
      <c r="U20" s="2"/>
      <c r="V20" s="22"/>
      <c r="W20" s="2"/>
      <c r="X20" s="2">
        <f t="shared" si="2"/>
        <v>1108.5899999999999</v>
      </c>
      <c r="Y20" s="2"/>
      <c r="Z20" s="22">
        <f t="shared" si="3"/>
        <v>5.7137923925368508</v>
      </c>
    </row>
    <row r="21" spans="1:26" s="24" customFormat="1" hidden="1" outlineLevel="1" x14ac:dyDescent="0.25">
      <c r="A21" s="50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--10618</f>
        <v>10618</v>
      </c>
      <c r="E21" s="2"/>
      <c r="F21" s="22"/>
      <c r="G21" s="2"/>
      <c r="H21" s="2">
        <f>--31126.98</f>
        <v>31126.98</v>
      </c>
      <c r="I21" s="2"/>
      <c r="J21" s="22"/>
      <c r="K21" s="2"/>
      <c r="L21" s="2">
        <f t="shared" si="0"/>
        <v>-20508.98</v>
      </c>
      <c r="M21" s="2"/>
      <c r="N21" s="22">
        <f t="shared" si="1"/>
        <v>-0.65888113784247615</v>
      </c>
      <c r="O21" s="11"/>
      <c r="P21" s="2">
        <f>--10618</f>
        <v>10618</v>
      </c>
      <c r="Q21" s="2"/>
      <c r="R21" s="22"/>
      <c r="S21" s="2"/>
      <c r="T21" s="2">
        <f>--31126.98</f>
        <v>31126.98</v>
      </c>
      <c r="U21" s="2"/>
      <c r="V21" s="22"/>
      <c r="W21" s="2"/>
      <c r="X21" s="2">
        <f t="shared" si="2"/>
        <v>-20508.98</v>
      </c>
      <c r="Y21" s="2"/>
      <c r="Z21" s="22">
        <f t="shared" si="3"/>
        <v>-0.65888113784247615</v>
      </c>
    </row>
    <row r="22" spans="1:26" s="24" customFormat="1" hidden="1" outlineLevel="1" x14ac:dyDescent="0.25">
      <c r="A22" s="50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--181.9</f>
        <v>181.9</v>
      </c>
      <c r="E22" s="2"/>
      <c r="F22" s="22"/>
      <c r="G22" s="2"/>
      <c r="H22" s="2">
        <f>--188.95</f>
        <v>188.95</v>
      </c>
      <c r="I22" s="2"/>
      <c r="J22" s="22"/>
      <c r="K22" s="2"/>
      <c r="L22" s="2">
        <f t="shared" si="0"/>
        <v>-7.0499999999999829</v>
      </c>
      <c r="M22" s="2"/>
      <c r="N22" s="22">
        <f t="shared" si="1"/>
        <v>-3.7311458057687132E-2</v>
      </c>
      <c r="O22" s="11"/>
      <c r="P22" s="2">
        <f>--181.9</f>
        <v>181.9</v>
      </c>
      <c r="Q22" s="2"/>
      <c r="R22" s="22"/>
      <c r="S22" s="2"/>
      <c r="T22" s="2">
        <f>--188.95</f>
        <v>188.95</v>
      </c>
      <c r="U22" s="2"/>
      <c r="V22" s="22"/>
      <c r="W22" s="2"/>
      <c r="X22" s="2">
        <f t="shared" si="2"/>
        <v>-7.0499999999999829</v>
      </c>
      <c r="Y22" s="2"/>
      <c r="Z22" s="22">
        <f t="shared" si="3"/>
        <v>-3.7311458057687132E-2</v>
      </c>
    </row>
    <row r="23" spans="1:26" s="24" customFormat="1" hidden="1" outlineLevel="1" x14ac:dyDescent="0.25">
      <c r="A23" s="50"/>
      <c r="B23" s="11" t="str">
        <f>CONCATENATE("          ", "4185", " - ", "NON-TAXABLE SALES-SOFTWARE")</f>
        <v xml:space="preserve">          4185 - NON-TAXABLE SALES-SOFTWARE</v>
      </c>
      <c r="C23" s="11"/>
      <c r="D23" s="2">
        <f>--752</f>
        <v>752</v>
      </c>
      <c r="E23" s="2"/>
      <c r="F23" s="22"/>
      <c r="G23" s="2"/>
      <c r="H23" s="2">
        <f>--768.98</f>
        <v>768.98</v>
      </c>
      <c r="I23" s="2"/>
      <c r="J23" s="22"/>
      <c r="K23" s="2"/>
      <c r="L23" s="2">
        <f t="shared" si="0"/>
        <v>-16.980000000000018</v>
      </c>
      <c r="M23" s="2"/>
      <c r="N23" s="22">
        <f t="shared" si="1"/>
        <v>-2.2081198470701471E-2</v>
      </c>
      <c r="O23" s="11"/>
      <c r="P23" s="2">
        <f>--752</f>
        <v>752</v>
      </c>
      <c r="Q23" s="2"/>
      <c r="R23" s="22"/>
      <c r="S23" s="2"/>
      <c r="T23" s="2">
        <f>--768.98</f>
        <v>768.98</v>
      </c>
      <c r="U23" s="2"/>
      <c r="V23" s="22"/>
      <c r="W23" s="2"/>
      <c r="X23" s="2">
        <f t="shared" si="2"/>
        <v>-16.980000000000018</v>
      </c>
      <c r="Y23" s="2"/>
      <c r="Z23" s="22">
        <f t="shared" si="3"/>
        <v>-2.2081198470701471E-2</v>
      </c>
    </row>
    <row r="24" spans="1:26" s="24" customFormat="1" hidden="1" outlineLevel="1" x14ac:dyDescent="0.25">
      <c r="A24" s="50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--79.97</f>
        <v>79.97</v>
      </c>
      <c r="E24" s="2"/>
      <c r="F24" s="22"/>
      <c r="G24" s="2"/>
      <c r="H24" s="2">
        <f>--839.23</f>
        <v>839.23</v>
      </c>
      <c r="I24" s="2"/>
      <c r="J24" s="22"/>
      <c r="K24" s="2"/>
      <c r="L24" s="2">
        <f t="shared" si="0"/>
        <v>-759.26</v>
      </c>
      <c r="M24" s="2"/>
      <c r="N24" s="22">
        <f t="shared" si="1"/>
        <v>-0.90471027012857019</v>
      </c>
      <c r="O24" s="11"/>
      <c r="P24" s="2">
        <f>--79.97</f>
        <v>79.97</v>
      </c>
      <c r="Q24" s="2"/>
      <c r="R24" s="22"/>
      <c r="S24" s="2"/>
      <c r="T24" s="2">
        <f>--839.23</f>
        <v>839.23</v>
      </c>
      <c r="U24" s="2"/>
      <c r="V24" s="22"/>
      <c r="W24" s="2"/>
      <c r="X24" s="2">
        <f t="shared" si="2"/>
        <v>-759.26</v>
      </c>
      <c r="Y24" s="2"/>
      <c r="Z24" s="22">
        <f t="shared" si="3"/>
        <v>-0.90471027012857019</v>
      </c>
    </row>
    <row r="25" spans="1:26" s="24" customFormat="1" hidden="1" outlineLevel="1" x14ac:dyDescent="0.25">
      <c r="A25" s="50"/>
      <c r="B25" s="11" t="str">
        <f>CONCATENATE("          ", "4188", " - ", "NON-TAXABLE SALES-MUSIC")</f>
        <v xml:space="preserve">          4188 - NON-TAXABLE SALES-MUSIC</v>
      </c>
      <c r="C25" s="11"/>
      <c r="D25" s="2">
        <f>--99.98</f>
        <v>99.98</v>
      </c>
      <c r="E25" s="2"/>
      <c r="F25" s="22"/>
      <c r="G25" s="2"/>
      <c r="H25" s="2">
        <f>--199.98</f>
        <v>199.98</v>
      </c>
      <c r="I25" s="2"/>
      <c r="J25" s="22"/>
      <c r="K25" s="2"/>
      <c r="L25" s="2">
        <f t="shared" si="0"/>
        <v>-99.999999999999986</v>
      </c>
      <c r="M25" s="2"/>
      <c r="N25" s="22">
        <f t="shared" si="1"/>
        <v>-0.50005000500050001</v>
      </c>
      <c r="O25" s="11"/>
      <c r="P25" s="2">
        <f>--99.98</f>
        <v>99.98</v>
      </c>
      <c r="Q25" s="2"/>
      <c r="R25" s="22"/>
      <c r="S25" s="2"/>
      <c r="T25" s="2">
        <f>--199.98</f>
        <v>199.98</v>
      </c>
      <c r="U25" s="2"/>
      <c r="V25" s="22"/>
      <c r="W25" s="2"/>
      <c r="X25" s="2">
        <f t="shared" si="2"/>
        <v>-99.999999999999986</v>
      </c>
      <c r="Y25" s="2"/>
      <c r="Z25" s="22">
        <f t="shared" si="3"/>
        <v>-0.50005000500050001</v>
      </c>
    </row>
    <row r="26" spans="1:26" s="24" customFormat="1" hidden="1" outlineLevel="1" x14ac:dyDescent="0.25">
      <c r="A26" s="50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>-1658.99</f>
        <v>-1658.99</v>
      </c>
      <c r="E26" s="2"/>
      <c r="F26" s="22"/>
      <c r="G26" s="2"/>
      <c r="H26" s="2">
        <f>-329.94</f>
        <v>-329.94</v>
      </c>
      <c r="I26" s="2"/>
      <c r="J26" s="22"/>
      <c r="K26" s="2"/>
      <c r="L26" s="2">
        <f t="shared" si="0"/>
        <v>-1329.05</v>
      </c>
      <c r="M26" s="2"/>
      <c r="N26" s="22">
        <f t="shared" si="1"/>
        <v>4.0281566345396129</v>
      </c>
      <c r="O26" s="11"/>
      <c r="P26" s="2">
        <f>-1658.99</f>
        <v>-1658.99</v>
      </c>
      <c r="Q26" s="2"/>
      <c r="R26" s="22"/>
      <c r="S26" s="2"/>
      <c r="T26" s="2">
        <f>-329.94</f>
        <v>-329.94</v>
      </c>
      <c r="U26" s="2"/>
      <c r="V26" s="22"/>
      <c r="W26" s="2"/>
      <c r="X26" s="2">
        <f t="shared" si="2"/>
        <v>-1329.05</v>
      </c>
      <c r="Y26" s="2"/>
      <c r="Z26" s="22">
        <f t="shared" si="3"/>
        <v>4.0281566345396129</v>
      </c>
    </row>
    <row r="27" spans="1:26" s="24" customFormat="1" hidden="1" outlineLevel="1" x14ac:dyDescent="0.25">
      <c r="A27" s="50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>-70341.06</f>
        <v>-70341.06</v>
      </c>
      <c r="E27" s="2"/>
      <c r="F27" s="22"/>
      <c r="G27" s="2"/>
      <c r="H27" s="2">
        <f>-8151</f>
        <v>-8151</v>
      </c>
      <c r="I27" s="2"/>
      <c r="J27" s="22"/>
      <c r="K27" s="2"/>
      <c r="L27" s="2">
        <f t="shared" si="0"/>
        <v>-62190.06</v>
      </c>
      <c r="M27" s="2"/>
      <c r="N27" s="22">
        <f t="shared" si="1"/>
        <v>7.629746043430254</v>
      </c>
      <c r="O27" s="11"/>
      <c r="P27" s="2">
        <f>-70341.06</f>
        <v>-70341.06</v>
      </c>
      <c r="Q27" s="2"/>
      <c r="R27" s="22"/>
      <c r="S27" s="2"/>
      <c r="T27" s="2">
        <f>-8151</f>
        <v>-8151</v>
      </c>
      <c r="U27" s="2"/>
      <c r="V27" s="22"/>
      <c r="W27" s="2"/>
      <c r="X27" s="2">
        <f t="shared" si="2"/>
        <v>-62190.06</v>
      </c>
      <c r="Y27" s="2"/>
      <c r="Z27" s="22">
        <f t="shared" si="3"/>
        <v>7.629746043430254</v>
      </c>
    </row>
    <row r="28" spans="1:26" s="24" customFormat="1" hidden="1" outlineLevel="1" x14ac:dyDescent="0.25">
      <c r="A28" s="50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>-226.8</f>
        <v>-226.8</v>
      </c>
      <c r="E28" s="2"/>
      <c r="F28" s="22"/>
      <c r="G28" s="2"/>
      <c r="H28" s="2">
        <f>-207.9</f>
        <v>-207.9</v>
      </c>
      <c r="I28" s="2"/>
      <c r="J28" s="22"/>
      <c r="K28" s="2"/>
      <c r="L28" s="2">
        <f t="shared" si="0"/>
        <v>-18.900000000000006</v>
      </c>
      <c r="M28" s="2"/>
      <c r="N28" s="22">
        <f t="shared" si="1"/>
        <v>9.0909090909090939E-2</v>
      </c>
      <c r="O28" s="11"/>
      <c r="P28" s="2">
        <f>-226.8</f>
        <v>-226.8</v>
      </c>
      <c r="Q28" s="2"/>
      <c r="R28" s="22"/>
      <c r="S28" s="2"/>
      <c r="T28" s="2">
        <f>-207.9</f>
        <v>-207.9</v>
      </c>
      <c r="U28" s="2"/>
      <c r="V28" s="22"/>
      <c r="W28" s="2"/>
      <c r="X28" s="2">
        <f t="shared" si="2"/>
        <v>-18.900000000000006</v>
      </c>
      <c r="Y28" s="2"/>
      <c r="Z28" s="22">
        <f t="shared" si="3"/>
        <v>9.0909090909090939E-2</v>
      </c>
    </row>
    <row r="29" spans="1:26" s="24" customFormat="1" hidden="1" outlineLevel="1" x14ac:dyDescent="0.25">
      <c r="A29" s="50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>-406.99</f>
        <v>-406.99</v>
      </c>
      <c r="E29" s="2"/>
      <c r="F29" s="22"/>
      <c r="G29" s="2"/>
      <c r="H29" s="2">
        <f>0</f>
        <v>0</v>
      </c>
      <c r="I29" s="2"/>
      <c r="J29" s="22"/>
      <c r="K29" s="2"/>
      <c r="L29" s="2">
        <f t="shared" si="0"/>
        <v>-406.99</v>
      </c>
      <c r="M29" s="2"/>
      <c r="N29" s="22">
        <f t="shared" si="1"/>
        <v>0</v>
      </c>
      <c r="O29" s="11"/>
      <c r="P29" s="2">
        <f>-406.99</f>
        <v>-406.99</v>
      </c>
      <c r="Q29" s="2"/>
      <c r="R29" s="22"/>
      <c r="S29" s="2"/>
      <c r="T29" s="2">
        <f>0</f>
        <v>0</v>
      </c>
      <c r="U29" s="2"/>
      <c r="V29" s="22"/>
      <c r="W29" s="2"/>
      <c r="X29" s="2">
        <f t="shared" si="2"/>
        <v>-406.99</v>
      </c>
      <c r="Y29" s="2"/>
      <c r="Z29" s="22">
        <f t="shared" si="3"/>
        <v>0</v>
      </c>
    </row>
    <row r="30" spans="1:26" s="24" customFormat="1" hidden="1" outlineLevel="1" x14ac:dyDescent="0.25">
      <c r="A30" s="50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>-545.95</f>
        <v>-545.95000000000005</v>
      </c>
      <c r="E30" s="2"/>
      <c r="F30" s="22"/>
      <c r="G30" s="2"/>
      <c r="H30" s="2">
        <f>-44.97</f>
        <v>-44.97</v>
      </c>
      <c r="I30" s="2"/>
      <c r="J30" s="22"/>
      <c r="K30" s="2"/>
      <c r="L30" s="2">
        <f t="shared" si="0"/>
        <v>-500.98</v>
      </c>
      <c r="M30" s="2"/>
      <c r="N30" s="22">
        <f t="shared" si="1"/>
        <v>11.140315766066267</v>
      </c>
      <c r="O30" s="11"/>
      <c r="P30" s="2">
        <f>-545.95</f>
        <v>-545.95000000000005</v>
      </c>
      <c r="Q30" s="2"/>
      <c r="R30" s="22"/>
      <c r="S30" s="2"/>
      <c r="T30" s="2">
        <f>-44.97</f>
        <v>-44.97</v>
      </c>
      <c r="U30" s="2"/>
      <c r="V30" s="22"/>
      <c r="W30" s="2"/>
      <c r="X30" s="2">
        <f t="shared" si="2"/>
        <v>-500.98</v>
      </c>
      <c r="Y30" s="2"/>
      <c r="Z30" s="22">
        <f t="shared" si="3"/>
        <v>11.140315766066267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342320.18999999994</v>
      </c>
      <c r="E32" s="4"/>
      <c r="F32" s="12">
        <f t="shared" ref="F32:F41" si="4">IF(D$12=0,0,D32/D$12)</f>
        <v>0.9243468732307516</v>
      </c>
      <c r="G32" s="4"/>
      <c r="H32" s="4">
        <f>SUM(OSRRefH16x_0)</f>
        <v>370827.5</v>
      </c>
      <c r="I32" s="4"/>
      <c r="J32" s="12">
        <f t="shared" ref="J32:J41" si="5">IF(H$12=0,0,H32/H$12)</f>
        <v>0.87007664177950239</v>
      </c>
      <c r="K32" s="4"/>
      <c r="L32" s="4">
        <f t="shared" ref="L32:L41" si="6">+D32-H32</f>
        <v>-28507.310000000056</v>
      </c>
      <c r="M32" s="4"/>
      <c r="N32" s="12">
        <f t="shared" ref="N32:N41" si="7">IF(H32=0,0,L32/H32)</f>
        <v>-7.6874854211189989E-2</v>
      </c>
      <c r="O32" s="10"/>
      <c r="P32" s="4">
        <f>SUM(OSRRefP16x_0)</f>
        <v>342320.18999999994</v>
      </c>
      <c r="Q32" s="4"/>
      <c r="R32" s="12">
        <f t="shared" ref="R32:R41" si="8">IF(P$12=0,0,P32/P$12)</f>
        <v>0.9243468732307516</v>
      </c>
      <c r="S32" s="4"/>
      <c r="T32" s="4">
        <f>SUM(OSRRefT16x_0)</f>
        <v>370827.5</v>
      </c>
      <c r="U32" s="4"/>
      <c r="V32" s="12">
        <f t="shared" ref="V32:V41" si="9">IF(T$12=0,0,T32/T$12)</f>
        <v>0.87007664177950239</v>
      </c>
      <c r="W32" s="4"/>
      <c r="X32" s="4">
        <f t="shared" ref="X32:X41" si="10">+P32-T32</f>
        <v>-28507.310000000056</v>
      </c>
      <c r="Y32" s="4"/>
      <c r="Z32" s="12">
        <f t="shared" ref="Z32:Z41" si="11">IF(T32=0,0,X32/T32)</f>
        <v>-7.6874854211189989E-2</v>
      </c>
    </row>
    <row r="33" spans="1:26" s="24" customFormat="1" hidden="1" outlineLevel="1" x14ac:dyDescent="0.25">
      <c r="A33" s="50"/>
      <c r="B33" s="11" t="str">
        <f>CONCATENATE("          ", "5081", " - ", "PURCHASES @ COST-ELECTRONICS")</f>
        <v xml:space="preserve">          5081 - PURCHASES @ COST-ELECTRONICS</v>
      </c>
      <c r="C33" s="11"/>
      <c r="D33" s="2">
        <v>66058.349999999991</v>
      </c>
      <c r="E33" s="2"/>
      <c r="F33" s="22">
        <f t="shared" si="4"/>
        <v>0.17837343825172164</v>
      </c>
      <c r="G33" s="2"/>
      <c r="H33" s="2">
        <v>57011.689999999995</v>
      </c>
      <c r="I33" s="2"/>
      <c r="J33" s="22">
        <f t="shared" si="5"/>
        <v>0.1337671552874963</v>
      </c>
      <c r="K33" s="2"/>
      <c r="L33" s="2">
        <f t="shared" si="6"/>
        <v>9046.6599999999962</v>
      </c>
      <c r="M33" s="2"/>
      <c r="N33" s="22">
        <f t="shared" si="7"/>
        <v>0.15868078985204609</v>
      </c>
      <c r="O33" s="11"/>
      <c r="P33" s="2">
        <v>66058.349999999991</v>
      </c>
      <c r="Q33" s="2"/>
      <c r="R33" s="22">
        <f t="shared" si="8"/>
        <v>0.17837343825172164</v>
      </c>
      <c r="S33" s="2"/>
      <c r="T33" s="2">
        <v>57011.689999999995</v>
      </c>
      <c r="U33" s="2"/>
      <c r="V33" s="22">
        <f t="shared" si="9"/>
        <v>0.1337671552874963</v>
      </c>
      <c r="W33" s="2"/>
      <c r="X33" s="2">
        <f t="shared" si="10"/>
        <v>9046.6599999999962</v>
      </c>
      <c r="Y33" s="2"/>
      <c r="Z33" s="22">
        <f t="shared" si="11"/>
        <v>0.15868078985204609</v>
      </c>
    </row>
    <row r="34" spans="1:26" s="24" customFormat="1" hidden="1" outlineLevel="1" x14ac:dyDescent="0.25">
      <c r="A34" s="50"/>
      <c r="B34" s="11" t="str">
        <f>CONCATENATE("          ", "5082", " - ", "PURCHASES @ COST-COMPUTER HARD")</f>
        <v xml:space="preserve">          5082 - PURCHASES @ COST-COMPUTER HARD</v>
      </c>
      <c r="C34" s="11"/>
      <c r="D34" s="2">
        <v>356559.97</v>
      </c>
      <c r="E34" s="2"/>
      <c r="F34" s="22">
        <f t="shared" si="4"/>
        <v>0.96279770523833441</v>
      </c>
      <c r="G34" s="2"/>
      <c r="H34" s="2">
        <v>295854.32</v>
      </c>
      <c r="I34" s="2"/>
      <c r="J34" s="22">
        <f t="shared" si="5"/>
        <v>0.69416624495636992</v>
      </c>
      <c r="K34" s="2"/>
      <c r="L34" s="2">
        <f t="shared" si="6"/>
        <v>60705.649999999965</v>
      </c>
      <c r="M34" s="2"/>
      <c r="N34" s="22">
        <f t="shared" si="7"/>
        <v>0.20518764099844802</v>
      </c>
      <c r="O34" s="11"/>
      <c r="P34" s="2">
        <v>356559.97</v>
      </c>
      <c r="Q34" s="2"/>
      <c r="R34" s="22">
        <f t="shared" si="8"/>
        <v>0.96279770523833441</v>
      </c>
      <c r="S34" s="2"/>
      <c r="T34" s="2">
        <v>295854.32</v>
      </c>
      <c r="U34" s="2"/>
      <c r="V34" s="22">
        <f t="shared" si="9"/>
        <v>0.69416624495636992</v>
      </c>
      <c r="W34" s="2"/>
      <c r="X34" s="2">
        <f t="shared" si="10"/>
        <v>60705.649999999965</v>
      </c>
      <c r="Y34" s="2"/>
      <c r="Z34" s="22">
        <f t="shared" si="11"/>
        <v>0.20518764099844802</v>
      </c>
    </row>
    <row r="35" spans="1:26" s="24" customFormat="1" hidden="1" outlineLevel="1" x14ac:dyDescent="0.25">
      <c r="A35" s="50"/>
      <c r="B35" s="11" t="str">
        <f>CONCATENATE("          ", "5083", " - ", "PURCHASES @ COST-COMPUTER EQUI")</f>
        <v xml:space="preserve">          5083 - PURCHASES @ COST-COMPUTER EQUI</v>
      </c>
      <c r="C35" s="11"/>
      <c r="D35" s="2">
        <v>7276.14</v>
      </c>
      <c r="E35" s="2"/>
      <c r="F35" s="22">
        <f t="shared" si="4"/>
        <v>1.9647328596625289E-2</v>
      </c>
      <c r="G35" s="2"/>
      <c r="H35" s="2">
        <v>6882.6</v>
      </c>
      <c r="I35" s="2"/>
      <c r="J35" s="22">
        <f t="shared" si="5"/>
        <v>1.6148720077965101E-2</v>
      </c>
      <c r="K35" s="2"/>
      <c r="L35" s="2">
        <f t="shared" si="6"/>
        <v>393.53999999999996</v>
      </c>
      <c r="M35" s="2"/>
      <c r="N35" s="22">
        <f t="shared" si="7"/>
        <v>5.7178973062505439E-2</v>
      </c>
      <c r="O35" s="11"/>
      <c r="P35" s="2">
        <v>7276.14</v>
      </c>
      <c r="Q35" s="2"/>
      <c r="R35" s="22">
        <f t="shared" si="8"/>
        <v>1.9647328596625289E-2</v>
      </c>
      <c r="S35" s="2"/>
      <c r="T35" s="2">
        <v>6882.6</v>
      </c>
      <c r="U35" s="2"/>
      <c r="V35" s="22">
        <f t="shared" si="9"/>
        <v>1.6148720077965101E-2</v>
      </c>
      <c r="W35" s="2"/>
      <c r="X35" s="2">
        <f t="shared" si="10"/>
        <v>393.53999999999996</v>
      </c>
      <c r="Y35" s="2"/>
      <c r="Z35" s="22">
        <f t="shared" si="11"/>
        <v>5.7178973062505439E-2</v>
      </c>
    </row>
    <row r="36" spans="1:26" s="24" customFormat="1" hidden="1" outlineLevel="1" x14ac:dyDescent="0.25">
      <c r="A36" s="50"/>
      <c r="B36" s="11" t="str">
        <f>CONCATENATE("          ", "5086", " - ", "PURCHASES @ COST-COMPUTER SUPP")</f>
        <v xml:space="preserve">          5086 - PURCHASES @ COST-COMPUTER SUPP</v>
      </c>
      <c r="C36" s="11"/>
      <c r="D36" s="2">
        <v>3427.07</v>
      </c>
      <c r="E36" s="2"/>
      <c r="F36" s="22">
        <f t="shared" si="4"/>
        <v>9.2539135329497008E-3</v>
      </c>
      <c r="G36" s="2"/>
      <c r="H36" s="2">
        <v>6502.32</v>
      </c>
      <c r="I36" s="2"/>
      <c r="J36" s="22">
        <f t="shared" si="5"/>
        <v>1.5256464931472704E-2</v>
      </c>
      <c r="K36" s="2"/>
      <c r="L36" s="2">
        <f t="shared" si="6"/>
        <v>-3075.2499999999995</v>
      </c>
      <c r="M36" s="2"/>
      <c r="N36" s="22">
        <f t="shared" si="7"/>
        <v>-0.4729465790671637</v>
      </c>
      <c r="O36" s="11"/>
      <c r="P36" s="2">
        <v>3427.07</v>
      </c>
      <c r="Q36" s="2"/>
      <c r="R36" s="22">
        <f t="shared" si="8"/>
        <v>9.2539135329497008E-3</v>
      </c>
      <c r="S36" s="2"/>
      <c r="T36" s="2">
        <v>6502.32</v>
      </c>
      <c r="U36" s="2"/>
      <c r="V36" s="22">
        <f t="shared" si="9"/>
        <v>1.5256464931472704E-2</v>
      </c>
      <c r="W36" s="2"/>
      <c r="X36" s="2">
        <f t="shared" si="10"/>
        <v>-3075.2499999999995</v>
      </c>
      <c r="Y36" s="2"/>
      <c r="Z36" s="22">
        <f t="shared" si="11"/>
        <v>-0.4729465790671637</v>
      </c>
    </row>
    <row r="37" spans="1:26" s="24" customFormat="1" hidden="1" outlineLevel="1" x14ac:dyDescent="0.25">
      <c r="A37" s="50"/>
      <c r="B37" s="11" t="str">
        <f>CONCATENATE("          ", "5088", " - ", "PURCHASES @ COST-MUSIC")</f>
        <v xml:space="preserve">          5088 - PURCHASES @ COST-MUSIC</v>
      </c>
      <c r="C37" s="11"/>
      <c r="D37" s="2">
        <v>82</v>
      </c>
      <c r="E37" s="2"/>
      <c r="F37" s="22">
        <f t="shared" si="4"/>
        <v>2.2141972871924862E-4</v>
      </c>
      <c r="G37" s="2"/>
      <c r="H37" s="2">
        <v>244.86</v>
      </c>
      <c r="I37" s="2"/>
      <c r="J37" s="22">
        <f t="shared" si="5"/>
        <v>5.7451771108164569E-4</v>
      </c>
      <c r="K37" s="2"/>
      <c r="L37" s="2">
        <f t="shared" si="6"/>
        <v>-162.86000000000001</v>
      </c>
      <c r="M37" s="2"/>
      <c r="N37" s="22">
        <f t="shared" si="7"/>
        <v>-0.66511475945438214</v>
      </c>
      <c r="O37" s="11"/>
      <c r="P37" s="2">
        <v>82</v>
      </c>
      <c r="Q37" s="2"/>
      <c r="R37" s="22">
        <f t="shared" si="8"/>
        <v>2.2141972871924862E-4</v>
      </c>
      <c r="S37" s="2"/>
      <c r="T37" s="2">
        <v>244.86</v>
      </c>
      <c r="U37" s="2"/>
      <c r="V37" s="22">
        <f t="shared" si="9"/>
        <v>5.7451771108164569E-4</v>
      </c>
      <c r="W37" s="2"/>
      <c r="X37" s="2">
        <f t="shared" si="10"/>
        <v>-162.86000000000001</v>
      </c>
      <c r="Y37" s="2"/>
      <c r="Z37" s="22">
        <f t="shared" si="11"/>
        <v>-0.66511475945438214</v>
      </c>
    </row>
    <row r="38" spans="1:26" s="24" customFormat="1" hidden="1" outlineLevel="1" x14ac:dyDescent="0.25">
      <c r="A38" s="50"/>
      <c r="B38" s="11" t="str">
        <f>CONCATENATE("          ", "5200", " - ", "PURCHASES OFFSET")</f>
        <v xml:space="preserve">          5200 - PURCHASES OFFSET</v>
      </c>
      <c r="C38" s="11"/>
      <c r="D38" s="2">
        <v>-433440</v>
      </c>
      <c r="E38" s="2"/>
      <c r="F38" s="22">
        <f t="shared" si="4"/>
        <v>-1.1703922831228186</v>
      </c>
      <c r="G38" s="2"/>
      <c r="H38" s="2">
        <v>-366517</v>
      </c>
      <c r="I38" s="2"/>
      <c r="J38" s="22">
        <f t="shared" si="5"/>
        <v>-0.85996286822066292</v>
      </c>
      <c r="K38" s="2"/>
      <c r="L38" s="2">
        <f t="shared" si="6"/>
        <v>-66923</v>
      </c>
      <c r="M38" s="2"/>
      <c r="N38" s="22">
        <f t="shared" si="7"/>
        <v>0.18259180338156211</v>
      </c>
      <c r="O38" s="11"/>
      <c r="P38" s="2">
        <v>-433440</v>
      </c>
      <c r="Q38" s="2"/>
      <c r="R38" s="22">
        <f t="shared" si="8"/>
        <v>-1.1703922831228186</v>
      </c>
      <c r="S38" s="2"/>
      <c r="T38" s="2">
        <v>-366517</v>
      </c>
      <c r="U38" s="2"/>
      <c r="V38" s="22">
        <f t="shared" si="9"/>
        <v>-0.85996286822066292</v>
      </c>
      <c r="W38" s="2"/>
      <c r="X38" s="2">
        <f t="shared" si="10"/>
        <v>-66923</v>
      </c>
      <c r="Y38" s="2"/>
      <c r="Z38" s="22">
        <f t="shared" si="11"/>
        <v>0.18259180338156211</v>
      </c>
    </row>
    <row r="39" spans="1:26" s="24" customFormat="1" hidden="1" outlineLevel="1" x14ac:dyDescent="0.25">
      <c r="A39" s="50"/>
      <c r="B39" s="11" t="str">
        <f>CONCATENATE("          ", "5300", " - ", "COG$ OFFSET")</f>
        <v xml:space="preserve">          5300 - COG$ OFFSET</v>
      </c>
      <c r="C39" s="11"/>
      <c r="D39" s="2">
        <v>342320</v>
      </c>
      <c r="E39" s="2"/>
      <c r="F39" s="22">
        <f t="shared" si="4"/>
        <v>0.92434636018503891</v>
      </c>
      <c r="G39" s="2"/>
      <c r="H39" s="2">
        <v>370828</v>
      </c>
      <c r="I39" s="2"/>
      <c r="J39" s="22">
        <f t="shared" si="5"/>
        <v>0.87007781493500158</v>
      </c>
      <c r="K39" s="2"/>
      <c r="L39" s="2">
        <f t="shared" si="6"/>
        <v>-28508</v>
      </c>
      <c r="M39" s="2"/>
      <c r="N39" s="22">
        <f t="shared" si="7"/>
        <v>-7.6876611259128216E-2</v>
      </c>
      <c r="O39" s="11"/>
      <c r="P39" s="2">
        <v>342320</v>
      </c>
      <c r="Q39" s="2"/>
      <c r="R39" s="22">
        <f t="shared" si="8"/>
        <v>0.92434636018503891</v>
      </c>
      <c r="S39" s="2"/>
      <c r="T39" s="2">
        <v>370828</v>
      </c>
      <c r="U39" s="2"/>
      <c r="V39" s="22">
        <f t="shared" si="9"/>
        <v>0.87007781493500158</v>
      </c>
      <c r="W39" s="2"/>
      <c r="X39" s="2">
        <f t="shared" si="10"/>
        <v>-28508</v>
      </c>
      <c r="Y39" s="2"/>
      <c r="Z39" s="22">
        <f t="shared" si="11"/>
        <v>-7.6876611259128216E-2</v>
      </c>
    </row>
    <row r="40" spans="1:26" s="24" customFormat="1" hidden="1" outlineLevel="1" x14ac:dyDescent="0.25">
      <c r="A40" s="50"/>
      <c r="B40" s="11" t="str">
        <f>CONCATENATE("          ", "5583", " - ", "FREIGHT-IN-COMPUTER EQUIPMENT")</f>
        <v xml:space="preserve">          5583 - FREIGHT-IN-COMPUTER EQUIPMENT</v>
      </c>
      <c r="C40" s="11"/>
      <c r="D40" s="2">
        <v>6.99</v>
      </c>
      <c r="E40" s="2"/>
      <c r="F40" s="22">
        <f t="shared" si="4"/>
        <v>1.8874681753018875E-5</v>
      </c>
      <c r="G40" s="2"/>
      <c r="H40" s="2"/>
      <c r="I40" s="2"/>
      <c r="J40" s="22">
        <f t="shared" si="5"/>
        <v>0</v>
      </c>
      <c r="K40" s="2"/>
      <c r="L40" s="2">
        <f t="shared" si="6"/>
        <v>6.99</v>
      </c>
      <c r="M40" s="2"/>
      <c r="N40" s="22">
        <f t="shared" si="7"/>
        <v>0</v>
      </c>
      <c r="O40" s="11"/>
      <c r="P40" s="2">
        <v>6.99</v>
      </c>
      <c r="Q40" s="2"/>
      <c r="R40" s="22">
        <f t="shared" si="8"/>
        <v>1.8874681753018875E-5</v>
      </c>
      <c r="S40" s="2"/>
      <c r="T40" s="2"/>
      <c r="U40" s="2"/>
      <c r="V40" s="22">
        <f t="shared" si="9"/>
        <v>0</v>
      </c>
      <c r="W40" s="2"/>
      <c r="X40" s="2">
        <f t="shared" si="10"/>
        <v>6.99</v>
      </c>
      <c r="Y40" s="2"/>
      <c r="Z40" s="22">
        <f t="shared" si="11"/>
        <v>0</v>
      </c>
    </row>
    <row r="41" spans="1:26" s="24" customFormat="1" hidden="1" outlineLevel="1" x14ac:dyDescent="0.25">
      <c r="A41" s="50"/>
      <c r="B41" s="11" t="str">
        <f>CONCATENATE("          ", "5586", " - ", "FREIGHT-IN-COMPUTER SUPPLIES")</f>
        <v xml:space="preserve">          5586 - FREIGHT-IN-COMPUTER SUPPLIES</v>
      </c>
      <c r="C41" s="11"/>
      <c r="D41" s="2">
        <v>29.67</v>
      </c>
      <c r="E41" s="2"/>
      <c r="F41" s="22">
        <f t="shared" si="4"/>
        <v>8.0116138428050086E-5</v>
      </c>
      <c r="G41" s="2"/>
      <c r="H41" s="2">
        <v>20.71</v>
      </c>
      <c r="I41" s="2"/>
      <c r="J41" s="22">
        <f t="shared" si="5"/>
        <v>4.8592100777999191E-5</v>
      </c>
      <c r="K41" s="2"/>
      <c r="L41" s="2">
        <f t="shared" si="6"/>
        <v>8.9600000000000009</v>
      </c>
      <c r="M41" s="2"/>
      <c r="N41" s="22">
        <f t="shared" si="7"/>
        <v>0.43264123611781752</v>
      </c>
      <c r="O41" s="11"/>
      <c r="P41" s="2">
        <v>29.67</v>
      </c>
      <c r="Q41" s="2"/>
      <c r="R41" s="22">
        <f t="shared" si="8"/>
        <v>8.0116138428050086E-5</v>
      </c>
      <c r="S41" s="2"/>
      <c r="T41" s="2">
        <v>20.71</v>
      </c>
      <c r="U41" s="2"/>
      <c r="V41" s="22">
        <f t="shared" si="9"/>
        <v>4.8592100777999191E-5</v>
      </c>
      <c r="W41" s="2"/>
      <c r="X41" s="2">
        <f t="shared" si="10"/>
        <v>8.9600000000000009</v>
      </c>
      <c r="Y41" s="2"/>
      <c r="Z41" s="22">
        <f t="shared" si="11"/>
        <v>0.43264123611781752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5" t="s">
        <v>6</v>
      </c>
      <c r="C43" s="25"/>
      <c r="D43" s="21">
        <f>D12-D32</f>
        <v>28017.180000000051</v>
      </c>
      <c r="E43" s="13"/>
      <c r="F43" s="20">
        <f>IF(D$12=0,0,D43/D$12)</f>
        <v>7.5653126769248402E-2</v>
      </c>
      <c r="G43" s="13"/>
      <c r="H43" s="21">
        <f>H12-H32</f>
        <v>55373.459999999963</v>
      </c>
      <c r="I43" s="13"/>
      <c r="J43" s="20">
        <f>IF(H$12=0,0,H43/H$12)</f>
        <v>0.12992335822049761</v>
      </c>
      <c r="K43" s="16"/>
      <c r="L43" s="21">
        <f>+D43-H43</f>
        <v>-27356.279999999912</v>
      </c>
      <c r="M43" s="16"/>
      <c r="N43" s="20">
        <f>IF(H43=0,0,L43/H43)</f>
        <v>-0.49403233968041604</v>
      </c>
      <c r="O43" s="26"/>
      <c r="P43" s="21">
        <f>P12-P32</f>
        <v>28017.180000000051</v>
      </c>
      <c r="Q43" s="13"/>
      <c r="R43" s="20">
        <f>IF(P$12=0,0,P43/P$12)</f>
        <v>7.5653126769248402E-2</v>
      </c>
      <c r="S43" s="13"/>
      <c r="T43" s="21">
        <f>T12-T32</f>
        <v>55373.459999999963</v>
      </c>
      <c r="U43" s="13"/>
      <c r="V43" s="20">
        <f>IF(T$12=0,0,T43/T$12)</f>
        <v>0.12992335822049761</v>
      </c>
      <c r="W43" s="16"/>
      <c r="X43" s="21">
        <f>+P43-T43</f>
        <v>-27356.279999999912</v>
      </c>
      <c r="Y43" s="16"/>
      <c r="Z43" s="20">
        <f>IF(T43=0,0,X43/T43)</f>
        <v>-0.49403233968041604</v>
      </c>
    </row>
    <row r="44" spans="1:26" x14ac:dyDescent="0.25">
      <c r="A44" s="9"/>
      <c r="B44" s="10"/>
      <c r="C44" s="9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6" t="s">
        <v>9</v>
      </c>
      <c r="C45" s="10"/>
      <c r="D45" s="19">
        <f>SUM(OSRRefD22x_0)</f>
        <v>25028.93</v>
      </c>
      <c r="E45" s="19"/>
      <c r="F45" s="35">
        <f t="shared" ref="F45:F55" si="12">IF(D$12=0,0,D45/D$12)</f>
        <v>6.7584132813817852E-2</v>
      </c>
      <c r="G45" s="19"/>
      <c r="H45" s="19">
        <f>SUM(OSRRefH22x_0)</f>
        <v>25398.75</v>
      </c>
      <c r="I45" s="19"/>
      <c r="J45" s="35">
        <f t="shared" ref="J45:J55" si="13">IF(H$12=0,0,H45/H$12)</f>
        <v>5.9593366472004194E-2</v>
      </c>
      <c r="K45" s="4"/>
      <c r="L45" s="19">
        <f t="shared" ref="L45:L55" si="14">+D45-H45</f>
        <v>-369.81999999999971</v>
      </c>
      <c r="M45" s="4"/>
      <c r="N45" s="35">
        <f t="shared" ref="N45:N55" si="15">IF(H45=0,0,L45/H45)</f>
        <v>-1.4560559082632008E-2</v>
      </c>
      <c r="O45" s="10"/>
      <c r="P45" s="19">
        <f>SUM(OSRRefP22x_0)</f>
        <v>25028.93</v>
      </c>
      <c r="Q45" s="19"/>
      <c r="R45" s="35">
        <f t="shared" ref="R45:R55" si="16">IF(P$12=0,0,P45/P$12)</f>
        <v>6.7584132813817852E-2</v>
      </c>
      <c r="S45" s="19"/>
      <c r="T45" s="19">
        <f>SUM(OSRRefT22x_0)</f>
        <v>25398.75</v>
      </c>
      <c r="U45" s="19"/>
      <c r="V45" s="35">
        <f t="shared" ref="V45:V55" si="17">IF(T$12=0,0,T45/T$12)</f>
        <v>5.9593366472004194E-2</v>
      </c>
      <c r="W45" s="4"/>
      <c r="X45" s="19">
        <f t="shared" ref="X45:X55" si="18">+P45-T45</f>
        <v>-369.81999999999971</v>
      </c>
      <c r="Y45" s="4"/>
      <c r="Z45" s="35">
        <f t="shared" ref="Z45:Z55" si="19">IF(T45=0,0,X45/T45)</f>
        <v>-1.4560559082632008E-2</v>
      </c>
    </row>
    <row r="46" spans="1:26" s="28" customFormat="1" outlineLevel="1" collapsed="1" x14ac:dyDescent="0.25">
      <c r="A46" s="27"/>
      <c r="B46" s="14" t="str">
        <f>CONCATENATE("     ","*Benefits                                         ")</f>
        <v xml:space="preserve">     *Benefits                                         </v>
      </c>
      <c r="C46" s="14"/>
      <c r="D46" s="1">
        <f>SUM(OSRRefD22_0x_0)</f>
        <v>2718.76</v>
      </c>
      <c r="E46" s="1"/>
      <c r="F46" s="5">
        <f t="shared" si="12"/>
        <v>7.3413061177163954E-3</v>
      </c>
      <c r="G46" s="1"/>
      <c r="H46" s="1">
        <f>SUM(OSRRefH22_0x_0)</f>
        <v>2316.7299999999996</v>
      </c>
      <c r="I46" s="1"/>
      <c r="J46" s="5">
        <f t="shared" si="13"/>
        <v>5.435769079450219E-3</v>
      </c>
      <c r="K46" s="1"/>
      <c r="L46" s="1">
        <f t="shared" si="14"/>
        <v>402.03000000000065</v>
      </c>
      <c r="M46" s="1"/>
      <c r="N46" s="5">
        <f t="shared" si="15"/>
        <v>0.17353338541824068</v>
      </c>
      <c r="O46" s="14"/>
      <c r="P46" s="1">
        <f>SUM(OSRRefP22_0x_0)</f>
        <v>2718.76</v>
      </c>
      <c r="Q46" s="1"/>
      <c r="R46" s="5">
        <f t="shared" si="16"/>
        <v>7.3413061177163954E-3</v>
      </c>
      <c r="S46" s="1"/>
      <c r="T46" s="1">
        <f>SUM(OSRRefT22_0x_0)</f>
        <v>2316.7299999999996</v>
      </c>
      <c r="U46" s="1"/>
      <c r="V46" s="5">
        <f t="shared" si="17"/>
        <v>5.435769079450219E-3</v>
      </c>
      <c r="W46" s="1"/>
      <c r="X46" s="1">
        <f t="shared" si="18"/>
        <v>402.03000000000065</v>
      </c>
      <c r="Y46" s="1"/>
      <c r="Z46" s="5">
        <f t="shared" si="19"/>
        <v>0.17353338541824068</v>
      </c>
    </row>
    <row r="47" spans="1:26" s="24" customFormat="1" hidden="1" outlineLevel="2" x14ac:dyDescent="0.25">
      <c r="A47" s="29"/>
      <c r="B47" s="11" t="str">
        <f>CONCATENATE("          ", "6111", " - ", "F.I.C.A.")</f>
        <v xml:space="preserve">          6111 - F.I.C.A.</v>
      </c>
      <c r="C47" s="11"/>
      <c r="D47" s="7">
        <v>497.85</v>
      </c>
      <c r="E47" s="2"/>
      <c r="F47" s="6">
        <f t="shared" si="12"/>
        <v>1.3443147797911942E-3</v>
      </c>
      <c r="G47" s="2"/>
      <c r="H47" s="7">
        <v>601.29999999999995</v>
      </c>
      <c r="I47" s="2"/>
      <c r="J47" s="6">
        <f t="shared" si="13"/>
        <v>1.4108368033708793E-3</v>
      </c>
      <c r="K47" s="2"/>
      <c r="L47" s="7">
        <f t="shared" si="14"/>
        <v>-103.44999999999993</v>
      </c>
      <c r="M47" s="2"/>
      <c r="N47" s="6">
        <f t="shared" si="15"/>
        <v>-0.17204390487277554</v>
      </c>
      <c r="O47" s="11"/>
      <c r="P47" s="7">
        <v>497.85</v>
      </c>
      <c r="Q47" s="2"/>
      <c r="R47" s="6">
        <f t="shared" si="16"/>
        <v>1.3443147797911942E-3</v>
      </c>
      <c r="S47" s="2"/>
      <c r="T47" s="7">
        <v>601.29999999999995</v>
      </c>
      <c r="U47" s="2"/>
      <c r="V47" s="6">
        <f t="shared" si="17"/>
        <v>1.4108368033708793E-3</v>
      </c>
      <c r="W47" s="2"/>
      <c r="X47" s="7">
        <f t="shared" si="18"/>
        <v>-103.44999999999993</v>
      </c>
      <c r="Y47" s="2"/>
      <c r="Z47" s="6">
        <f t="shared" si="19"/>
        <v>-0.17204390487277554</v>
      </c>
    </row>
    <row r="48" spans="1:26" s="24" customFormat="1" hidden="1" outlineLevel="2" x14ac:dyDescent="0.25">
      <c r="A48" s="29"/>
      <c r="B48" s="11" t="str">
        <f>CONCATENATE("          ", "6112", " - ", "COMPENSATION INSURANCE")</f>
        <v xml:space="preserve">          6112 - COMPENSATION INSURANCE</v>
      </c>
      <c r="C48" s="11"/>
      <c r="D48" s="7">
        <v>123.65</v>
      </c>
      <c r="E48" s="2"/>
      <c r="F48" s="6">
        <f t="shared" si="12"/>
        <v>3.3388474946506212E-4</v>
      </c>
      <c r="G48" s="2"/>
      <c r="H48" s="7">
        <v>147.32</v>
      </c>
      <c r="I48" s="2"/>
      <c r="J48" s="6">
        <f t="shared" si="13"/>
        <v>3.4565853629236316E-4</v>
      </c>
      <c r="K48" s="2"/>
      <c r="L48" s="7">
        <f t="shared" si="14"/>
        <v>-23.669999999999987</v>
      </c>
      <c r="M48" s="2"/>
      <c r="N48" s="6">
        <f t="shared" si="15"/>
        <v>-0.16067064892750468</v>
      </c>
      <c r="O48" s="11"/>
      <c r="P48" s="7">
        <v>123.65</v>
      </c>
      <c r="Q48" s="2"/>
      <c r="R48" s="6">
        <f t="shared" si="16"/>
        <v>3.3388474946506212E-4</v>
      </c>
      <c r="S48" s="2"/>
      <c r="T48" s="7">
        <v>147.32</v>
      </c>
      <c r="U48" s="2"/>
      <c r="V48" s="6">
        <f t="shared" si="17"/>
        <v>3.4565853629236316E-4</v>
      </c>
      <c r="W48" s="2"/>
      <c r="X48" s="7">
        <f t="shared" si="18"/>
        <v>-23.669999999999987</v>
      </c>
      <c r="Y48" s="2"/>
      <c r="Z48" s="6">
        <f t="shared" si="19"/>
        <v>-0.16067064892750468</v>
      </c>
    </row>
    <row r="49" spans="1:26" s="24" customFormat="1" hidden="1" outlineLevel="2" x14ac:dyDescent="0.25">
      <c r="A49" s="29"/>
      <c r="B49" s="11" t="str">
        <f>CONCATENATE("          ", "6113", " - ", "GROUP INSURANCE")</f>
        <v xml:space="preserve">          6113 - GROUP INSURANCE</v>
      </c>
      <c r="C49" s="11"/>
      <c r="D49" s="7">
        <v>964.88</v>
      </c>
      <c r="E49" s="2"/>
      <c r="F49" s="6">
        <f t="shared" si="12"/>
        <v>2.6054081444710805E-3</v>
      </c>
      <c r="G49" s="2"/>
      <c r="H49" s="7">
        <v>393.26</v>
      </c>
      <c r="I49" s="2"/>
      <c r="J49" s="6">
        <f t="shared" si="13"/>
        <v>9.2271026325233994E-4</v>
      </c>
      <c r="K49" s="2"/>
      <c r="L49" s="7">
        <f t="shared" si="14"/>
        <v>571.62</v>
      </c>
      <c r="M49" s="2"/>
      <c r="N49" s="6">
        <f t="shared" si="15"/>
        <v>1.4535421858312567</v>
      </c>
      <c r="O49" s="11"/>
      <c r="P49" s="7">
        <v>964.88</v>
      </c>
      <c r="Q49" s="2"/>
      <c r="R49" s="6">
        <f t="shared" si="16"/>
        <v>2.6054081444710805E-3</v>
      </c>
      <c r="S49" s="2"/>
      <c r="T49" s="7">
        <v>393.26</v>
      </c>
      <c r="U49" s="2"/>
      <c r="V49" s="6">
        <f t="shared" si="17"/>
        <v>9.2271026325233994E-4</v>
      </c>
      <c r="W49" s="2"/>
      <c r="X49" s="7">
        <f t="shared" si="18"/>
        <v>571.62</v>
      </c>
      <c r="Y49" s="2"/>
      <c r="Z49" s="6">
        <f t="shared" si="19"/>
        <v>1.4535421858312567</v>
      </c>
    </row>
    <row r="50" spans="1:26" s="24" customFormat="1" hidden="1" outlineLevel="2" x14ac:dyDescent="0.25">
      <c r="A50" s="29"/>
      <c r="B50" s="11" t="str">
        <f>CONCATENATE("          ", "6114", " - ", "STATE UNEMPLOYMENT INSURANCE")</f>
        <v xml:space="preserve">          6114 - STATE UNEMPLOYMENT INSURANCE</v>
      </c>
      <c r="C50" s="11"/>
      <c r="D50" s="7">
        <v>16.920000000000002</v>
      </c>
      <c r="E50" s="2"/>
      <c r="F50" s="6">
        <f t="shared" si="12"/>
        <v>4.5688070852801064E-5</v>
      </c>
      <c r="G50" s="2"/>
      <c r="H50" s="7">
        <v>32.19</v>
      </c>
      <c r="I50" s="2"/>
      <c r="J50" s="6">
        <f t="shared" si="13"/>
        <v>7.5527751040260443E-5</v>
      </c>
      <c r="K50" s="2"/>
      <c r="L50" s="7">
        <f t="shared" si="14"/>
        <v>-15.269999999999996</v>
      </c>
      <c r="M50" s="2"/>
      <c r="N50" s="6">
        <f t="shared" si="15"/>
        <v>-0.4743709226467846</v>
      </c>
      <c r="O50" s="11"/>
      <c r="P50" s="7">
        <v>16.920000000000002</v>
      </c>
      <c r="Q50" s="2"/>
      <c r="R50" s="6">
        <f t="shared" si="16"/>
        <v>4.5688070852801064E-5</v>
      </c>
      <c r="S50" s="2"/>
      <c r="T50" s="7">
        <v>32.19</v>
      </c>
      <c r="U50" s="2"/>
      <c r="V50" s="6">
        <f t="shared" si="17"/>
        <v>7.5527751040260443E-5</v>
      </c>
      <c r="W50" s="2"/>
      <c r="X50" s="7">
        <f t="shared" si="18"/>
        <v>-15.269999999999996</v>
      </c>
      <c r="Y50" s="2"/>
      <c r="Z50" s="6">
        <f t="shared" si="19"/>
        <v>-0.4743709226467846</v>
      </c>
    </row>
    <row r="51" spans="1:26" s="24" customFormat="1" hidden="1" outlineLevel="2" x14ac:dyDescent="0.25">
      <c r="A51" s="29"/>
      <c r="B51" s="11" t="str">
        <f>CONCATENATE("          ", "6115", " - ", "P.E.R.S.")</f>
        <v xml:space="preserve">          6115 - P.E.R.S.</v>
      </c>
      <c r="C51" s="11"/>
      <c r="D51" s="7">
        <v>183.4</v>
      </c>
      <c r="E51" s="2"/>
      <c r="F51" s="6">
        <f t="shared" si="12"/>
        <v>4.9522412496475854E-4</v>
      </c>
      <c r="G51" s="2"/>
      <c r="H51" s="7">
        <v>259.08999999999997</v>
      </c>
      <c r="I51" s="2"/>
      <c r="J51" s="6">
        <f t="shared" si="13"/>
        <v>6.0790571658965757E-4</v>
      </c>
      <c r="K51" s="2"/>
      <c r="L51" s="7">
        <f t="shared" si="14"/>
        <v>-75.689999999999969</v>
      </c>
      <c r="M51" s="2"/>
      <c r="N51" s="6">
        <f t="shared" si="15"/>
        <v>-0.29213786715041096</v>
      </c>
      <c r="O51" s="11"/>
      <c r="P51" s="7">
        <v>183.4</v>
      </c>
      <c r="Q51" s="2"/>
      <c r="R51" s="6">
        <f t="shared" si="16"/>
        <v>4.9522412496475854E-4</v>
      </c>
      <c r="S51" s="2"/>
      <c r="T51" s="7">
        <v>259.08999999999997</v>
      </c>
      <c r="U51" s="2"/>
      <c r="V51" s="6">
        <f t="shared" si="17"/>
        <v>6.0790571658965757E-4</v>
      </c>
      <c r="W51" s="2"/>
      <c r="X51" s="7">
        <f t="shared" si="18"/>
        <v>-75.689999999999969</v>
      </c>
      <c r="Y51" s="2"/>
      <c r="Z51" s="6">
        <f t="shared" si="19"/>
        <v>-0.29213786715041096</v>
      </c>
    </row>
    <row r="52" spans="1:26" s="24" customFormat="1" hidden="1" outlineLevel="2" x14ac:dyDescent="0.25">
      <c r="A52" s="29"/>
      <c r="B52" s="11" t="str">
        <f>CONCATENATE("          ", "6117", " - ", "RETIREMENT STAFF HOURLY")</f>
        <v xml:space="preserve">          6117 - RETIREMENT STAFF HOURLY</v>
      </c>
      <c r="C52" s="11"/>
      <c r="D52" s="7">
        <v>140.12</v>
      </c>
      <c r="E52" s="2"/>
      <c r="F52" s="6">
        <f t="shared" si="12"/>
        <v>3.7835771205050142E-4</v>
      </c>
      <c r="G52" s="2"/>
      <c r="H52" s="7">
        <v>151.1</v>
      </c>
      <c r="I52" s="2"/>
      <c r="J52" s="6">
        <f t="shared" si="13"/>
        <v>3.5452759186652231E-4</v>
      </c>
      <c r="K52" s="2"/>
      <c r="L52" s="7">
        <f t="shared" si="14"/>
        <v>-10.97999999999999</v>
      </c>
      <c r="M52" s="2"/>
      <c r="N52" s="6">
        <f t="shared" si="15"/>
        <v>-7.2667107875579021E-2</v>
      </c>
      <c r="O52" s="11"/>
      <c r="P52" s="7">
        <v>140.12</v>
      </c>
      <c r="Q52" s="2"/>
      <c r="R52" s="6">
        <f t="shared" si="16"/>
        <v>3.7835771205050142E-4</v>
      </c>
      <c r="S52" s="2"/>
      <c r="T52" s="7">
        <v>151.1</v>
      </c>
      <c r="U52" s="2"/>
      <c r="V52" s="6">
        <f t="shared" si="17"/>
        <v>3.5452759186652231E-4</v>
      </c>
      <c r="W52" s="2"/>
      <c r="X52" s="7">
        <f t="shared" si="18"/>
        <v>-10.97999999999999</v>
      </c>
      <c r="Y52" s="2"/>
      <c r="Z52" s="6">
        <f t="shared" si="19"/>
        <v>-7.2667107875579021E-2</v>
      </c>
    </row>
    <row r="53" spans="1:26" s="24" customFormat="1" hidden="1" outlineLevel="2" x14ac:dyDescent="0.25">
      <c r="A53" s="29"/>
      <c r="B53" s="11" t="str">
        <f>CONCATENATE("          ", "6118", " - ", "VACATION")</f>
        <v xml:space="preserve">          6118 - VACATION</v>
      </c>
      <c r="C53" s="11"/>
      <c r="D53" s="7">
        <v>313.32</v>
      </c>
      <c r="E53" s="2"/>
      <c r="F53" s="6">
        <f t="shared" si="12"/>
        <v>8.4603938295506071E-4</v>
      </c>
      <c r="G53" s="2"/>
      <c r="H53" s="7">
        <v>296.82</v>
      </c>
      <c r="I53" s="2"/>
      <c r="J53" s="6">
        <f t="shared" si="13"/>
        <v>6.9643203056135778E-4</v>
      </c>
      <c r="K53" s="2"/>
      <c r="L53" s="7">
        <f t="shared" si="14"/>
        <v>16.5</v>
      </c>
      <c r="M53" s="2"/>
      <c r="N53" s="6">
        <f t="shared" si="15"/>
        <v>5.5589246007681427E-2</v>
      </c>
      <c r="O53" s="11"/>
      <c r="P53" s="7">
        <v>313.32</v>
      </c>
      <c r="Q53" s="2"/>
      <c r="R53" s="6">
        <f t="shared" si="16"/>
        <v>8.4603938295506071E-4</v>
      </c>
      <c r="S53" s="2"/>
      <c r="T53" s="7">
        <v>296.82</v>
      </c>
      <c r="U53" s="2"/>
      <c r="V53" s="6">
        <f t="shared" si="17"/>
        <v>6.9643203056135778E-4</v>
      </c>
      <c r="W53" s="2"/>
      <c r="X53" s="7">
        <f t="shared" si="18"/>
        <v>16.5</v>
      </c>
      <c r="Y53" s="2"/>
      <c r="Z53" s="6">
        <f t="shared" si="19"/>
        <v>5.5589246007681427E-2</v>
      </c>
    </row>
    <row r="54" spans="1:26" s="24" customFormat="1" hidden="1" outlineLevel="2" x14ac:dyDescent="0.25">
      <c r="A54" s="29"/>
      <c r="B54" s="11" t="str">
        <f>CONCATENATE("          ", "6119", " - ", "SICK LEAVE")</f>
        <v xml:space="preserve">          6119 - SICK LEAVE</v>
      </c>
      <c r="C54" s="11"/>
      <c r="D54" s="7">
        <v>328.62</v>
      </c>
      <c r="E54" s="2"/>
      <c r="F54" s="6">
        <f t="shared" si="12"/>
        <v>8.8735306404535952E-4</v>
      </c>
      <c r="G54" s="2"/>
      <c r="H54" s="7">
        <v>285.64999999999998</v>
      </c>
      <c r="I54" s="2"/>
      <c r="J54" s="6">
        <f t="shared" si="13"/>
        <v>6.7022373670861746E-4</v>
      </c>
      <c r="K54" s="2"/>
      <c r="L54" s="7">
        <f t="shared" si="14"/>
        <v>42.970000000000027</v>
      </c>
      <c r="M54" s="2"/>
      <c r="N54" s="6">
        <f t="shared" si="15"/>
        <v>0.15042884649046045</v>
      </c>
      <c r="O54" s="11"/>
      <c r="P54" s="7">
        <v>328.62</v>
      </c>
      <c r="Q54" s="2"/>
      <c r="R54" s="6">
        <f t="shared" si="16"/>
        <v>8.8735306404535952E-4</v>
      </c>
      <c r="S54" s="2"/>
      <c r="T54" s="7">
        <v>285.64999999999998</v>
      </c>
      <c r="U54" s="2"/>
      <c r="V54" s="6">
        <f t="shared" si="17"/>
        <v>6.7022373670861746E-4</v>
      </c>
      <c r="W54" s="2"/>
      <c r="X54" s="7">
        <f t="shared" si="18"/>
        <v>42.970000000000027</v>
      </c>
      <c r="Y54" s="2"/>
      <c r="Z54" s="6">
        <f t="shared" si="19"/>
        <v>0.15042884649046045</v>
      </c>
    </row>
    <row r="55" spans="1:26" s="24" customFormat="1" hidden="1" outlineLevel="2" x14ac:dyDescent="0.25">
      <c r="A55" s="29"/>
      <c r="B55" s="11" t="str">
        <f>CONCATENATE("          ", "6156", " - ", "EMPLOYEE MEALS")</f>
        <v xml:space="preserve">          6156 - EMPLOYEE MEALS</v>
      </c>
      <c r="C55" s="11"/>
      <c r="D55" s="7">
        <v>150</v>
      </c>
      <c r="E55" s="2"/>
      <c r="F55" s="6">
        <f t="shared" si="12"/>
        <v>4.0503608912057675E-4</v>
      </c>
      <c r="G55" s="2"/>
      <c r="H55" s="7">
        <v>150</v>
      </c>
      <c r="I55" s="2"/>
      <c r="J55" s="6">
        <f t="shared" si="13"/>
        <v>3.5194664976822204E-4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>
        <v>150</v>
      </c>
      <c r="Q55" s="2"/>
      <c r="R55" s="6">
        <f t="shared" si="16"/>
        <v>4.0503608912057675E-4</v>
      </c>
      <c r="S55" s="2"/>
      <c r="T55" s="7">
        <v>150</v>
      </c>
      <c r="U55" s="2"/>
      <c r="V55" s="6">
        <f t="shared" si="17"/>
        <v>3.5194664976822204E-4</v>
      </c>
      <c r="W55" s="2"/>
      <c r="X55" s="7">
        <f t="shared" si="18"/>
        <v>0</v>
      </c>
      <c r="Y55" s="2"/>
      <c r="Z55" s="6">
        <f t="shared" si="19"/>
        <v>0</v>
      </c>
    </row>
    <row r="56" spans="1:26" s="28" customFormat="1" outlineLevel="1" collapsed="1" x14ac:dyDescent="0.25">
      <c r="A56" s="27"/>
      <c r="B56" s="14" t="str">
        <f>CONCATENATE("     ","*Payroll                                          ")</f>
        <v xml:space="preserve">     *Payroll                                          </v>
      </c>
      <c r="C56" s="14"/>
      <c r="D56" s="1">
        <f>SUM(OSRRefD22_1x_0)</f>
        <v>7913.5400000000009</v>
      </c>
      <c r="E56" s="1"/>
      <c r="F56" s="5">
        <f t="shared" ref="F56:F60" si="20">IF(D$12=0,0,D56/D$12)</f>
        <v>2.1368461951328327E-2</v>
      </c>
      <c r="G56" s="1"/>
      <c r="H56" s="1">
        <f>SUM(OSRRefH22_1x_0)</f>
        <v>9529.02</v>
      </c>
      <c r="I56" s="1"/>
      <c r="J56" s="5">
        <f t="shared" ref="J56:J60" si="21">IF(H$12=0,0,H56/H$12)</f>
        <v>2.2358044430495889E-2</v>
      </c>
      <c r="K56" s="1"/>
      <c r="L56" s="1">
        <f t="shared" ref="L56:L60" si="22">+D56-H56</f>
        <v>-1615.4799999999996</v>
      </c>
      <c r="M56" s="1"/>
      <c r="N56" s="5">
        <f t="shared" ref="N56:N60" si="23">IF(H56=0,0,L56/H56)</f>
        <v>-0.1695326486879028</v>
      </c>
      <c r="O56" s="14"/>
      <c r="P56" s="1">
        <f>SUM(OSRRefP22_1x_0)</f>
        <v>7913.5400000000009</v>
      </c>
      <c r="Q56" s="1"/>
      <c r="R56" s="5">
        <f t="shared" ref="R56:R60" si="24">IF(P$12=0,0,P56/P$12)</f>
        <v>2.1368461951328327E-2</v>
      </c>
      <c r="S56" s="1"/>
      <c r="T56" s="1">
        <f>SUM(OSRRefT22_1x_0)</f>
        <v>9529.02</v>
      </c>
      <c r="U56" s="1"/>
      <c r="V56" s="5">
        <f t="shared" ref="V56:V60" si="25">IF(T$12=0,0,T56/T$12)</f>
        <v>2.2358044430495889E-2</v>
      </c>
      <c r="W56" s="1"/>
      <c r="X56" s="1">
        <f t="shared" ref="X56:X60" si="26">+P56-T56</f>
        <v>-1615.4799999999996</v>
      </c>
      <c r="Y56" s="1"/>
      <c r="Z56" s="5">
        <f t="shared" ref="Z56:Z60" si="27">IF(T56=0,0,X56/T56)</f>
        <v>-0.1695326486879028</v>
      </c>
    </row>
    <row r="57" spans="1:26" s="24" customFormat="1" hidden="1" outlineLevel="2" x14ac:dyDescent="0.25">
      <c r="A57" s="29"/>
      <c r="B57" s="11" t="str">
        <f>CONCATENATE("          ", "6002", " - ", "STAFF SALARIES")</f>
        <v xml:space="preserve">          6002 - STAFF SALARIES</v>
      </c>
      <c r="C57" s="11"/>
      <c r="D57" s="7">
        <v>3151.4</v>
      </c>
      <c r="E57" s="2"/>
      <c r="F57" s="6">
        <f t="shared" si="20"/>
        <v>8.509538208363903E-3</v>
      </c>
      <c r="G57" s="2"/>
      <c r="H57" s="7">
        <v>2548.9</v>
      </c>
      <c r="I57" s="2"/>
      <c r="J57" s="6">
        <f t="shared" si="21"/>
        <v>5.9805121039614743E-3</v>
      </c>
      <c r="K57" s="2"/>
      <c r="L57" s="7">
        <f t="shared" si="22"/>
        <v>602.5</v>
      </c>
      <c r="M57" s="2"/>
      <c r="N57" s="6">
        <f t="shared" si="23"/>
        <v>0.23637647612695672</v>
      </c>
      <c r="O57" s="11"/>
      <c r="P57" s="7">
        <v>3151.4</v>
      </c>
      <c r="Q57" s="2"/>
      <c r="R57" s="6">
        <f t="shared" si="24"/>
        <v>8.509538208363903E-3</v>
      </c>
      <c r="S57" s="2"/>
      <c r="T57" s="7">
        <v>2548.9</v>
      </c>
      <c r="U57" s="2"/>
      <c r="V57" s="6">
        <f t="shared" si="25"/>
        <v>5.9805121039614743E-3</v>
      </c>
      <c r="W57" s="2"/>
      <c r="X57" s="7">
        <f t="shared" si="26"/>
        <v>602.5</v>
      </c>
      <c r="Y57" s="2"/>
      <c r="Z57" s="6">
        <f t="shared" si="27"/>
        <v>0.23637647612695672</v>
      </c>
    </row>
    <row r="58" spans="1:26" s="24" customFormat="1" hidden="1" outlineLevel="2" x14ac:dyDescent="0.25">
      <c r="A58" s="29"/>
      <c r="B58" s="11" t="str">
        <f>CONCATENATE("          ", "6005", " - ", "TEMPORARY WAGES-HOURLY")</f>
        <v xml:space="preserve">          6005 - TEMPORARY WAGES-HOURLY</v>
      </c>
      <c r="C58" s="11"/>
      <c r="D58" s="7">
        <v>2433.6999999999998</v>
      </c>
      <c r="E58" s="2"/>
      <c r="F58" s="6">
        <f t="shared" si="20"/>
        <v>6.5715755339516499E-3</v>
      </c>
      <c r="G58" s="2"/>
      <c r="H58" s="7">
        <v>3025.11</v>
      </c>
      <c r="I58" s="2"/>
      <c r="J58" s="6">
        <f t="shared" si="21"/>
        <v>7.0978488645356413E-3</v>
      </c>
      <c r="K58" s="2"/>
      <c r="L58" s="7">
        <f t="shared" si="22"/>
        <v>-591.41000000000031</v>
      </c>
      <c r="M58" s="2"/>
      <c r="N58" s="6">
        <f t="shared" si="23"/>
        <v>-0.19550032891365943</v>
      </c>
      <c r="O58" s="11"/>
      <c r="P58" s="7">
        <v>2433.6999999999998</v>
      </c>
      <c r="Q58" s="2"/>
      <c r="R58" s="6">
        <f t="shared" si="24"/>
        <v>6.5715755339516499E-3</v>
      </c>
      <c r="S58" s="2"/>
      <c r="T58" s="7">
        <v>3025.11</v>
      </c>
      <c r="U58" s="2"/>
      <c r="V58" s="6">
        <f t="shared" si="25"/>
        <v>7.0978488645356413E-3</v>
      </c>
      <c r="W58" s="2"/>
      <c r="X58" s="7">
        <f t="shared" si="26"/>
        <v>-591.41000000000031</v>
      </c>
      <c r="Y58" s="2"/>
      <c r="Z58" s="6">
        <f t="shared" si="27"/>
        <v>-0.19550032891365943</v>
      </c>
    </row>
    <row r="59" spans="1:26" s="24" customFormat="1" hidden="1" outlineLevel="2" x14ac:dyDescent="0.25">
      <c r="A59" s="29"/>
      <c r="B59" s="11" t="str">
        <f>CONCATENATE("          ", "6006", " - ", "TEMPORARY PART TIME")</f>
        <v xml:space="preserve">          6006 - TEMPORARY PART TIME</v>
      </c>
      <c r="C59" s="11"/>
      <c r="D59" s="7">
        <v>1448.44</v>
      </c>
      <c r="E59" s="2"/>
      <c r="F59" s="6">
        <f t="shared" si="20"/>
        <v>3.9111364861720548E-3</v>
      </c>
      <c r="G59" s="2"/>
      <c r="H59" s="7"/>
      <c r="I59" s="2"/>
      <c r="J59" s="6">
        <f t="shared" si="21"/>
        <v>0</v>
      </c>
      <c r="K59" s="2"/>
      <c r="L59" s="7">
        <f t="shared" si="22"/>
        <v>1448.44</v>
      </c>
      <c r="M59" s="2"/>
      <c r="N59" s="6">
        <f t="shared" si="23"/>
        <v>0</v>
      </c>
      <c r="O59" s="11"/>
      <c r="P59" s="7">
        <v>1448.44</v>
      </c>
      <c r="Q59" s="2"/>
      <c r="R59" s="6">
        <f t="shared" si="24"/>
        <v>3.9111364861720548E-3</v>
      </c>
      <c r="S59" s="2"/>
      <c r="T59" s="7"/>
      <c r="U59" s="2"/>
      <c r="V59" s="6">
        <f t="shared" si="25"/>
        <v>0</v>
      </c>
      <c r="W59" s="2"/>
      <c r="X59" s="7">
        <f t="shared" si="26"/>
        <v>1448.44</v>
      </c>
      <c r="Y59" s="2"/>
      <c r="Z59" s="6">
        <f t="shared" si="27"/>
        <v>0</v>
      </c>
    </row>
    <row r="60" spans="1:26" s="24" customFormat="1" hidden="1" outlineLevel="2" x14ac:dyDescent="0.25">
      <c r="A60" s="29"/>
      <c r="B60" s="11" t="str">
        <f>CONCATENATE("          ", "6007", " - ", "STUDENT HOURLY")</f>
        <v xml:space="preserve">          6007 - STUDENT HOURLY</v>
      </c>
      <c r="C60" s="11"/>
      <c r="D60" s="7">
        <v>880</v>
      </c>
      <c r="E60" s="2"/>
      <c r="F60" s="6">
        <f t="shared" si="20"/>
        <v>2.376211722840717E-3</v>
      </c>
      <c r="G60" s="2"/>
      <c r="H60" s="7">
        <v>3955.01</v>
      </c>
      <c r="I60" s="2"/>
      <c r="J60" s="6">
        <f t="shared" si="21"/>
        <v>9.2796834619987729E-3</v>
      </c>
      <c r="K60" s="2"/>
      <c r="L60" s="7">
        <f t="shared" si="22"/>
        <v>-3075.01</v>
      </c>
      <c r="M60" s="2"/>
      <c r="N60" s="6">
        <f t="shared" si="23"/>
        <v>-0.77749740202932482</v>
      </c>
      <c r="O60" s="11"/>
      <c r="P60" s="7">
        <v>880</v>
      </c>
      <c r="Q60" s="2"/>
      <c r="R60" s="6">
        <f t="shared" si="24"/>
        <v>2.376211722840717E-3</v>
      </c>
      <c r="S60" s="2"/>
      <c r="T60" s="7">
        <v>3955.01</v>
      </c>
      <c r="U60" s="2"/>
      <c r="V60" s="6">
        <f t="shared" si="25"/>
        <v>9.2796834619987729E-3</v>
      </c>
      <c r="W60" s="2"/>
      <c r="X60" s="7">
        <f t="shared" si="26"/>
        <v>-3075.01</v>
      </c>
      <c r="Y60" s="2"/>
      <c r="Z60" s="6">
        <f t="shared" si="27"/>
        <v>-0.77749740202932482</v>
      </c>
    </row>
    <row r="61" spans="1:26" s="28" customFormat="1" outlineLevel="1" collapsed="1" x14ac:dyDescent="0.25">
      <c r="A61" s="27"/>
      <c r="B61" s="14" t="str">
        <f>CONCATENATE("     ","Advertising/Promo                                 ")</f>
        <v xml:space="preserve">     Advertising/Promo                                 </v>
      </c>
      <c r="C61" s="14"/>
      <c r="D61" s="1">
        <f>SUM(OSRRefD22_2x_0)</f>
        <v>359.07</v>
      </c>
      <c r="E61" s="1"/>
      <c r="F61" s="5">
        <f t="shared" ref="F61:F75" si="28">IF(D$12=0,0,D61/D$12)</f>
        <v>9.6957539013683655E-4</v>
      </c>
      <c r="G61" s="1"/>
      <c r="H61" s="1">
        <f>SUM(OSRRefH22_2x_0)</f>
        <v>240.06</v>
      </c>
      <c r="I61" s="1"/>
      <c r="J61" s="5">
        <f t="shared" ref="J61:J75" si="29">IF(H$12=0,0,H61/H$12)</f>
        <v>5.6325541828906259E-4</v>
      </c>
      <c r="K61" s="1"/>
      <c r="L61" s="1">
        <f t="shared" ref="L61:L75" si="30">+D61-H61</f>
        <v>119.00999999999999</v>
      </c>
      <c r="M61" s="1"/>
      <c r="N61" s="5">
        <f t="shared" ref="N61:N75" si="31">IF(H61=0,0,L61/H61)</f>
        <v>0.49575106223444132</v>
      </c>
      <c r="O61" s="14"/>
      <c r="P61" s="1">
        <f>SUM(OSRRefP22_2x_0)</f>
        <v>359.07</v>
      </c>
      <c r="Q61" s="1"/>
      <c r="R61" s="5">
        <f t="shared" ref="R61:R75" si="32">IF(P$12=0,0,P61/P$12)</f>
        <v>9.6957539013683655E-4</v>
      </c>
      <c r="S61" s="1"/>
      <c r="T61" s="1">
        <f>SUM(OSRRefT22_2x_0)</f>
        <v>240.06</v>
      </c>
      <c r="U61" s="1"/>
      <c r="V61" s="5">
        <f t="shared" ref="V61:V75" si="33">IF(T$12=0,0,T61/T$12)</f>
        <v>5.6325541828906259E-4</v>
      </c>
      <c r="W61" s="1"/>
      <c r="X61" s="1">
        <f t="shared" ref="X61:X75" si="34">+P61-T61</f>
        <v>119.00999999999999</v>
      </c>
      <c r="Y61" s="1"/>
      <c r="Z61" s="5">
        <f t="shared" ref="Z61:Z75" si="35">IF(T61=0,0,X61/T61)</f>
        <v>0.49575106223444132</v>
      </c>
    </row>
    <row r="62" spans="1:26" s="24" customFormat="1" hidden="1" outlineLevel="2" x14ac:dyDescent="0.25">
      <c r="A62" s="29"/>
      <c r="B62" s="11" t="str">
        <f>CONCATENATE("          ", "6362", " - ", "ADVERTISING EXPENSE")</f>
        <v xml:space="preserve">          6362 - ADVERTISING EXPENSE</v>
      </c>
      <c r="C62" s="11"/>
      <c r="D62" s="7">
        <v>359.07</v>
      </c>
      <c r="E62" s="2"/>
      <c r="F62" s="6">
        <f t="shared" si="28"/>
        <v>9.6957539013683655E-4</v>
      </c>
      <c r="G62" s="2"/>
      <c r="H62" s="7">
        <v>240.06</v>
      </c>
      <c r="I62" s="2"/>
      <c r="J62" s="6">
        <f t="shared" si="29"/>
        <v>5.6325541828906259E-4</v>
      </c>
      <c r="K62" s="2"/>
      <c r="L62" s="7">
        <f t="shared" si="30"/>
        <v>119.00999999999999</v>
      </c>
      <c r="M62" s="2"/>
      <c r="N62" s="6">
        <f t="shared" si="31"/>
        <v>0.49575106223444132</v>
      </c>
      <c r="O62" s="11"/>
      <c r="P62" s="7">
        <v>359.07</v>
      </c>
      <c r="Q62" s="2"/>
      <c r="R62" s="6">
        <f t="shared" si="32"/>
        <v>9.6957539013683655E-4</v>
      </c>
      <c r="S62" s="2"/>
      <c r="T62" s="7">
        <v>240.06</v>
      </c>
      <c r="U62" s="2"/>
      <c r="V62" s="6">
        <f t="shared" si="33"/>
        <v>5.6325541828906259E-4</v>
      </c>
      <c r="W62" s="2"/>
      <c r="X62" s="7">
        <f t="shared" si="34"/>
        <v>119.00999999999999</v>
      </c>
      <c r="Y62" s="2"/>
      <c r="Z62" s="6">
        <f t="shared" si="35"/>
        <v>0.49575106223444132</v>
      </c>
    </row>
    <row r="63" spans="1:26" s="28" customFormat="1" outlineLevel="1" collapsed="1" x14ac:dyDescent="0.25">
      <c r="A63" s="27"/>
      <c r="B63" s="14" t="str">
        <f>CONCATENATE("     ","Depreciation                                      ")</f>
        <v xml:space="preserve">     Depreciation                                      </v>
      </c>
      <c r="C63" s="14"/>
      <c r="D63" s="1">
        <f>SUM(OSRRefD22_3x_0)</f>
        <v>280.44</v>
      </c>
      <c r="E63" s="1"/>
      <c r="F63" s="5">
        <f t="shared" si="28"/>
        <v>7.5725547221983027E-4</v>
      </c>
      <c r="G63" s="1"/>
      <c r="H63" s="1">
        <f>SUM(OSRRefH22_3x_0)</f>
        <v>280.44</v>
      </c>
      <c r="I63" s="1"/>
      <c r="J63" s="5">
        <f t="shared" si="29"/>
        <v>6.5799945640666792E-4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SUM(OSRRefP22_3x_0)</f>
        <v>280.44</v>
      </c>
      <c r="Q63" s="1"/>
      <c r="R63" s="5">
        <f t="shared" si="32"/>
        <v>7.5725547221983027E-4</v>
      </c>
      <c r="S63" s="1"/>
      <c r="T63" s="1">
        <f>SUM(OSRRefT22_3x_0)</f>
        <v>280.44</v>
      </c>
      <c r="U63" s="1"/>
      <c r="V63" s="5">
        <f t="shared" si="33"/>
        <v>6.5799945640666792E-4</v>
      </c>
      <c r="W63" s="1"/>
      <c r="X63" s="1">
        <f t="shared" si="34"/>
        <v>0</v>
      </c>
      <c r="Y63" s="1"/>
      <c r="Z63" s="5">
        <f t="shared" si="35"/>
        <v>0</v>
      </c>
    </row>
    <row r="64" spans="1:26" s="24" customFormat="1" hidden="1" outlineLevel="2" x14ac:dyDescent="0.25">
      <c r="A64" s="29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280.44</v>
      </c>
      <c r="E64" s="2"/>
      <c r="F64" s="6">
        <f t="shared" si="28"/>
        <v>7.5725547221983027E-4</v>
      </c>
      <c r="G64" s="2"/>
      <c r="H64" s="7">
        <v>280.44</v>
      </c>
      <c r="I64" s="2"/>
      <c r="J64" s="6">
        <f t="shared" si="29"/>
        <v>6.5799945640666792E-4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280.44</v>
      </c>
      <c r="Q64" s="2"/>
      <c r="R64" s="6">
        <f t="shared" si="32"/>
        <v>7.5725547221983027E-4</v>
      </c>
      <c r="S64" s="2"/>
      <c r="T64" s="7">
        <v>280.44</v>
      </c>
      <c r="U64" s="2"/>
      <c r="V64" s="6">
        <f t="shared" si="33"/>
        <v>6.5799945640666792E-4</v>
      </c>
      <c r="W64" s="2"/>
      <c r="X64" s="7">
        <f t="shared" si="34"/>
        <v>0</v>
      </c>
      <c r="Y64" s="2"/>
      <c r="Z64" s="6">
        <f t="shared" si="35"/>
        <v>0</v>
      </c>
    </row>
    <row r="65" spans="1:26" s="28" customFormat="1" outlineLevel="1" collapsed="1" x14ac:dyDescent="0.25">
      <c r="A65" s="27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SUM(OSRRefD22_4x_0)</f>
        <v>12904.81</v>
      </c>
      <c r="E65" s="1"/>
      <c r="F65" s="5">
        <f t="shared" si="28"/>
        <v>3.4846091821627401E-2</v>
      </c>
      <c r="G65" s="1"/>
      <c r="H65" s="1">
        <f>SUM(OSRRefH22_4x_0)</f>
        <v>10653.58</v>
      </c>
      <c r="I65" s="1"/>
      <c r="J65" s="5">
        <f t="shared" si="29"/>
        <v>2.4996611926918232E-2</v>
      </c>
      <c r="K65" s="1"/>
      <c r="L65" s="1">
        <f t="shared" si="30"/>
        <v>2251.2299999999996</v>
      </c>
      <c r="M65" s="1"/>
      <c r="N65" s="5">
        <f t="shared" si="31"/>
        <v>0.21131206599096261</v>
      </c>
      <c r="O65" s="14"/>
      <c r="P65" s="1">
        <f>SUM(OSRRefP22_4x_0)</f>
        <v>12904.81</v>
      </c>
      <c r="Q65" s="1"/>
      <c r="R65" s="5">
        <f t="shared" si="32"/>
        <v>3.4846091821627401E-2</v>
      </c>
      <c r="S65" s="1"/>
      <c r="T65" s="1">
        <f>SUM(OSRRefT22_4x_0)</f>
        <v>10653.58</v>
      </c>
      <c r="U65" s="1"/>
      <c r="V65" s="5">
        <f t="shared" si="33"/>
        <v>2.4996611926918232E-2</v>
      </c>
      <c r="W65" s="1"/>
      <c r="X65" s="1">
        <f t="shared" si="34"/>
        <v>2251.2299999999996</v>
      </c>
      <c r="Y65" s="1"/>
      <c r="Z65" s="5">
        <f t="shared" si="35"/>
        <v>0.21131206599096261</v>
      </c>
    </row>
    <row r="66" spans="1:26" s="24" customFormat="1" hidden="1" outlineLevel="2" x14ac:dyDescent="0.25">
      <c r="A66" s="29"/>
      <c r="B66" s="11" t="str">
        <f>CONCATENATE("          ", "6382", " - ", "DISCOUNTS/MARK DOWNS")</f>
        <v xml:space="preserve">          6382 - DISCOUNTS/MARK DOWNS</v>
      </c>
      <c r="C66" s="11"/>
      <c r="D66" s="7">
        <v>12904.81</v>
      </c>
      <c r="E66" s="2"/>
      <c r="F66" s="6">
        <f t="shared" si="28"/>
        <v>3.4846091821627401E-2</v>
      </c>
      <c r="G66" s="2"/>
      <c r="H66" s="7">
        <v>10653.58</v>
      </c>
      <c r="I66" s="2"/>
      <c r="J66" s="6">
        <f t="shared" si="29"/>
        <v>2.4996611926918232E-2</v>
      </c>
      <c r="K66" s="2"/>
      <c r="L66" s="7">
        <f t="shared" si="30"/>
        <v>2251.2299999999996</v>
      </c>
      <c r="M66" s="2"/>
      <c r="N66" s="6">
        <f t="shared" si="31"/>
        <v>0.21131206599096261</v>
      </c>
      <c r="O66" s="11"/>
      <c r="P66" s="7">
        <v>12904.81</v>
      </c>
      <c r="Q66" s="2"/>
      <c r="R66" s="6">
        <f t="shared" si="32"/>
        <v>3.4846091821627401E-2</v>
      </c>
      <c r="S66" s="2"/>
      <c r="T66" s="7">
        <v>10653.58</v>
      </c>
      <c r="U66" s="2"/>
      <c r="V66" s="6">
        <f t="shared" si="33"/>
        <v>2.4996611926918232E-2</v>
      </c>
      <c r="W66" s="2"/>
      <c r="X66" s="7">
        <f t="shared" si="34"/>
        <v>2251.2299999999996</v>
      </c>
      <c r="Y66" s="2"/>
      <c r="Z66" s="6">
        <f t="shared" si="35"/>
        <v>0.21131206599096261</v>
      </c>
    </row>
    <row r="67" spans="1:26" s="28" customFormat="1" outlineLevel="1" collapsed="1" x14ac:dyDescent="0.25">
      <c r="A67" s="27"/>
      <c r="B67" s="14" t="str">
        <f>CONCATENATE("     ","Employees' Appreciation                           ")</f>
        <v xml:space="preserve">     Employees' Appreciation                           </v>
      </c>
      <c r="C67" s="14"/>
      <c r="D67" s="1">
        <f>SUM(OSRRefD22_5x_0)</f>
        <v>0</v>
      </c>
      <c r="E67" s="1"/>
      <c r="F67" s="5">
        <f t="shared" si="28"/>
        <v>0</v>
      </c>
      <c r="G67" s="1"/>
      <c r="H67" s="1">
        <f>SUM(OSRRefH22_5x_0)</f>
        <v>84.31</v>
      </c>
      <c r="I67" s="1"/>
      <c r="J67" s="5">
        <f t="shared" si="29"/>
        <v>1.9781748027972534E-4</v>
      </c>
      <c r="K67" s="1"/>
      <c r="L67" s="1">
        <f t="shared" si="30"/>
        <v>-84.31</v>
      </c>
      <c r="M67" s="1"/>
      <c r="N67" s="5">
        <f t="shared" si="31"/>
        <v>-1</v>
      </c>
      <c r="O67" s="14"/>
      <c r="P67" s="1">
        <f>SUM(OSRRefP22_5x_0)</f>
        <v>0</v>
      </c>
      <c r="Q67" s="1"/>
      <c r="R67" s="5">
        <f t="shared" si="32"/>
        <v>0</v>
      </c>
      <c r="S67" s="1"/>
      <c r="T67" s="1">
        <f>SUM(OSRRefT22_5x_0)</f>
        <v>84.31</v>
      </c>
      <c r="U67" s="1"/>
      <c r="V67" s="5">
        <f t="shared" si="33"/>
        <v>1.9781748027972534E-4</v>
      </c>
      <c r="W67" s="1"/>
      <c r="X67" s="1">
        <f t="shared" si="34"/>
        <v>-84.31</v>
      </c>
      <c r="Y67" s="1"/>
      <c r="Z67" s="5">
        <f t="shared" si="35"/>
        <v>-1</v>
      </c>
    </row>
    <row r="68" spans="1:26" s="24" customFormat="1" hidden="1" outlineLevel="2" x14ac:dyDescent="0.25">
      <c r="A68" s="29"/>
      <c r="B68" s="11" t="str">
        <f>CONCATENATE("          ", "6277", " - ", "EMPLOYEE APPRECIATION")</f>
        <v xml:space="preserve">          6277 - EMPLOYEE APPRECIATION</v>
      </c>
      <c r="C68" s="11"/>
      <c r="D68" s="7"/>
      <c r="E68" s="2"/>
      <c r="F68" s="6">
        <f t="shared" si="28"/>
        <v>0</v>
      </c>
      <c r="G68" s="2"/>
      <c r="H68" s="7">
        <v>84.31</v>
      </c>
      <c r="I68" s="2"/>
      <c r="J68" s="6">
        <f t="shared" si="29"/>
        <v>1.9781748027972534E-4</v>
      </c>
      <c r="K68" s="2"/>
      <c r="L68" s="7">
        <f t="shared" si="30"/>
        <v>-84.31</v>
      </c>
      <c r="M68" s="2"/>
      <c r="N68" s="6">
        <f t="shared" si="31"/>
        <v>-1</v>
      </c>
      <c r="O68" s="11"/>
      <c r="P68" s="7"/>
      <c r="Q68" s="2"/>
      <c r="R68" s="6">
        <f t="shared" si="32"/>
        <v>0</v>
      </c>
      <c r="S68" s="2"/>
      <c r="T68" s="7">
        <v>84.31</v>
      </c>
      <c r="U68" s="2"/>
      <c r="V68" s="6">
        <f t="shared" si="33"/>
        <v>1.9781748027972534E-4</v>
      </c>
      <c r="W68" s="2"/>
      <c r="X68" s="7">
        <f t="shared" si="34"/>
        <v>-84.31</v>
      </c>
      <c r="Y68" s="2"/>
      <c r="Z68" s="6">
        <f t="shared" si="35"/>
        <v>-1</v>
      </c>
    </row>
    <row r="69" spans="1:26" s="28" customFormat="1" outlineLevel="1" collapsed="1" x14ac:dyDescent="0.25">
      <c r="A69" s="27"/>
      <c r="B69" s="14" t="str">
        <f>CONCATENATE("     ","Freight out/Postage                               ")</f>
        <v xml:space="preserve">     Freight out/Postage                               </v>
      </c>
      <c r="C69" s="14"/>
      <c r="D69" s="1">
        <f>SUM(OSRRefD22_6x_0)</f>
        <v>0</v>
      </c>
      <c r="E69" s="1"/>
      <c r="F69" s="5">
        <f t="shared" si="28"/>
        <v>0</v>
      </c>
      <c r="G69" s="1"/>
      <c r="H69" s="1">
        <f>SUM(OSRRefH22_6x_0)</f>
        <v>28.96</v>
      </c>
      <c r="I69" s="1"/>
      <c r="J69" s="5">
        <f t="shared" si="29"/>
        <v>6.7949166515251399E-5</v>
      </c>
      <c r="K69" s="1"/>
      <c r="L69" s="1">
        <f t="shared" si="30"/>
        <v>-28.96</v>
      </c>
      <c r="M69" s="1"/>
      <c r="N69" s="5">
        <f t="shared" si="31"/>
        <v>-1</v>
      </c>
      <c r="O69" s="14"/>
      <c r="P69" s="1">
        <f>SUM(OSRRefP22_6x_0)</f>
        <v>0</v>
      </c>
      <c r="Q69" s="1"/>
      <c r="R69" s="5">
        <f t="shared" si="32"/>
        <v>0</v>
      </c>
      <c r="S69" s="1"/>
      <c r="T69" s="1">
        <f>SUM(OSRRefT22_6x_0)</f>
        <v>28.96</v>
      </c>
      <c r="U69" s="1"/>
      <c r="V69" s="5">
        <f t="shared" si="33"/>
        <v>6.7949166515251399E-5</v>
      </c>
      <c r="W69" s="1"/>
      <c r="X69" s="1">
        <f t="shared" si="34"/>
        <v>-28.96</v>
      </c>
      <c r="Y69" s="1"/>
      <c r="Z69" s="5">
        <f t="shared" si="35"/>
        <v>-1</v>
      </c>
    </row>
    <row r="70" spans="1:26" s="24" customFormat="1" hidden="1" outlineLevel="2" x14ac:dyDescent="0.25">
      <c r="A70" s="29"/>
      <c r="B70" s="11" t="str">
        <f>CONCATENATE("          ", "6305", " - ", "FREIGHT OUT")</f>
        <v xml:space="preserve">          6305 - FREIGHT OUT</v>
      </c>
      <c r="C70" s="11"/>
      <c r="D70" s="7"/>
      <c r="E70" s="2"/>
      <c r="F70" s="6">
        <f t="shared" si="28"/>
        <v>0</v>
      </c>
      <c r="G70" s="2"/>
      <c r="H70" s="7">
        <v>28.96</v>
      </c>
      <c r="I70" s="2"/>
      <c r="J70" s="6">
        <f t="shared" si="29"/>
        <v>6.7949166515251399E-5</v>
      </c>
      <c r="K70" s="2"/>
      <c r="L70" s="7">
        <f t="shared" si="30"/>
        <v>-28.96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28.96</v>
      </c>
      <c r="U70" s="2"/>
      <c r="V70" s="6">
        <f t="shared" si="33"/>
        <v>6.7949166515251399E-5</v>
      </c>
      <c r="W70" s="2"/>
      <c r="X70" s="7">
        <f t="shared" si="34"/>
        <v>-28.96</v>
      </c>
      <c r="Y70" s="2"/>
      <c r="Z70" s="6">
        <f t="shared" si="35"/>
        <v>-1</v>
      </c>
    </row>
    <row r="71" spans="1:26" s="28" customFormat="1" outlineLevel="1" collapsed="1" x14ac:dyDescent="0.25">
      <c r="A71" s="27"/>
      <c r="B71" s="14" t="str">
        <f>CONCATENATE("     ","Inventory Adjustment                              ")</f>
        <v xml:space="preserve">     Inventory Adjustment                              </v>
      </c>
      <c r="C71" s="14"/>
      <c r="D71" s="1">
        <f>SUM(OSRRefD22_7x_0)</f>
        <v>0</v>
      </c>
      <c r="E71" s="1"/>
      <c r="F71" s="5">
        <f t="shared" si="28"/>
        <v>0</v>
      </c>
      <c r="G71" s="1"/>
      <c r="H71" s="1">
        <f>SUM(OSRRefH22_7x_0)</f>
        <v>1250</v>
      </c>
      <c r="I71" s="1"/>
      <c r="J71" s="5">
        <f t="shared" si="29"/>
        <v>2.9328887480685171E-3</v>
      </c>
      <c r="K71" s="1"/>
      <c r="L71" s="1">
        <f t="shared" si="30"/>
        <v>-1250</v>
      </c>
      <c r="M71" s="1"/>
      <c r="N71" s="5">
        <f t="shared" si="31"/>
        <v>-1</v>
      </c>
      <c r="O71" s="14"/>
      <c r="P71" s="1">
        <f>SUM(OSRRefP22_7x_0)</f>
        <v>0</v>
      </c>
      <c r="Q71" s="1"/>
      <c r="R71" s="5">
        <f t="shared" si="32"/>
        <v>0</v>
      </c>
      <c r="S71" s="1"/>
      <c r="T71" s="1">
        <f>SUM(OSRRefT22_7x_0)</f>
        <v>1250</v>
      </c>
      <c r="U71" s="1"/>
      <c r="V71" s="5">
        <f t="shared" si="33"/>
        <v>2.9328887480685171E-3</v>
      </c>
      <c r="W71" s="1"/>
      <c r="X71" s="1">
        <f t="shared" si="34"/>
        <v>-1250</v>
      </c>
      <c r="Y71" s="1"/>
      <c r="Z71" s="5">
        <f t="shared" si="35"/>
        <v>-1</v>
      </c>
    </row>
    <row r="72" spans="1:26" s="24" customFormat="1" hidden="1" outlineLevel="2" x14ac:dyDescent="0.25">
      <c r="A72" s="29"/>
      <c r="B72" s="11" t="str">
        <f>CONCATENATE("          ", "6408", " - ", "INVENTORY ADJUSTMENT")</f>
        <v xml:space="preserve">          6408 - INVENTORY ADJUSTMENT</v>
      </c>
      <c r="C72" s="11"/>
      <c r="D72" s="7"/>
      <c r="E72" s="2"/>
      <c r="F72" s="6">
        <f t="shared" si="28"/>
        <v>0</v>
      </c>
      <c r="G72" s="2"/>
      <c r="H72" s="7">
        <v>1250</v>
      </c>
      <c r="I72" s="2"/>
      <c r="J72" s="6">
        <f t="shared" si="29"/>
        <v>2.9328887480685171E-3</v>
      </c>
      <c r="K72" s="2"/>
      <c r="L72" s="7">
        <f t="shared" si="30"/>
        <v>-1250</v>
      </c>
      <c r="M72" s="2"/>
      <c r="N72" s="6">
        <f t="shared" si="31"/>
        <v>-1</v>
      </c>
      <c r="O72" s="11"/>
      <c r="P72" s="7"/>
      <c r="Q72" s="2"/>
      <c r="R72" s="6">
        <f t="shared" si="32"/>
        <v>0</v>
      </c>
      <c r="S72" s="2"/>
      <c r="T72" s="7">
        <v>1250</v>
      </c>
      <c r="U72" s="2"/>
      <c r="V72" s="6">
        <f t="shared" si="33"/>
        <v>2.9328887480685171E-3</v>
      </c>
      <c r="W72" s="2"/>
      <c r="X72" s="7">
        <f t="shared" si="34"/>
        <v>-1250</v>
      </c>
      <c r="Y72" s="2"/>
      <c r="Z72" s="6">
        <f t="shared" si="35"/>
        <v>-1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SUM(OSRRefD22_8x_0)</f>
        <v>675.26</v>
      </c>
      <c r="E73" s="1"/>
      <c r="F73" s="5">
        <f t="shared" si="28"/>
        <v>1.8233644635970709E-3</v>
      </c>
      <c r="G73" s="1"/>
      <c r="H73" s="1">
        <f>SUM(OSRRefH22_8x_0)</f>
        <v>304.55</v>
      </c>
      <c r="I73" s="1"/>
      <c r="J73" s="5">
        <f t="shared" si="29"/>
        <v>7.1456901457941349E-4</v>
      </c>
      <c r="K73" s="1"/>
      <c r="L73" s="1">
        <f t="shared" si="30"/>
        <v>370.71</v>
      </c>
      <c r="M73" s="1"/>
      <c r="N73" s="5">
        <f t="shared" si="31"/>
        <v>1.2172385486783779</v>
      </c>
      <c r="O73" s="14"/>
      <c r="P73" s="1">
        <f>SUM(OSRRefP22_8x_0)</f>
        <v>675.26</v>
      </c>
      <c r="Q73" s="1"/>
      <c r="R73" s="5">
        <f t="shared" si="32"/>
        <v>1.8233644635970709E-3</v>
      </c>
      <c r="S73" s="1"/>
      <c r="T73" s="1">
        <f>SUM(OSRRefT22_8x_0)</f>
        <v>304.55</v>
      </c>
      <c r="U73" s="1"/>
      <c r="V73" s="5">
        <f t="shared" si="33"/>
        <v>7.1456901457941349E-4</v>
      </c>
      <c r="W73" s="1"/>
      <c r="X73" s="1">
        <f t="shared" si="34"/>
        <v>370.71</v>
      </c>
      <c r="Y73" s="1"/>
      <c r="Z73" s="5">
        <f t="shared" si="35"/>
        <v>1.2172385486783779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92.82</v>
      </c>
      <c r="E74" s="2"/>
      <c r="F74" s="6">
        <f t="shared" si="28"/>
        <v>2.5063633194781287E-4</v>
      </c>
      <c r="G74" s="2"/>
      <c r="H74" s="7">
        <v>172.87</v>
      </c>
      <c r="I74" s="2"/>
      <c r="J74" s="6">
        <f t="shared" si="29"/>
        <v>4.0560678230288364E-4</v>
      </c>
      <c r="K74" s="2"/>
      <c r="L74" s="7">
        <f t="shared" si="30"/>
        <v>-80.050000000000011</v>
      </c>
      <c r="M74" s="2"/>
      <c r="N74" s="6">
        <f t="shared" si="31"/>
        <v>-0.46306473072250831</v>
      </c>
      <c r="O74" s="11"/>
      <c r="P74" s="7">
        <v>92.82</v>
      </c>
      <c r="Q74" s="2"/>
      <c r="R74" s="6">
        <f t="shared" si="32"/>
        <v>2.5063633194781287E-4</v>
      </c>
      <c r="S74" s="2"/>
      <c r="T74" s="7">
        <v>172.87</v>
      </c>
      <c r="U74" s="2"/>
      <c r="V74" s="6">
        <f t="shared" si="33"/>
        <v>4.0560678230288364E-4</v>
      </c>
      <c r="W74" s="2"/>
      <c r="X74" s="7">
        <f t="shared" si="34"/>
        <v>-80.050000000000011</v>
      </c>
      <c r="Y74" s="2"/>
      <c r="Z74" s="6">
        <f t="shared" si="35"/>
        <v>-0.46306473072250831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7">
        <v>582.44000000000005</v>
      </c>
      <c r="E75" s="2"/>
      <c r="F75" s="6">
        <f t="shared" si="28"/>
        <v>1.5727281316492584E-3</v>
      </c>
      <c r="G75" s="2"/>
      <c r="H75" s="7">
        <v>131.68</v>
      </c>
      <c r="I75" s="2"/>
      <c r="J75" s="6">
        <f t="shared" si="29"/>
        <v>3.0896223227652985E-4</v>
      </c>
      <c r="K75" s="2"/>
      <c r="L75" s="7">
        <f t="shared" si="30"/>
        <v>450.76000000000005</v>
      </c>
      <c r="M75" s="2"/>
      <c r="N75" s="6">
        <f t="shared" si="31"/>
        <v>3.4231470230862699</v>
      </c>
      <c r="O75" s="11"/>
      <c r="P75" s="7">
        <v>582.44000000000005</v>
      </c>
      <c r="Q75" s="2"/>
      <c r="R75" s="6">
        <f t="shared" si="32"/>
        <v>1.5727281316492584E-3</v>
      </c>
      <c r="S75" s="2"/>
      <c r="T75" s="7">
        <v>131.68</v>
      </c>
      <c r="U75" s="2"/>
      <c r="V75" s="6">
        <f t="shared" si="33"/>
        <v>3.0896223227652985E-4</v>
      </c>
      <c r="W75" s="2"/>
      <c r="X75" s="7">
        <f t="shared" si="34"/>
        <v>450.76000000000005</v>
      </c>
      <c r="Y75" s="2"/>
      <c r="Z75" s="6">
        <f t="shared" si="35"/>
        <v>3.4231470230862699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SUM(OSRRefD22_9x_0)</f>
        <v>177.05</v>
      </c>
      <c r="E76" s="1"/>
      <c r="F76" s="5">
        <f t="shared" ref="F76:F77" si="36">IF(D$12=0,0,D76/D$12)</f>
        <v>4.7807759719198741E-4</v>
      </c>
      <c r="G76" s="1"/>
      <c r="H76" s="1">
        <f>SUM(OSRRefH22_9x_0)</f>
        <v>711.1</v>
      </c>
      <c r="I76" s="1"/>
      <c r="J76" s="5">
        <f t="shared" ref="J76:J77" si="37">IF(H$12=0,0,H76/H$12)</f>
        <v>1.668461751001218E-3</v>
      </c>
      <c r="K76" s="1"/>
      <c r="L76" s="1">
        <f t="shared" ref="L76:L77" si="38">+D76-H76</f>
        <v>-534.04999999999995</v>
      </c>
      <c r="M76" s="1"/>
      <c r="N76" s="5">
        <f t="shared" ref="N76:N77" si="39">IF(H76=0,0,L76/H76)</f>
        <v>-0.75101954718042463</v>
      </c>
      <c r="O76" s="14"/>
      <c r="P76" s="1">
        <f>SUM(OSRRefP22_9x_0)</f>
        <v>177.05</v>
      </c>
      <c r="Q76" s="1"/>
      <c r="R76" s="5">
        <f t="shared" ref="R76:R77" si="40">IF(P$12=0,0,P76/P$12)</f>
        <v>4.7807759719198741E-4</v>
      </c>
      <c r="S76" s="1"/>
      <c r="T76" s="1">
        <f>SUM(OSRRefT22_9x_0)</f>
        <v>711.1</v>
      </c>
      <c r="U76" s="1"/>
      <c r="V76" s="5">
        <f t="shared" ref="V76:V77" si="41">IF(T$12=0,0,T76/T$12)</f>
        <v>1.668461751001218E-3</v>
      </c>
      <c r="W76" s="1"/>
      <c r="X76" s="1">
        <f t="shared" ref="X76:X77" si="42">+P76-T76</f>
        <v>-534.04999999999995</v>
      </c>
      <c r="Y76" s="1"/>
      <c r="Z76" s="5">
        <f t="shared" ref="Z76:Z77" si="43">IF(T76=0,0,X76/T76)</f>
        <v>-0.75101954718042463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>
        <v>177.05</v>
      </c>
      <c r="E77" s="2"/>
      <c r="F77" s="6">
        <f t="shared" si="36"/>
        <v>4.7807759719198741E-4</v>
      </c>
      <c r="G77" s="2"/>
      <c r="H77" s="7">
        <v>711.1</v>
      </c>
      <c r="I77" s="2"/>
      <c r="J77" s="6">
        <f t="shared" si="37"/>
        <v>1.668461751001218E-3</v>
      </c>
      <c r="K77" s="2"/>
      <c r="L77" s="7">
        <f t="shared" si="38"/>
        <v>-534.04999999999995</v>
      </c>
      <c r="M77" s="2"/>
      <c r="N77" s="6">
        <f t="shared" si="39"/>
        <v>-0.75101954718042463</v>
      </c>
      <c r="O77" s="11"/>
      <c r="P77" s="7">
        <v>177.05</v>
      </c>
      <c r="Q77" s="2"/>
      <c r="R77" s="6">
        <f t="shared" si="40"/>
        <v>4.7807759719198741E-4</v>
      </c>
      <c r="S77" s="2"/>
      <c r="T77" s="7">
        <v>711.1</v>
      </c>
      <c r="U77" s="2"/>
      <c r="V77" s="6">
        <f t="shared" si="41"/>
        <v>1.668461751001218E-3</v>
      </c>
      <c r="W77" s="2"/>
      <c r="X77" s="7">
        <f t="shared" si="42"/>
        <v>-534.04999999999995</v>
      </c>
      <c r="Y77" s="2"/>
      <c r="Z77" s="6">
        <f t="shared" si="43"/>
        <v>-0.75101954718042463</v>
      </c>
    </row>
    <row r="78" spans="1:26" s="54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6" t="s">
        <v>0</v>
      </c>
      <c r="C79" s="10"/>
      <c r="D79" s="4">
        <f>SUM(OSRRefD25x_0)</f>
        <v>17.80000000000004</v>
      </c>
      <c r="E79" s="4"/>
      <c r="F79" s="12">
        <f t="shared" ref="F79:F82" si="44">IF(D$12=0,0,D79/D$12)</f>
        <v>4.8064282575641881E-5</v>
      </c>
      <c r="G79" s="4"/>
      <c r="H79" s="4">
        <f>SUM(OSRRefH25x_0)</f>
        <v>-23.919999999999959</v>
      </c>
      <c r="I79" s="4"/>
      <c r="J79" s="12">
        <f t="shared" ref="J79:J82" si="45">IF(H$12=0,0,H79/H$12)</f>
        <v>-5.6123759083039045E-5</v>
      </c>
      <c r="K79" s="4"/>
      <c r="L79" s="4">
        <f t="shared" ref="L79:L82" si="46">+D79-H79</f>
        <v>41.72</v>
      </c>
      <c r="M79" s="4"/>
      <c r="N79" s="12">
        <f t="shared" ref="N79:N82" si="47">IF(H79=0,0,L79/H79)</f>
        <v>-1.7441471571906384</v>
      </c>
      <c r="O79" s="10"/>
      <c r="P79" s="4">
        <f>SUM(OSRRefP25x_0)</f>
        <v>17.80000000000004</v>
      </c>
      <c r="Q79" s="4"/>
      <c r="R79" s="12">
        <f t="shared" ref="R79:R82" si="48">IF(P$12=0,0,P79/P$12)</f>
        <v>4.8064282575641881E-5</v>
      </c>
      <c r="S79" s="4"/>
      <c r="T79" s="4">
        <f>SUM(OSRRefT25x_0)</f>
        <v>-23.919999999999959</v>
      </c>
      <c r="U79" s="4"/>
      <c r="V79" s="12">
        <f t="shared" ref="V79:V82" si="49">IF(T$12=0,0,T79/T$12)</f>
        <v>-5.6123759083039045E-5</v>
      </c>
      <c r="W79" s="4"/>
      <c r="X79" s="4">
        <f t="shared" ref="X79:X82" si="50">+P79-T79</f>
        <v>41.72</v>
      </c>
      <c r="Y79" s="4"/>
      <c r="Z79" s="12">
        <f t="shared" ref="Z79:Z82" si="51">IF(T79=0,0,X79/T79)</f>
        <v>-1.7441471571906384</v>
      </c>
    </row>
    <row r="80" spans="1:26" s="24" customFormat="1" hidden="1" outlineLevel="1" x14ac:dyDescent="0.25">
      <c r="A80" s="50"/>
      <c r="B80" s="11" t="str">
        <f>CONCATENATE("          ", "4187", " - ", "NON-TAXABLE SALES-COMPUTER REP")</f>
        <v xml:space="preserve">          4187 - NON-TAXABLE SALES-COMPUTER REP</v>
      </c>
      <c r="C80" s="11"/>
      <c r="D80" s="2">
        <f>--781.89</f>
        <v>781.89</v>
      </c>
      <c r="E80" s="2"/>
      <c r="F80" s="22">
        <f t="shared" si="44"/>
        <v>2.1112911181499182E-3</v>
      </c>
      <c r="G80" s="2"/>
      <c r="H80" s="2">
        <f>--314.73</f>
        <v>314.73</v>
      </c>
      <c r="I80" s="2"/>
      <c r="J80" s="22">
        <f t="shared" si="45"/>
        <v>7.3845446054368353E-4</v>
      </c>
      <c r="K80" s="2"/>
      <c r="L80" s="2">
        <f t="shared" si="46"/>
        <v>467.15999999999997</v>
      </c>
      <c r="M80" s="2"/>
      <c r="N80" s="22">
        <f t="shared" si="47"/>
        <v>1.4843198932418262</v>
      </c>
      <c r="O80" s="11"/>
      <c r="P80" s="2">
        <f>--781.89</f>
        <v>781.89</v>
      </c>
      <c r="Q80" s="2"/>
      <c r="R80" s="22">
        <f t="shared" si="48"/>
        <v>2.1112911181499182E-3</v>
      </c>
      <c r="S80" s="2"/>
      <c r="T80" s="2">
        <f>--314.73</f>
        <v>314.73</v>
      </c>
      <c r="U80" s="2"/>
      <c r="V80" s="22">
        <f t="shared" si="49"/>
        <v>7.3845446054368353E-4</v>
      </c>
      <c r="W80" s="2"/>
      <c r="X80" s="2">
        <f t="shared" si="50"/>
        <v>467.15999999999997</v>
      </c>
      <c r="Y80" s="2"/>
      <c r="Z80" s="22">
        <f t="shared" si="51"/>
        <v>1.4843198932418262</v>
      </c>
    </row>
    <row r="81" spans="1:26" s="24" customFormat="1" hidden="1" outlineLevel="1" x14ac:dyDescent="0.25">
      <c r="A81" s="50"/>
      <c r="B81" s="11" t="str">
        <f>CONCATENATE("          ", "4387", " - ", "SALES RETURN NON TAXABLE-COMPU")</f>
        <v xml:space="preserve">          4387 - SALES RETURN NON TAXABLE-COMPU</v>
      </c>
      <c r="C81" s="11"/>
      <c r="D81" s="2">
        <f>-630.8</f>
        <v>-630.79999999999995</v>
      </c>
      <c r="E81" s="2"/>
      <c r="F81" s="22">
        <f t="shared" si="44"/>
        <v>-1.703311766781732E-3</v>
      </c>
      <c r="G81" s="2"/>
      <c r="H81" s="2">
        <f>0</f>
        <v>0</v>
      </c>
      <c r="I81" s="2"/>
      <c r="J81" s="22">
        <f t="shared" si="45"/>
        <v>0</v>
      </c>
      <c r="K81" s="2"/>
      <c r="L81" s="2">
        <f t="shared" si="46"/>
        <v>-630.79999999999995</v>
      </c>
      <c r="M81" s="2"/>
      <c r="N81" s="22">
        <f t="shared" si="47"/>
        <v>0</v>
      </c>
      <c r="O81" s="11"/>
      <c r="P81" s="2">
        <f>-630.8</f>
        <v>-630.79999999999995</v>
      </c>
      <c r="Q81" s="2"/>
      <c r="R81" s="22">
        <f t="shared" si="48"/>
        <v>-1.703311766781732E-3</v>
      </c>
      <c r="S81" s="2"/>
      <c r="T81" s="2">
        <f>0</f>
        <v>0</v>
      </c>
      <c r="U81" s="2"/>
      <c r="V81" s="22">
        <f t="shared" si="49"/>
        <v>0</v>
      </c>
      <c r="W81" s="2"/>
      <c r="X81" s="2">
        <f t="shared" si="50"/>
        <v>-630.79999999999995</v>
      </c>
      <c r="Y81" s="2"/>
      <c r="Z81" s="22">
        <f t="shared" si="51"/>
        <v>0</v>
      </c>
    </row>
    <row r="82" spans="1:26" s="24" customFormat="1" hidden="1" outlineLevel="1" x14ac:dyDescent="0.25">
      <c r="A82" s="50"/>
      <c r="B82" s="11" t="str">
        <f>CONCATENATE("          ", "9150", " - ", "MISC. INCOME")</f>
        <v xml:space="preserve">          9150 - MISC. INCOME</v>
      </c>
      <c r="C82" s="11"/>
      <c r="D82" s="2">
        <f>-133.29</f>
        <v>-133.29</v>
      </c>
      <c r="E82" s="2"/>
      <c r="F82" s="22">
        <f t="shared" si="44"/>
        <v>-3.5991506879254445E-4</v>
      </c>
      <c r="G82" s="2"/>
      <c r="H82" s="2">
        <f>-338.65</f>
        <v>-338.65</v>
      </c>
      <c r="I82" s="2"/>
      <c r="J82" s="22">
        <f t="shared" si="45"/>
        <v>-7.9457821962672262E-4</v>
      </c>
      <c r="K82" s="2"/>
      <c r="L82" s="2">
        <f t="shared" si="46"/>
        <v>205.35999999999999</v>
      </c>
      <c r="M82" s="2"/>
      <c r="N82" s="22">
        <f t="shared" si="47"/>
        <v>-0.60640779565923519</v>
      </c>
      <c r="O82" s="11"/>
      <c r="P82" s="2">
        <f>-133.29</f>
        <v>-133.29</v>
      </c>
      <c r="Q82" s="2"/>
      <c r="R82" s="22">
        <f t="shared" si="48"/>
        <v>-3.5991506879254445E-4</v>
      </c>
      <c r="S82" s="2"/>
      <c r="T82" s="2">
        <f>-338.65</f>
        <v>-338.65</v>
      </c>
      <c r="U82" s="2"/>
      <c r="V82" s="22">
        <f t="shared" si="49"/>
        <v>-7.9457821962672262E-4</v>
      </c>
      <c r="W82" s="2"/>
      <c r="X82" s="2">
        <f t="shared" si="50"/>
        <v>205.35999999999999</v>
      </c>
      <c r="Y82" s="2"/>
      <c r="Z82" s="22">
        <f t="shared" si="51"/>
        <v>-0.60640779565923519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5" t="s">
        <v>3</v>
      </c>
      <c r="C84" s="25"/>
      <c r="D84" s="21">
        <f>+D43-D45+D79</f>
        <v>3006.0500000000511</v>
      </c>
      <c r="E84" s="13"/>
      <c r="F84" s="20">
        <f>IF(D$12=0,0,D84/D$12)</f>
        <v>8.1170582380062032E-3</v>
      </c>
      <c r="G84" s="13"/>
      <c r="H84" s="21">
        <f>+H43-H45+H79</f>
        <v>29950.789999999964</v>
      </c>
      <c r="I84" s="13"/>
      <c r="J84" s="20">
        <f>IF(H$12=0,0,H84/H$12)</f>
        <v>7.0273867989410363E-2</v>
      </c>
      <c r="K84" s="16"/>
      <c r="L84" s="21">
        <f>+D84-H84</f>
        <v>-26944.739999999914</v>
      </c>
      <c r="M84" s="16"/>
      <c r="N84" s="20">
        <f>IF(H84=0,0,L84/H84)</f>
        <v>-0.89963369914449487</v>
      </c>
      <c r="O84" s="26"/>
      <c r="P84" s="21">
        <f>+P43-P45+P79</f>
        <v>3006.0500000000511</v>
      </c>
      <c r="Q84" s="13"/>
      <c r="R84" s="20">
        <f>IF(P$12=0,0,P84/P$12)</f>
        <v>8.1170582380062032E-3</v>
      </c>
      <c r="S84" s="13"/>
      <c r="T84" s="21">
        <f>+T43-T45+T79</f>
        <v>29950.789999999964</v>
      </c>
      <c r="U84" s="13"/>
      <c r="V84" s="20">
        <f>IF(T$12=0,0,T84/T$12)</f>
        <v>7.0273867989410363E-2</v>
      </c>
      <c r="W84" s="16"/>
      <c r="X84" s="21">
        <f>+P84-T84</f>
        <v>-26944.739999999914</v>
      </c>
      <c r="Y84" s="16"/>
      <c r="Z84" s="20">
        <f>IF(T84=0,0,X84/T84)</f>
        <v>-0.89963369914449487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77004.05</v>
      </c>
      <c r="E86" s="4"/>
      <c r="F86" s="12">
        <f>IF(D$12=0,0,D86/D$12)</f>
        <v>0.207929461722969</v>
      </c>
      <c r="G86" s="4"/>
      <c r="H86" s="4">
        <v>87499.33</v>
      </c>
      <c r="I86" s="4"/>
      <c r="J86" s="12">
        <f>IF(H$12=0,0,H86/H$12)</f>
        <v>0.20530064033642723</v>
      </c>
      <c r="K86" s="4"/>
      <c r="L86" s="4">
        <f>+D86-H86</f>
        <v>-10495.279999999999</v>
      </c>
      <c r="M86" s="4"/>
      <c r="N86" s="12">
        <f>IF(H86=0,0,L86/H86)</f>
        <v>-0.11994697559398454</v>
      </c>
      <c r="O86" s="10"/>
      <c r="P86" s="4">
        <v>77004.05</v>
      </c>
      <c r="Q86" s="4"/>
      <c r="R86" s="12">
        <f>IF(P$12=0,0,P86/P$12)</f>
        <v>0.207929461722969</v>
      </c>
      <c r="S86" s="4"/>
      <c r="T86" s="4">
        <v>87499.33</v>
      </c>
      <c r="U86" s="4"/>
      <c r="V86" s="12">
        <f>IF(T$12=0,0,T86/T$12)</f>
        <v>0.20530064033642723</v>
      </c>
      <c r="W86" s="4"/>
      <c r="X86" s="4">
        <f>+P86-T86</f>
        <v>-10495.279999999999</v>
      </c>
      <c r="Y86" s="4"/>
      <c r="Z86" s="12">
        <f>IF(T86=0,0,X86/T86)</f>
        <v>-0.11994697559398454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4</v>
      </c>
      <c r="C88" s="25"/>
      <c r="D88" s="33">
        <f>+D84-D86</f>
        <v>-73997.999999999956</v>
      </c>
      <c r="E88" s="13"/>
      <c r="F88" s="34">
        <f>IF(D$12=0,0,D88/D$12)</f>
        <v>-0.19981240348496279</v>
      </c>
      <c r="G88" s="13"/>
      <c r="H88" s="33">
        <f>+H84-H86</f>
        <v>-57548.540000000037</v>
      </c>
      <c r="I88" s="13"/>
      <c r="J88" s="34">
        <f>IF(H$12=0,0,H88/H$12)</f>
        <v>-0.13502677234701688</v>
      </c>
      <c r="K88" s="16"/>
      <c r="L88" s="33">
        <f>D88-H88</f>
        <v>-16449.459999999919</v>
      </c>
      <c r="M88" s="16"/>
      <c r="N88" s="34">
        <f>IF(H88=0,0,L88/H88)</f>
        <v>0.28583626969511144</v>
      </c>
      <c r="O88" s="26"/>
      <c r="P88" s="33">
        <f>+P84-P86</f>
        <v>-73997.999999999956</v>
      </c>
      <c r="Q88" s="13"/>
      <c r="R88" s="34">
        <f>IF(P$12=0,0,P88/P$12)</f>
        <v>-0.19981240348496279</v>
      </c>
      <c r="S88" s="13"/>
      <c r="T88" s="33">
        <f>+T84-T86</f>
        <v>-57548.540000000037</v>
      </c>
      <c r="U88" s="13"/>
      <c r="V88" s="34">
        <f>IF(T$12=0,0,T88/T$12)</f>
        <v>-0.13502677234701688</v>
      </c>
      <c r="W88" s="16"/>
      <c r="X88" s="33">
        <f>P88-T88</f>
        <v>-16449.459999999919</v>
      </c>
      <c r="Y88" s="16"/>
      <c r="Z88" s="34">
        <f>IF(T88=0,0,X88/T88)</f>
        <v>0.28583626969511144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5</v>
      </c>
      <c r="C91" s="25"/>
      <c r="D91" s="31">
        <f>SUM(D88:D90)</f>
        <v>-73997.999999999956</v>
      </c>
      <c r="E91" s="13"/>
      <c r="F91" s="30">
        <f>IF(D$12=0,0,D91/D$12)</f>
        <v>-0.19981240348496279</v>
      </c>
      <c r="G91" s="13"/>
      <c r="H91" s="31">
        <f>SUM(H88:H90)</f>
        <v>-57548.540000000037</v>
      </c>
      <c r="I91" s="13"/>
      <c r="J91" s="30">
        <f>IF(H$12=0,0,H91/H$12)</f>
        <v>-0.13502677234701688</v>
      </c>
      <c r="K91" s="16"/>
      <c r="L91" s="31">
        <f>+D91-H91</f>
        <v>-16449.459999999919</v>
      </c>
      <c r="M91" s="16"/>
      <c r="N91" s="30">
        <f>IF(H91=0,0,L91/H91)</f>
        <v>0.28583626969511144</v>
      </c>
      <c r="O91" s="26"/>
      <c r="P91" s="31">
        <f>SUM(P88:P90)</f>
        <v>-73997.999999999956</v>
      </c>
      <c r="Q91" s="13"/>
      <c r="R91" s="30">
        <f>IF(P$12=0,0,P91/P$12)</f>
        <v>-0.19981240348496279</v>
      </c>
      <c r="S91" s="13"/>
      <c r="T91" s="31">
        <f>SUM(T88:T90)</f>
        <v>-57548.540000000037</v>
      </c>
      <c r="U91" s="13"/>
      <c r="V91" s="30">
        <f>IF(T$12=0,0,T91/T$12)</f>
        <v>-0.13502677234701688</v>
      </c>
      <c r="W91" s="16"/>
      <c r="X91" s="31">
        <f>+P91-T91</f>
        <v>-16449.459999999919</v>
      </c>
      <c r="Y91" s="16"/>
      <c r="Z91" s="30">
        <f>IF(T91=0,0,X91/T91)</f>
        <v>0.28583626969511144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>
        <v>43726.681580127311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3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370337.37</v>
      </c>
      <c r="E12" s="4"/>
      <c r="F12" s="12"/>
      <c r="G12" s="4"/>
      <c r="H12" s="4">
        <f>SUM(OSRRefH13x_0)</f>
        <v>426200.95999999996</v>
      </c>
      <c r="I12" s="4"/>
      <c r="J12" s="12"/>
      <c r="K12" s="4"/>
      <c r="L12" s="4">
        <f t="shared" ref="L12:L30" si="0">+D12-H12</f>
        <v>-55863.589999999967</v>
      </c>
      <c r="M12" s="4"/>
      <c r="N12" s="12">
        <f t="shared" ref="N12:N30" si="1">IF(H12=0,0,L12/H12)</f>
        <v>-0.13107335563017028</v>
      </c>
      <c r="O12" s="10"/>
      <c r="P12" s="4">
        <f>SUM(OSRRefP13x_0)</f>
        <v>370337.37</v>
      </c>
      <c r="Q12" s="4"/>
      <c r="R12" s="12"/>
      <c r="S12" s="4"/>
      <c r="T12" s="4">
        <f>SUM(OSRRefT13x_0)</f>
        <v>426200.95999999996</v>
      </c>
      <c r="U12" s="4"/>
      <c r="V12" s="12"/>
      <c r="W12" s="4"/>
      <c r="X12" s="4">
        <f t="shared" ref="X12:X30" si="2">+P12-T12</f>
        <v>-55863.589999999967</v>
      </c>
      <c r="Y12" s="4"/>
      <c r="Z12" s="12">
        <f t="shared" ref="Z12:Z30" si="3">IF(T12=0,0,X12/T12)</f>
        <v>-0.13107335563017028</v>
      </c>
    </row>
    <row r="13" spans="1:26" s="24" customFormat="1" hidden="1" outlineLevel="1" x14ac:dyDescent="0.25">
      <c r="A13" s="50"/>
      <c r="B13" s="11" t="str">
        <f>CONCATENATE("          ", "4081", " - ", "TAXABLE SALES-ELECTRONICS")</f>
        <v xml:space="preserve">          4081 - TAXABLE SALES-ELECTRONICS</v>
      </c>
      <c r="C13" s="11"/>
      <c r="D13" s="2">
        <f>--20944.59</f>
        <v>20944.59</v>
      </c>
      <c r="E13" s="2"/>
      <c r="F13" s="22"/>
      <c r="G13" s="2"/>
      <c r="H13" s="2">
        <f>--17053.89</f>
        <v>17053.89</v>
      </c>
      <c r="I13" s="2"/>
      <c r="J13" s="22"/>
      <c r="K13" s="2"/>
      <c r="L13" s="2">
        <f t="shared" si="0"/>
        <v>3890.7000000000007</v>
      </c>
      <c r="M13" s="2"/>
      <c r="N13" s="22">
        <f t="shared" si="1"/>
        <v>0.2281414973357985</v>
      </c>
      <c r="O13" s="11"/>
      <c r="P13" s="2">
        <f>--20944.59</f>
        <v>20944.59</v>
      </c>
      <c r="Q13" s="2"/>
      <c r="R13" s="22"/>
      <c r="S13" s="2"/>
      <c r="T13" s="2">
        <f>--17053.89</f>
        <v>17053.89</v>
      </c>
      <c r="U13" s="2"/>
      <c r="V13" s="22"/>
      <c r="W13" s="2"/>
      <c r="X13" s="2">
        <f t="shared" si="2"/>
        <v>3890.7000000000007</v>
      </c>
      <c r="Y13" s="2"/>
      <c r="Z13" s="22">
        <f t="shared" si="3"/>
        <v>0.2281414973357985</v>
      </c>
    </row>
    <row r="14" spans="1:26" s="24" customFormat="1" hidden="1" outlineLevel="1" x14ac:dyDescent="0.25">
      <c r="A14" s="50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--398769.74</f>
        <v>398769.74</v>
      </c>
      <c r="E14" s="2"/>
      <c r="F14" s="22"/>
      <c r="G14" s="2"/>
      <c r="H14" s="2">
        <f>--371248.83</f>
        <v>371248.83</v>
      </c>
      <c r="I14" s="2"/>
      <c r="J14" s="22"/>
      <c r="K14" s="2"/>
      <c r="L14" s="2">
        <f t="shared" si="0"/>
        <v>27520.909999999974</v>
      </c>
      <c r="M14" s="2"/>
      <c r="N14" s="22">
        <f t="shared" si="1"/>
        <v>7.4130630930203806E-2</v>
      </c>
      <c r="O14" s="11"/>
      <c r="P14" s="2">
        <f>--398769.74</f>
        <v>398769.74</v>
      </c>
      <c r="Q14" s="2"/>
      <c r="R14" s="22"/>
      <c r="S14" s="2"/>
      <c r="T14" s="2">
        <f>--371248.83</f>
        <v>371248.83</v>
      </c>
      <c r="U14" s="2"/>
      <c r="V14" s="22"/>
      <c r="W14" s="2"/>
      <c r="X14" s="2">
        <f t="shared" si="2"/>
        <v>27520.909999999974</v>
      </c>
      <c r="Y14" s="2"/>
      <c r="Z14" s="22">
        <f t="shared" si="3"/>
        <v>7.4130630930203806E-2</v>
      </c>
    </row>
    <row r="15" spans="1:26" s="24" customFormat="1" hidden="1" outlineLevel="1" x14ac:dyDescent="0.25">
      <c r="A15" s="50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--7906.1</f>
        <v>7906.1</v>
      </c>
      <c r="E15" s="2"/>
      <c r="F15" s="22"/>
      <c r="G15" s="2"/>
      <c r="H15" s="2">
        <f>--7417.5</f>
        <v>7417.5</v>
      </c>
      <c r="I15" s="2"/>
      <c r="J15" s="22"/>
      <c r="K15" s="2"/>
      <c r="L15" s="2">
        <f t="shared" si="0"/>
        <v>488.60000000000036</v>
      </c>
      <c r="M15" s="2"/>
      <c r="N15" s="22">
        <f t="shared" si="1"/>
        <v>6.5871250421301028E-2</v>
      </c>
      <c r="O15" s="11"/>
      <c r="P15" s="2">
        <f>--7906.1</f>
        <v>7906.1</v>
      </c>
      <c r="Q15" s="2"/>
      <c r="R15" s="22"/>
      <c r="S15" s="2"/>
      <c r="T15" s="2">
        <f>--7417.5</f>
        <v>7417.5</v>
      </c>
      <c r="U15" s="2"/>
      <c r="V15" s="22"/>
      <c r="W15" s="2"/>
      <c r="X15" s="2">
        <f t="shared" si="2"/>
        <v>488.60000000000036</v>
      </c>
      <c r="Y15" s="2"/>
      <c r="Z15" s="22">
        <f t="shared" si="3"/>
        <v>6.5871250421301028E-2</v>
      </c>
    </row>
    <row r="16" spans="1:26" s="24" customFormat="1" hidden="1" outlineLevel="1" x14ac:dyDescent="0.25">
      <c r="A16" s="50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--129</f>
        <v>129</v>
      </c>
      <c r="E16" s="2"/>
      <c r="F16" s="22"/>
      <c r="G16" s="2"/>
      <c r="H16" s="2">
        <f>--278.99</f>
        <v>278.99</v>
      </c>
      <c r="I16" s="2"/>
      <c r="J16" s="22"/>
      <c r="K16" s="2"/>
      <c r="L16" s="2">
        <f t="shared" si="0"/>
        <v>-149.99</v>
      </c>
      <c r="M16" s="2"/>
      <c r="N16" s="22">
        <f t="shared" si="1"/>
        <v>-0.53761783576472277</v>
      </c>
      <c r="O16" s="11"/>
      <c r="P16" s="2">
        <f>--129</f>
        <v>129</v>
      </c>
      <c r="Q16" s="2"/>
      <c r="R16" s="22"/>
      <c r="S16" s="2"/>
      <c r="T16" s="2">
        <f>--278.99</f>
        <v>278.99</v>
      </c>
      <c r="U16" s="2"/>
      <c r="V16" s="22"/>
      <c r="W16" s="2"/>
      <c r="X16" s="2">
        <f t="shared" si="2"/>
        <v>-149.99</v>
      </c>
      <c r="Y16" s="2"/>
      <c r="Z16" s="22">
        <f t="shared" si="3"/>
        <v>-0.53761783576472277</v>
      </c>
    </row>
    <row r="17" spans="1:26" s="24" customFormat="1" hidden="1" outlineLevel="1" x14ac:dyDescent="0.25">
      <c r="A17" s="50"/>
      <c r="B17" s="11" t="str">
        <f>CONCATENATE("          ", "4085", " - ", "TAXABLE SALES-SOFTWARE")</f>
        <v xml:space="preserve">          4085 - TAXABLE SALES-SOFTWARE</v>
      </c>
      <c r="C17" s="11"/>
      <c r="D17" s="2">
        <f>--493.95</f>
        <v>493.95</v>
      </c>
      <c r="E17" s="2"/>
      <c r="F17" s="22"/>
      <c r="G17" s="2"/>
      <c r="H17" s="2">
        <f>--816</f>
        <v>816</v>
      </c>
      <c r="I17" s="2"/>
      <c r="J17" s="22"/>
      <c r="K17" s="2"/>
      <c r="L17" s="2">
        <f t="shared" si="0"/>
        <v>-322.05</v>
      </c>
      <c r="M17" s="2"/>
      <c r="N17" s="22">
        <f t="shared" si="1"/>
        <v>-0.39466911764705886</v>
      </c>
      <c r="O17" s="11"/>
      <c r="P17" s="2">
        <f>--493.95</f>
        <v>493.95</v>
      </c>
      <c r="Q17" s="2"/>
      <c r="R17" s="22"/>
      <c r="S17" s="2"/>
      <c r="T17" s="2">
        <f>--816</f>
        <v>816</v>
      </c>
      <c r="U17" s="2"/>
      <c r="V17" s="22"/>
      <c r="W17" s="2"/>
      <c r="X17" s="2">
        <f t="shared" si="2"/>
        <v>-322.05</v>
      </c>
      <c r="Y17" s="2"/>
      <c r="Z17" s="22">
        <f t="shared" si="3"/>
        <v>-0.39466911764705886</v>
      </c>
    </row>
    <row r="18" spans="1:26" s="24" customFormat="1" hidden="1" outlineLevel="1" x14ac:dyDescent="0.25">
      <c r="A18" s="50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--1980.33</f>
        <v>1980.33</v>
      </c>
      <c r="E18" s="2"/>
      <c r="F18" s="22"/>
      <c r="G18" s="2"/>
      <c r="H18" s="2">
        <f>--4470.43</f>
        <v>4470.43</v>
      </c>
      <c r="I18" s="2"/>
      <c r="J18" s="22"/>
      <c r="K18" s="2"/>
      <c r="L18" s="2">
        <f t="shared" si="0"/>
        <v>-2490.1000000000004</v>
      </c>
      <c r="M18" s="2"/>
      <c r="N18" s="22">
        <f t="shared" si="1"/>
        <v>-0.55701576805810626</v>
      </c>
      <c r="O18" s="11"/>
      <c r="P18" s="2">
        <f>--1980.33</f>
        <v>1980.33</v>
      </c>
      <c r="Q18" s="2"/>
      <c r="R18" s="22"/>
      <c r="S18" s="2"/>
      <c r="T18" s="2">
        <f>--4470.43</f>
        <v>4470.43</v>
      </c>
      <c r="U18" s="2"/>
      <c r="V18" s="22"/>
      <c r="W18" s="2"/>
      <c r="X18" s="2">
        <f t="shared" si="2"/>
        <v>-2490.1000000000004</v>
      </c>
      <c r="Y18" s="2"/>
      <c r="Z18" s="22">
        <f t="shared" si="3"/>
        <v>-0.55701576805810626</v>
      </c>
    </row>
    <row r="19" spans="1:26" s="24" customFormat="1" hidden="1" outlineLevel="1" x14ac:dyDescent="0.25">
      <c r="A19" s="50"/>
      <c r="B19" s="11" t="str">
        <f>CONCATENATE("          ", "4088", " - ", "TAXABLE SALES-MUSIC")</f>
        <v xml:space="preserve">          4088 - TAXABLE SALES-MUSIC</v>
      </c>
      <c r="C19" s="11"/>
      <c r="D19" s="2">
        <f>--258.99</f>
        <v>258.99</v>
      </c>
      <c r="E19" s="2"/>
      <c r="F19" s="22"/>
      <c r="G19" s="2"/>
      <c r="H19" s="2">
        <f>--330.99</f>
        <v>330.99</v>
      </c>
      <c r="I19" s="2"/>
      <c r="J19" s="22"/>
      <c r="K19" s="2"/>
      <c r="L19" s="2">
        <f t="shared" si="0"/>
        <v>-72</v>
      </c>
      <c r="M19" s="2"/>
      <c r="N19" s="22">
        <f t="shared" si="1"/>
        <v>-0.21752923049034714</v>
      </c>
      <c r="O19" s="11"/>
      <c r="P19" s="2">
        <f>--258.99</f>
        <v>258.99</v>
      </c>
      <c r="Q19" s="2"/>
      <c r="R19" s="22"/>
      <c r="S19" s="2"/>
      <c r="T19" s="2">
        <f>--330.99</f>
        <v>330.99</v>
      </c>
      <c r="U19" s="2"/>
      <c r="V19" s="22"/>
      <c r="W19" s="2"/>
      <c r="X19" s="2">
        <f t="shared" si="2"/>
        <v>-72</v>
      </c>
      <c r="Y19" s="2"/>
      <c r="Z19" s="22">
        <f t="shared" si="3"/>
        <v>-0.21752923049034714</v>
      </c>
    </row>
    <row r="20" spans="1:26" s="24" customFormat="1" hidden="1" outlineLevel="1" x14ac:dyDescent="0.25">
      <c r="A20" s="50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--1302.61</f>
        <v>1302.6099999999999</v>
      </c>
      <c r="E20" s="2"/>
      <c r="F20" s="22"/>
      <c r="G20" s="2"/>
      <c r="H20" s="2">
        <f>--194.02</f>
        <v>194.02</v>
      </c>
      <c r="I20" s="2"/>
      <c r="J20" s="22"/>
      <c r="K20" s="2"/>
      <c r="L20" s="2">
        <f t="shared" si="0"/>
        <v>1108.5899999999999</v>
      </c>
      <c r="M20" s="2"/>
      <c r="N20" s="22">
        <f t="shared" si="1"/>
        <v>5.7137923925368508</v>
      </c>
      <c r="O20" s="11"/>
      <c r="P20" s="2">
        <f>--1302.61</f>
        <v>1302.6099999999999</v>
      </c>
      <c r="Q20" s="2"/>
      <c r="R20" s="22"/>
      <c r="S20" s="2"/>
      <c r="T20" s="2">
        <f>--194.02</f>
        <v>194.02</v>
      </c>
      <c r="U20" s="2"/>
      <c r="V20" s="22"/>
      <c r="W20" s="2"/>
      <c r="X20" s="2">
        <f t="shared" si="2"/>
        <v>1108.5899999999999</v>
      </c>
      <c r="Y20" s="2"/>
      <c r="Z20" s="22">
        <f t="shared" si="3"/>
        <v>5.7137923925368508</v>
      </c>
    </row>
    <row r="21" spans="1:26" s="24" customFormat="1" hidden="1" outlineLevel="1" x14ac:dyDescent="0.25">
      <c r="A21" s="50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--10618</f>
        <v>10618</v>
      </c>
      <c r="E21" s="2"/>
      <c r="F21" s="22"/>
      <c r="G21" s="2"/>
      <c r="H21" s="2">
        <f>--31126.98</f>
        <v>31126.98</v>
      </c>
      <c r="I21" s="2"/>
      <c r="J21" s="22"/>
      <c r="K21" s="2"/>
      <c r="L21" s="2">
        <f t="shared" si="0"/>
        <v>-20508.98</v>
      </c>
      <c r="M21" s="2"/>
      <c r="N21" s="22">
        <f t="shared" si="1"/>
        <v>-0.65888113784247615</v>
      </c>
      <c r="O21" s="11"/>
      <c r="P21" s="2">
        <f>--10618</f>
        <v>10618</v>
      </c>
      <c r="Q21" s="2"/>
      <c r="R21" s="22"/>
      <c r="S21" s="2"/>
      <c r="T21" s="2">
        <f>--31126.98</f>
        <v>31126.98</v>
      </c>
      <c r="U21" s="2"/>
      <c r="V21" s="22"/>
      <c r="W21" s="2"/>
      <c r="X21" s="2">
        <f t="shared" si="2"/>
        <v>-20508.98</v>
      </c>
      <c r="Y21" s="2"/>
      <c r="Z21" s="22">
        <f t="shared" si="3"/>
        <v>-0.65888113784247615</v>
      </c>
    </row>
    <row r="22" spans="1:26" s="24" customFormat="1" hidden="1" outlineLevel="1" x14ac:dyDescent="0.25">
      <c r="A22" s="50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--181.9</f>
        <v>181.9</v>
      </c>
      <c r="E22" s="2"/>
      <c r="F22" s="22"/>
      <c r="G22" s="2"/>
      <c r="H22" s="2">
        <f>--188.95</f>
        <v>188.95</v>
      </c>
      <c r="I22" s="2"/>
      <c r="J22" s="22"/>
      <c r="K22" s="2"/>
      <c r="L22" s="2">
        <f t="shared" si="0"/>
        <v>-7.0499999999999829</v>
      </c>
      <c r="M22" s="2"/>
      <c r="N22" s="22">
        <f t="shared" si="1"/>
        <v>-3.7311458057687132E-2</v>
      </c>
      <c r="O22" s="11"/>
      <c r="P22" s="2">
        <f>--181.9</f>
        <v>181.9</v>
      </c>
      <c r="Q22" s="2"/>
      <c r="R22" s="22"/>
      <c r="S22" s="2"/>
      <c r="T22" s="2">
        <f>--188.95</f>
        <v>188.95</v>
      </c>
      <c r="U22" s="2"/>
      <c r="V22" s="22"/>
      <c r="W22" s="2"/>
      <c r="X22" s="2">
        <f t="shared" si="2"/>
        <v>-7.0499999999999829</v>
      </c>
      <c r="Y22" s="2"/>
      <c r="Z22" s="22">
        <f t="shared" si="3"/>
        <v>-3.7311458057687132E-2</v>
      </c>
    </row>
    <row r="23" spans="1:26" s="24" customFormat="1" hidden="1" outlineLevel="1" x14ac:dyDescent="0.25">
      <c r="A23" s="50"/>
      <c r="B23" s="11" t="str">
        <f>CONCATENATE("          ", "4185", " - ", "NON-TAXABLE SALES-SOFTWARE")</f>
        <v xml:space="preserve">          4185 - NON-TAXABLE SALES-SOFTWARE</v>
      </c>
      <c r="C23" s="11"/>
      <c r="D23" s="2">
        <f>--752</f>
        <v>752</v>
      </c>
      <c r="E23" s="2"/>
      <c r="F23" s="22"/>
      <c r="G23" s="2"/>
      <c r="H23" s="2">
        <f>--768.98</f>
        <v>768.98</v>
      </c>
      <c r="I23" s="2"/>
      <c r="J23" s="22"/>
      <c r="K23" s="2"/>
      <c r="L23" s="2">
        <f t="shared" si="0"/>
        <v>-16.980000000000018</v>
      </c>
      <c r="M23" s="2"/>
      <c r="N23" s="22">
        <f t="shared" si="1"/>
        <v>-2.2081198470701471E-2</v>
      </c>
      <c r="O23" s="11"/>
      <c r="P23" s="2">
        <f>--752</f>
        <v>752</v>
      </c>
      <c r="Q23" s="2"/>
      <c r="R23" s="22"/>
      <c r="S23" s="2"/>
      <c r="T23" s="2">
        <f>--768.98</f>
        <v>768.98</v>
      </c>
      <c r="U23" s="2"/>
      <c r="V23" s="22"/>
      <c r="W23" s="2"/>
      <c r="X23" s="2">
        <f t="shared" si="2"/>
        <v>-16.980000000000018</v>
      </c>
      <c r="Y23" s="2"/>
      <c r="Z23" s="22">
        <f t="shared" si="3"/>
        <v>-2.2081198470701471E-2</v>
      </c>
    </row>
    <row r="24" spans="1:26" s="24" customFormat="1" hidden="1" outlineLevel="1" x14ac:dyDescent="0.25">
      <c r="A24" s="50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--79.97</f>
        <v>79.97</v>
      </c>
      <c r="E24" s="2"/>
      <c r="F24" s="22"/>
      <c r="G24" s="2"/>
      <c r="H24" s="2">
        <f>--839.23</f>
        <v>839.23</v>
      </c>
      <c r="I24" s="2"/>
      <c r="J24" s="22"/>
      <c r="K24" s="2"/>
      <c r="L24" s="2">
        <f t="shared" si="0"/>
        <v>-759.26</v>
      </c>
      <c r="M24" s="2"/>
      <c r="N24" s="22">
        <f t="shared" si="1"/>
        <v>-0.90471027012857019</v>
      </c>
      <c r="O24" s="11"/>
      <c r="P24" s="2">
        <f>--79.97</f>
        <v>79.97</v>
      </c>
      <c r="Q24" s="2"/>
      <c r="R24" s="22"/>
      <c r="S24" s="2"/>
      <c r="T24" s="2">
        <f>--839.23</f>
        <v>839.23</v>
      </c>
      <c r="U24" s="2"/>
      <c r="V24" s="22"/>
      <c r="W24" s="2"/>
      <c r="X24" s="2">
        <f t="shared" si="2"/>
        <v>-759.26</v>
      </c>
      <c r="Y24" s="2"/>
      <c r="Z24" s="22">
        <f t="shared" si="3"/>
        <v>-0.90471027012857019</v>
      </c>
    </row>
    <row r="25" spans="1:26" s="24" customFormat="1" hidden="1" outlineLevel="1" x14ac:dyDescent="0.25">
      <c r="A25" s="50"/>
      <c r="B25" s="11" t="str">
        <f>CONCATENATE("          ", "4188", " - ", "NON-TAXABLE SALES-MUSIC")</f>
        <v xml:space="preserve">          4188 - NON-TAXABLE SALES-MUSIC</v>
      </c>
      <c r="C25" s="11"/>
      <c r="D25" s="2">
        <f>--99.98</f>
        <v>99.98</v>
      </c>
      <c r="E25" s="2"/>
      <c r="F25" s="22"/>
      <c r="G25" s="2"/>
      <c r="H25" s="2">
        <f>--199.98</f>
        <v>199.98</v>
      </c>
      <c r="I25" s="2"/>
      <c r="J25" s="22"/>
      <c r="K25" s="2"/>
      <c r="L25" s="2">
        <f t="shared" si="0"/>
        <v>-99.999999999999986</v>
      </c>
      <c r="M25" s="2"/>
      <c r="N25" s="22">
        <f t="shared" si="1"/>
        <v>-0.50005000500050001</v>
      </c>
      <c r="O25" s="11"/>
      <c r="P25" s="2">
        <f>--99.98</f>
        <v>99.98</v>
      </c>
      <c r="Q25" s="2"/>
      <c r="R25" s="22"/>
      <c r="S25" s="2"/>
      <c r="T25" s="2">
        <f>--199.98</f>
        <v>199.98</v>
      </c>
      <c r="U25" s="2"/>
      <c r="V25" s="22"/>
      <c r="W25" s="2"/>
      <c r="X25" s="2">
        <f t="shared" si="2"/>
        <v>-99.999999999999986</v>
      </c>
      <c r="Y25" s="2"/>
      <c r="Z25" s="22">
        <f t="shared" si="3"/>
        <v>-0.50005000500050001</v>
      </c>
    </row>
    <row r="26" spans="1:26" s="24" customFormat="1" hidden="1" outlineLevel="1" x14ac:dyDescent="0.25">
      <c r="A26" s="50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>-1658.99</f>
        <v>-1658.99</v>
      </c>
      <c r="E26" s="2"/>
      <c r="F26" s="22"/>
      <c r="G26" s="2"/>
      <c r="H26" s="2">
        <f>-329.94</f>
        <v>-329.94</v>
      </c>
      <c r="I26" s="2"/>
      <c r="J26" s="22"/>
      <c r="K26" s="2"/>
      <c r="L26" s="2">
        <f t="shared" si="0"/>
        <v>-1329.05</v>
      </c>
      <c r="M26" s="2"/>
      <c r="N26" s="22">
        <f t="shared" si="1"/>
        <v>4.0281566345396129</v>
      </c>
      <c r="O26" s="11"/>
      <c r="P26" s="2">
        <f>-1658.99</f>
        <v>-1658.99</v>
      </c>
      <c r="Q26" s="2"/>
      <c r="R26" s="22"/>
      <c r="S26" s="2"/>
      <c r="T26" s="2">
        <f>-329.94</f>
        <v>-329.94</v>
      </c>
      <c r="U26" s="2"/>
      <c r="V26" s="22"/>
      <c r="W26" s="2"/>
      <c r="X26" s="2">
        <f t="shared" si="2"/>
        <v>-1329.05</v>
      </c>
      <c r="Y26" s="2"/>
      <c r="Z26" s="22">
        <f t="shared" si="3"/>
        <v>4.0281566345396129</v>
      </c>
    </row>
    <row r="27" spans="1:26" s="24" customFormat="1" hidden="1" outlineLevel="1" x14ac:dyDescent="0.25">
      <c r="A27" s="50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>-70341.06</f>
        <v>-70341.06</v>
      </c>
      <c r="E27" s="2"/>
      <c r="F27" s="22"/>
      <c r="G27" s="2"/>
      <c r="H27" s="2">
        <f>-8151</f>
        <v>-8151</v>
      </c>
      <c r="I27" s="2"/>
      <c r="J27" s="22"/>
      <c r="K27" s="2"/>
      <c r="L27" s="2">
        <f t="shared" si="0"/>
        <v>-62190.06</v>
      </c>
      <c r="M27" s="2"/>
      <c r="N27" s="22">
        <f t="shared" si="1"/>
        <v>7.629746043430254</v>
      </c>
      <c r="O27" s="11"/>
      <c r="P27" s="2">
        <f>-70341.06</f>
        <v>-70341.06</v>
      </c>
      <c r="Q27" s="2"/>
      <c r="R27" s="22"/>
      <c r="S27" s="2"/>
      <c r="T27" s="2">
        <f>-8151</f>
        <v>-8151</v>
      </c>
      <c r="U27" s="2"/>
      <c r="V27" s="22"/>
      <c r="W27" s="2"/>
      <c r="X27" s="2">
        <f t="shared" si="2"/>
        <v>-62190.06</v>
      </c>
      <c r="Y27" s="2"/>
      <c r="Z27" s="22">
        <f t="shared" si="3"/>
        <v>7.629746043430254</v>
      </c>
    </row>
    <row r="28" spans="1:26" s="24" customFormat="1" hidden="1" outlineLevel="1" x14ac:dyDescent="0.25">
      <c r="A28" s="50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>-226.8</f>
        <v>-226.8</v>
      </c>
      <c r="E28" s="2"/>
      <c r="F28" s="22"/>
      <c r="G28" s="2"/>
      <c r="H28" s="2">
        <f>-207.9</f>
        <v>-207.9</v>
      </c>
      <c r="I28" s="2"/>
      <c r="J28" s="22"/>
      <c r="K28" s="2"/>
      <c r="L28" s="2">
        <f t="shared" si="0"/>
        <v>-18.900000000000006</v>
      </c>
      <c r="M28" s="2"/>
      <c r="N28" s="22">
        <f t="shared" si="1"/>
        <v>9.0909090909090939E-2</v>
      </c>
      <c r="O28" s="11"/>
      <c r="P28" s="2">
        <f>-226.8</f>
        <v>-226.8</v>
      </c>
      <c r="Q28" s="2"/>
      <c r="R28" s="22"/>
      <c r="S28" s="2"/>
      <c r="T28" s="2">
        <f>-207.9</f>
        <v>-207.9</v>
      </c>
      <c r="U28" s="2"/>
      <c r="V28" s="22"/>
      <c r="W28" s="2"/>
      <c r="X28" s="2">
        <f t="shared" si="2"/>
        <v>-18.900000000000006</v>
      </c>
      <c r="Y28" s="2"/>
      <c r="Z28" s="22">
        <f t="shared" si="3"/>
        <v>9.0909090909090939E-2</v>
      </c>
    </row>
    <row r="29" spans="1:26" s="24" customFormat="1" hidden="1" outlineLevel="1" x14ac:dyDescent="0.25">
      <c r="A29" s="50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>-406.99</f>
        <v>-406.99</v>
      </c>
      <c r="E29" s="2"/>
      <c r="F29" s="22"/>
      <c r="G29" s="2"/>
      <c r="H29" s="2">
        <f>0</f>
        <v>0</v>
      </c>
      <c r="I29" s="2"/>
      <c r="J29" s="22"/>
      <c r="K29" s="2"/>
      <c r="L29" s="2">
        <f t="shared" si="0"/>
        <v>-406.99</v>
      </c>
      <c r="M29" s="2"/>
      <c r="N29" s="22">
        <f t="shared" si="1"/>
        <v>0</v>
      </c>
      <c r="O29" s="11"/>
      <c r="P29" s="2">
        <f>-406.99</f>
        <v>-406.99</v>
      </c>
      <c r="Q29" s="2"/>
      <c r="R29" s="22"/>
      <c r="S29" s="2"/>
      <c r="T29" s="2">
        <f>0</f>
        <v>0</v>
      </c>
      <c r="U29" s="2"/>
      <c r="V29" s="22"/>
      <c r="W29" s="2"/>
      <c r="X29" s="2">
        <f t="shared" si="2"/>
        <v>-406.99</v>
      </c>
      <c r="Y29" s="2"/>
      <c r="Z29" s="22">
        <f t="shared" si="3"/>
        <v>0</v>
      </c>
    </row>
    <row r="30" spans="1:26" s="24" customFormat="1" hidden="1" outlineLevel="1" x14ac:dyDescent="0.25">
      <c r="A30" s="50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>-545.95</f>
        <v>-545.95000000000005</v>
      </c>
      <c r="E30" s="2"/>
      <c r="F30" s="22"/>
      <c r="G30" s="2"/>
      <c r="H30" s="2">
        <f>-44.97</f>
        <v>-44.97</v>
      </c>
      <c r="I30" s="2"/>
      <c r="J30" s="22"/>
      <c r="K30" s="2"/>
      <c r="L30" s="2">
        <f t="shared" si="0"/>
        <v>-500.98</v>
      </c>
      <c r="M30" s="2"/>
      <c r="N30" s="22">
        <f t="shared" si="1"/>
        <v>11.140315766066267</v>
      </c>
      <c r="O30" s="11"/>
      <c r="P30" s="2">
        <f>-545.95</f>
        <v>-545.95000000000005</v>
      </c>
      <c r="Q30" s="2"/>
      <c r="R30" s="22"/>
      <c r="S30" s="2"/>
      <c r="T30" s="2">
        <f>-44.97</f>
        <v>-44.97</v>
      </c>
      <c r="U30" s="2"/>
      <c r="V30" s="22"/>
      <c r="W30" s="2"/>
      <c r="X30" s="2">
        <f t="shared" si="2"/>
        <v>-500.98</v>
      </c>
      <c r="Y30" s="2"/>
      <c r="Z30" s="22">
        <f t="shared" si="3"/>
        <v>11.140315766066267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342320.18999999994</v>
      </c>
      <c r="E32" s="4"/>
      <c r="F32" s="12">
        <f t="shared" ref="F32:F41" si="4">IF(D$12=0,0,D32/D$12)</f>
        <v>0.9243468732307516</v>
      </c>
      <c r="G32" s="4"/>
      <c r="H32" s="4">
        <f>SUM(OSRRefH16x_0)</f>
        <v>370827.5</v>
      </c>
      <c r="I32" s="4"/>
      <c r="J32" s="12">
        <f t="shared" ref="J32:J41" si="5">IF(H$12=0,0,H32/H$12)</f>
        <v>0.87007664177950239</v>
      </c>
      <c r="K32" s="4"/>
      <c r="L32" s="4">
        <f t="shared" ref="L32:L41" si="6">+D32-H32</f>
        <v>-28507.310000000056</v>
      </c>
      <c r="M32" s="4"/>
      <c r="N32" s="12">
        <f t="shared" ref="N32:N41" si="7">IF(H32=0,0,L32/H32)</f>
        <v>-7.6874854211189989E-2</v>
      </c>
      <c r="O32" s="10"/>
      <c r="P32" s="4">
        <f>SUM(OSRRefP16x_0)</f>
        <v>342320.18999999994</v>
      </c>
      <c r="Q32" s="4"/>
      <c r="R32" s="12">
        <f t="shared" ref="R32:R41" si="8">IF(P$12=0,0,P32/P$12)</f>
        <v>0.9243468732307516</v>
      </c>
      <c r="S32" s="4"/>
      <c r="T32" s="4">
        <f>SUM(OSRRefT16x_0)</f>
        <v>370827.5</v>
      </c>
      <c r="U32" s="4"/>
      <c r="V32" s="12">
        <f t="shared" ref="V32:V41" si="9">IF(T$12=0,0,T32/T$12)</f>
        <v>0.87007664177950239</v>
      </c>
      <c r="W32" s="4"/>
      <c r="X32" s="4">
        <f t="shared" ref="X32:X41" si="10">+P32-T32</f>
        <v>-28507.310000000056</v>
      </c>
      <c r="Y32" s="4"/>
      <c r="Z32" s="12">
        <f t="shared" ref="Z32:Z41" si="11">IF(T32=0,0,X32/T32)</f>
        <v>-7.6874854211189989E-2</v>
      </c>
    </row>
    <row r="33" spans="1:26" s="24" customFormat="1" hidden="1" outlineLevel="1" x14ac:dyDescent="0.25">
      <c r="A33" s="50"/>
      <c r="B33" s="11" t="str">
        <f>CONCATENATE("          ", "5081", " - ", "PURCHASES @ COST-ELECTRONICS")</f>
        <v xml:space="preserve">          5081 - PURCHASES @ COST-ELECTRONICS</v>
      </c>
      <c r="C33" s="11"/>
      <c r="D33" s="2">
        <v>66058.349999999991</v>
      </c>
      <c r="E33" s="2"/>
      <c r="F33" s="22">
        <f t="shared" si="4"/>
        <v>0.17837343825172164</v>
      </c>
      <c r="G33" s="2"/>
      <c r="H33" s="2">
        <v>57011.689999999995</v>
      </c>
      <c r="I33" s="2"/>
      <c r="J33" s="22">
        <f t="shared" si="5"/>
        <v>0.1337671552874963</v>
      </c>
      <c r="K33" s="2"/>
      <c r="L33" s="2">
        <f t="shared" si="6"/>
        <v>9046.6599999999962</v>
      </c>
      <c r="M33" s="2"/>
      <c r="N33" s="22">
        <f t="shared" si="7"/>
        <v>0.15868078985204609</v>
      </c>
      <c r="O33" s="11"/>
      <c r="P33" s="2">
        <v>66058.349999999991</v>
      </c>
      <c r="Q33" s="2"/>
      <c r="R33" s="22">
        <f t="shared" si="8"/>
        <v>0.17837343825172164</v>
      </c>
      <c r="S33" s="2"/>
      <c r="T33" s="2">
        <v>57011.689999999995</v>
      </c>
      <c r="U33" s="2"/>
      <c r="V33" s="22">
        <f t="shared" si="9"/>
        <v>0.1337671552874963</v>
      </c>
      <c r="W33" s="2"/>
      <c r="X33" s="2">
        <f t="shared" si="10"/>
        <v>9046.6599999999962</v>
      </c>
      <c r="Y33" s="2"/>
      <c r="Z33" s="22">
        <f t="shared" si="11"/>
        <v>0.15868078985204609</v>
      </c>
    </row>
    <row r="34" spans="1:26" s="24" customFormat="1" hidden="1" outlineLevel="1" x14ac:dyDescent="0.25">
      <c r="A34" s="50"/>
      <c r="B34" s="11" t="str">
        <f>CONCATENATE("          ", "5082", " - ", "PURCHASES @ COST-COMPUTER HARD")</f>
        <v xml:space="preserve">          5082 - PURCHASES @ COST-COMPUTER HARD</v>
      </c>
      <c r="C34" s="11"/>
      <c r="D34" s="2">
        <v>356559.97</v>
      </c>
      <c r="E34" s="2"/>
      <c r="F34" s="22">
        <f t="shared" si="4"/>
        <v>0.96279770523833441</v>
      </c>
      <c r="G34" s="2"/>
      <c r="H34" s="2">
        <v>295854.32</v>
      </c>
      <c r="I34" s="2"/>
      <c r="J34" s="22">
        <f t="shared" si="5"/>
        <v>0.69416624495636992</v>
      </c>
      <c r="K34" s="2"/>
      <c r="L34" s="2">
        <f t="shared" si="6"/>
        <v>60705.649999999965</v>
      </c>
      <c r="M34" s="2"/>
      <c r="N34" s="22">
        <f t="shared" si="7"/>
        <v>0.20518764099844802</v>
      </c>
      <c r="O34" s="11"/>
      <c r="P34" s="2">
        <v>356559.97</v>
      </c>
      <c r="Q34" s="2"/>
      <c r="R34" s="22">
        <f t="shared" si="8"/>
        <v>0.96279770523833441</v>
      </c>
      <c r="S34" s="2"/>
      <c r="T34" s="2">
        <v>295854.32</v>
      </c>
      <c r="U34" s="2"/>
      <c r="V34" s="22">
        <f t="shared" si="9"/>
        <v>0.69416624495636992</v>
      </c>
      <c r="W34" s="2"/>
      <c r="X34" s="2">
        <f t="shared" si="10"/>
        <v>60705.649999999965</v>
      </c>
      <c r="Y34" s="2"/>
      <c r="Z34" s="22">
        <f t="shared" si="11"/>
        <v>0.20518764099844802</v>
      </c>
    </row>
    <row r="35" spans="1:26" s="24" customFormat="1" hidden="1" outlineLevel="1" x14ac:dyDescent="0.25">
      <c r="A35" s="50"/>
      <c r="B35" s="11" t="str">
        <f>CONCATENATE("          ", "5083", " - ", "PURCHASES @ COST-COMPUTER EQUI")</f>
        <v xml:space="preserve">          5083 - PURCHASES @ COST-COMPUTER EQUI</v>
      </c>
      <c r="C35" s="11"/>
      <c r="D35" s="2">
        <v>7276.14</v>
      </c>
      <c r="E35" s="2"/>
      <c r="F35" s="22">
        <f t="shared" si="4"/>
        <v>1.9647328596625289E-2</v>
      </c>
      <c r="G35" s="2"/>
      <c r="H35" s="2">
        <v>6882.6</v>
      </c>
      <c r="I35" s="2"/>
      <c r="J35" s="22">
        <f t="shared" si="5"/>
        <v>1.6148720077965101E-2</v>
      </c>
      <c r="K35" s="2"/>
      <c r="L35" s="2">
        <f t="shared" si="6"/>
        <v>393.53999999999996</v>
      </c>
      <c r="M35" s="2"/>
      <c r="N35" s="22">
        <f t="shared" si="7"/>
        <v>5.7178973062505439E-2</v>
      </c>
      <c r="O35" s="11"/>
      <c r="P35" s="2">
        <v>7276.14</v>
      </c>
      <c r="Q35" s="2"/>
      <c r="R35" s="22">
        <f t="shared" si="8"/>
        <v>1.9647328596625289E-2</v>
      </c>
      <c r="S35" s="2"/>
      <c r="T35" s="2">
        <v>6882.6</v>
      </c>
      <c r="U35" s="2"/>
      <c r="V35" s="22">
        <f t="shared" si="9"/>
        <v>1.6148720077965101E-2</v>
      </c>
      <c r="W35" s="2"/>
      <c r="X35" s="2">
        <f t="shared" si="10"/>
        <v>393.53999999999996</v>
      </c>
      <c r="Y35" s="2"/>
      <c r="Z35" s="22">
        <f t="shared" si="11"/>
        <v>5.7178973062505439E-2</v>
      </c>
    </row>
    <row r="36" spans="1:26" s="24" customFormat="1" hidden="1" outlineLevel="1" x14ac:dyDescent="0.25">
      <c r="A36" s="50"/>
      <c r="B36" s="11" t="str">
        <f>CONCATENATE("          ", "5086", " - ", "PURCHASES @ COST-COMPUTER SUPP")</f>
        <v xml:space="preserve">          5086 - PURCHASES @ COST-COMPUTER SUPP</v>
      </c>
      <c r="C36" s="11"/>
      <c r="D36" s="2">
        <v>3427.07</v>
      </c>
      <c r="E36" s="2"/>
      <c r="F36" s="22">
        <f t="shared" si="4"/>
        <v>9.2539135329497008E-3</v>
      </c>
      <c r="G36" s="2"/>
      <c r="H36" s="2">
        <v>6502.32</v>
      </c>
      <c r="I36" s="2"/>
      <c r="J36" s="22">
        <f t="shared" si="5"/>
        <v>1.5256464931472704E-2</v>
      </c>
      <c r="K36" s="2"/>
      <c r="L36" s="2">
        <f t="shared" si="6"/>
        <v>-3075.2499999999995</v>
      </c>
      <c r="M36" s="2"/>
      <c r="N36" s="22">
        <f t="shared" si="7"/>
        <v>-0.4729465790671637</v>
      </c>
      <c r="O36" s="11"/>
      <c r="P36" s="2">
        <v>3427.07</v>
      </c>
      <c r="Q36" s="2"/>
      <c r="R36" s="22">
        <f t="shared" si="8"/>
        <v>9.2539135329497008E-3</v>
      </c>
      <c r="S36" s="2"/>
      <c r="T36" s="2">
        <v>6502.32</v>
      </c>
      <c r="U36" s="2"/>
      <c r="V36" s="22">
        <f t="shared" si="9"/>
        <v>1.5256464931472704E-2</v>
      </c>
      <c r="W36" s="2"/>
      <c r="X36" s="2">
        <f t="shared" si="10"/>
        <v>-3075.2499999999995</v>
      </c>
      <c r="Y36" s="2"/>
      <c r="Z36" s="22">
        <f t="shared" si="11"/>
        <v>-0.4729465790671637</v>
      </c>
    </row>
    <row r="37" spans="1:26" s="24" customFormat="1" hidden="1" outlineLevel="1" x14ac:dyDescent="0.25">
      <c r="A37" s="50"/>
      <c r="B37" s="11" t="str">
        <f>CONCATENATE("          ", "5088", " - ", "PURCHASES @ COST-MUSIC")</f>
        <v xml:space="preserve">          5088 - PURCHASES @ COST-MUSIC</v>
      </c>
      <c r="C37" s="11"/>
      <c r="D37" s="2">
        <v>82</v>
      </c>
      <c r="E37" s="2"/>
      <c r="F37" s="22">
        <f t="shared" si="4"/>
        <v>2.2141972871924862E-4</v>
      </c>
      <c r="G37" s="2"/>
      <c r="H37" s="2">
        <v>244.86</v>
      </c>
      <c r="I37" s="2"/>
      <c r="J37" s="22">
        <f t="shared" si="5"/>
        <v>5.7451771108164569E-4</v>
      </c>
      <c r="K37" s="2"/>
      <c r="L37" s="2">
        <f t="shared" si="6"/>
        <v>-162.86000000000001</v>
      </c>
      <c r="M37" s="2"/>
      <c r="N37" s="22">
        <f t="shared" si="7"/>
        <v>-0.66511475945438214</v>
      </c>
      <c r="O37" s="11"/>
      <c r="P37" s="2">
        <v>82</v>
      </c>
      <c r="Q37" s="2"/>
      <c r="R37" s="22">
        <f t="shared" si="8"/>
        <v>2.2141972871924862E-4</v>
      </c>
      <c r="S37" s="2"/>
      <c r="T37" s="2">
        <v>244.86</v>
      </c>
      <c r="U37" s="2"/>
      <c r="V37" s="22">
        <f t="shared" si="9"/>
        <v>5.7451771108164569E-4</v>
      </c>
      <c r="W37" s="2"/>
      <c r="X37" s="2">
        <f t="shared" si="10"/>
        <v>-162.86000000000001</v>
      </c>
      <c r="Y37" s="2"/>
      <c r="Z37" s="22">
        <f t="shared" si="11"/>
        <v>-0.66511475945438214</v>
      </c>
    </row>
    <row r="38" spans="1:26" s="24" customFormat="1" hidden="1" outlineLevel="1" x14ac:dyDescent="0.25">
      <c r="A38" s="50"/>
      <c r="B38" s="11" t="str">
        <f>CONCATENATE("          ", "5200", " - ", "PURCHASES OFFSET")</f>
        <v xml:space="preserve">          5200 - PURCHASES OFFSET</v>
      </c>
      <c r="C38" s="11"/>
      <c r="D38" s="2">
        <v>-433440</v>
      </c>
      <c r="E38" s="2"/>
      <c r="F38" s="22">
        <f t="shared" si="4"/>
        <v>-1.1703922831228186</v>
      </c>
      <c r="G38" s="2"/>
      <c r="H38" s="2">
        <v>-366517</v>
      </c>
      <c r="I38" s="2"/>
      <c r="J38" s="22">
        <f t="shared" si="5"/>
        <v>-0.85996286822066292</v>
      </c>
      <c r="K38" s="2"/>
      <c r="L38" s="2">
        <f t="shared" si="6"/>
        <v>-66923</v>
      </c>
      <c r="M38" s="2"/>
      <c r="N38" s="22">
        <f t="shared" si="7"/>
        <v>0.18259180338156211</v>
      </c>
      <c r="O38" s="11"/>
      <c r="P38" s="2">
        <v>-433440</v>
      </c>
      <c r="Q38" s="2"/>
      <c r="R38" s="22">
        <f t="shared" si="8"/>
        <v>-1.1703922831228186</v>
      </c>
      <c r="S38" s="2"/>
      <c r="T38" s="2">
        <v>-366517</v>
      </c>
      <c r="U38" s="2"/>
      <c r="V38" s="22">
        <f t="shared" si="9"/>
        <v>-0.85996286822066292</v>
      </c>
      <c r="W38" s="2"/>
      <c r="X38" s="2">
        <f t="shared" si="10"/>
        <v>-66923</v>
      </c>
      <c r="Y38" s="2"/>
      <c r="Z38" s="22">
        <f t="shared" si="11"/>
        <v>0.18259180338156211</v>
      </c>
    </row>
    <row r="39" spans="1:26" s="24" customFormat="1" hidden="1" outlineLevel="1" x14ac:dyDescent="0.25">
      <c r="A39" s="50"/>
      <c r="B39" s="11" t="str">
        <f>CONCATENATE("          ", "5300", " - ", "COG$ OFFSET")</f>
        <v xml:space="preserve">          5300 - COG$ OFFSET</v>
      </c>
      <c r="C39" s="11"/>
      <c r="D39" s="2">
        <v>342320</v>
      </c>
      <c r="E39" s="2"/>
      <c r="F39" s="22">
        <f t="shared" si="4"/>
        <v>0.92434636018503891</v>
      </c>
      <c r="G39" s="2"/>
      <c r="H39" s="2">
        <v>370828</v>
      </c>
      <c r="I39" s="2"/>
      <c r="J39" s="22">
        <f t="shared" si="5"/>
        <v>0.87007781493500158</v>
      </c>
      <c r="K39" s="2"/>
      <c r="L39" s="2">
        <f t="shared" si="6"/>
        <v>-28508</v>
      </c>
      <c r="M39" s="2"/>
      <c r="N39" s="22">
        <f t="shared" si="7"/>
        <v>-7.6876611259128216E-2</v>
      </c>
      <c r="O39" s="11"/>
      <c r="P39" s="2">
        <v>342320</v>
      </c>
      <c r="Q39" s="2"/>
      <c r="R39" s="22">
        <f t="shared" si="8"/>
        <v>0.92434636018503891</v>
      </c>
      <c r="S39" s="2"/>
      <c r="T39" s="2">
        <v>370828</v>
      </c>
      <c r="U39" s="2"/>
      <c r="V39" s="22">
        <f t="shared" si="9"/>
        <v>0.87007781493500158</v>
      </c>
      <c r="W39" s="2"/>
      <c r="X39" s="2">
        <f t="shared" si="10"/>
        <v>-28508</v>
      </c>
      <c r="Y39" s="2"/>
      <c r="Z39" s="22">
        <f t="shared" si="11"/>
        <v>-7.6876611259128216E-2</v>
      </c>
    </row>
    <row r="40" spans="1:26" s="24" customFormat="1" hidden="1" outlineLevel="1" x14ac:dyDescent="0.25">
      <c r="A40" s="50"/>
      <c r="B40" s="11" t="str">
        <f>CONCATENATE("          ", "5583", " - ", "FREIGHT-IN-COMPUTER EQUIPMENT")</f>
        <v xml:space="preserve">          5583 - FREIGHT-IN-COMPUTER EQUIPMENT</v>
      </c>
      <c r="C40" s="11"/>
      <c r="D40" s="2">
        <v>6.99</v>
      </c>
      <c r="E40" s="2"/>
      <c r="F40" s="22">
        <f t="shared" si="4"/>
        <v>1.8874681753018875E-5</v>
      </c>
      <c r="G40" s="2"/>
      <c r="H40" s="2"/>
      <c r="I40" s="2"/>
      <c r="J40" s="22">
        <f t="shared" si="5"/>
        <v>0</v>
      </c>
      <c r="K40" s="2"/>
      <c r="L40" s="2">
        <f t="shared" si="6"/>
        <v>6.99</v>
      </c>
      <c r="M40" s="2"/>
      <c r="N40" s="22">
        <f t="shared" si="7"/>
        <v>0</v>
      </c>
      <c r="O40" s="11"/>
      <c r="P40" s="2">
        <v>6.99</v>
      </c>
      <c r="Q40" s="2"/>
      <c r="R40" s="22">
        <f t="shared" si="8"/>
        <v>1.8874681753018875E-5</v>
      </c>
      <c r="S40" s="2"/>
      <c r="T40" s="2"/>
      <c r="U40" s="2"/>
      <c r="V40" s="22">
        <f t="shared" si="9"/>
        <v>0</v>
      </c>
      <c r="W40" s="2"/>
      <c r="X40" s="2">
        <f t="shared" si="10"/>
        <v>6.99</v>
      </c>
      <c r="Y40" s="2"/>
      <c r="Z40" s="22">
        <f t="shared" si="11"/>
        <v>0</v>
      </c>
    </row>
    <row r="41" spans="1:26" s="24" customFormat="1" hidden="1" outlineLevel="1" x14ac:dyDescent="0.25">
      <c r="A41" s="50"/>
      <c r="B41" s="11" t="str">
        <f>CONCATENATE("          ", "5586", " - ", "FREIGHT-IN-COMPUTER SUPPLIES")</f>
        <v xml:space="preserve">          5586 - FREIGHT-IN-COMPUTER SUPPLIES</v>
      </c>
      <c r="C41" s="11"/>
      <c r="D41" s="2">
        <v>29.67</v>
      </c>
      <c r="E41" s="2"/>
      <c r="F41" s="22">
        <f t="shared" si="4"/>
        <v>8.0116138428050086E-5</v>
      </c>
      <c r="G41" s="2"/>
      <c r="H41" s="2">
        <v>20.71</v>
      </c>
      <c r="I41" s="2"/>
      <c r="J41" s="22">
        <f t="shared" si="5"/>
        <v>4.8592100777999191E-5</v>
      </c>
      <c r="K41" s="2"/>
      <c r="L41" s="2">
        <f t="shared" si="6"/>
        <v>8.9600000000000009</v>
      </c>
      <c r="M41" s="2"/>
      <c r="N41" s="22">
        <f t="shared" si="7"/>
        <v>0.43264123611781752</v>
      </c>
      <c r="O41" s="11"/>
      <c r="P41" s="2">
        <v>29.67</v>
      </c>
      <c r="Q41" s="2"/>
      <c r="R41" s="22">
        <f t="shared" si="8"/>
        <v>8.0116138428050086E-5</v>
      </c>
      <c r="S41" s="2"/>
      <c r="T41" s="2">
        <v>20.71</v>
      </c>
      <c r="U41" s="2"/>
      <c r="V41" s="22">
        <f t="shared" si="9"/>
        <v>4.8592100777999191E-5</v>
      </c>
      <c r="W41" s="2"/>
      <c r="X41" s="2">
        <f t="shared" si="10"/>
        <v>8.9600000000000009</v>
      </c>
      <c r="Y41" s="2"/>
      <c r="Z41" s="22">
        <f t="shared" si="11"/>
        <v>0.43264123611781752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5" t="s">
        <v>6</v>
      </c>
      <c r="C43" s="25"/>
      <c r="D43" s="21">
        <f>D12-D32</f>
        <v>28017.180000000051</v>
      </c>
      <c r="E43" s="13"/>
      <c r="F43" s="20">
        <f>IF(D$12=0,0,D43/D$12)</f>
        <v>7.5653126769248402E-2</v>
      </c>
      <c r="G43" s="13"/>
      <c r="H43" s="21">
        <f>H12-H32</f>
        <v>55373.459999999963</v>
      </c>
      <c r="I43" s="13"/>
      <c r="J43" s="20">
        <f>IF(H$12=0,0,H43/H$12)</f>
        <v>0.12992335822049761</v>
      </c>
      <c r="K43" s="16"/>
      <c r="L43" s="21">
        <f>+D43-H43</f>
        <v>-27356.279999999912</v>
      </c>
      <c r="M43" s="16"/>
      <c r="N43" s="20">
        <f>IF(H43=0,0,L43/H43)</f>
        <v>-0.49403233968041604</v>
      </c>
      <c r="O43" s="26"/>
      <c r="P43" s="21">
        <f>P12-P32</f>
        <v>28017.180000000051</v>
      </c>
      <c r="Q43" s="13"/>
      <c r="R43" s="20">
        <f>IF(P$12=0,0,P43/P$12)</f>
        <v>7.5653126769248402E-2</v>
      </c>
      <c r="S43" s="13"/>
      <c r="T43" s="21">
        <f>T12-T32</f>
        <v>55373.459999999963</v>
      </c>
      <c r="U43" s="13"/>
      <c r="V43" s="20">
        <f>IF(T$12=0,0,T43/T$12)</f>
        <v>0.12992335822049761</v>
      </c>
      <c r="W43" s="16"/>
      <c r="X43" s="21">
        <f>+P43-T43</f>
        <v>-27356.279999999912</v>
      </c>
      <c r="Y43" s="16"/>
      <c r="Z43" s="20">
        <f>IF(T43=0,0,X43/T43)</f>
        <v>-0.49403233968041604</v>
      </c>
    </row>
    <row r="44" spans="1:26" x14ac:dyDescent="0.25">
      <c r="A44" s="9"/>
      <c r="B44" s="10"/>
      <c r="C44" s="9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6" t="s">
        <v>9</v>
      </c>
      <c r="C45" s="10"/>
      <c r="D45" s="19">
        <f>SUM(OSRRefD22x_0)</f>
        <v>25028.93</v>
      </c>
      <c r="E45" s="19"/>
      <c r="F45" s="35">
        <f t="shared" ref="F45:F55" si="12">IF(D$12=0,0,D45/D$12)</f>
        <v>6.7584132813817852E-2</v>
      </c>
      <c r="G45" s="19"/>
      <c r="H45" s="19">
        <f>SUM(OSRRefH22x_0)</f>
        <v>25398.75</v>
      </c>
      <c r="I45" s="19"/>
      <c r="J45" s="35">
        <f t="shared" ref="J45:J55" si="13">IF(H$12=0,0,H45/H$12)</f>
        <v>5.9593366472004194E-2</v>
      </c>
      <c r="K45" s="4"/>
      <c r="L45" s="19">
        <f t="shared" ref="L45:L55" si="14">+D45-H45</f>
        <v>-369.81999999999971</v>
      </c>
      <c r="M45" s="4"/>
      <c r="N45" s="35">
        <f t="shared" ref="N45:N55" si="15">IF(H45=0,0,L45/H45)</f>
        <v>-1.4560559082632008E-2</v>
      </c>
      <c r="O45" s="10"/>
      <c r="P45" s="19">
        <f>SUM(OSRRefP22x_0)</f>
        <v>25028.93</v>
      </c>
      <c r="Q45" s="19"/>
      <c r="R45" s="35">
        <f t="shared" ref="R45:R55" si="16">IF(P$12=0,0,P45/P$12)</f>
        <v>6.7584132813817852E-2</v>
      </c>
      <c r="S45" s="19"/>
      <c r="T45" s="19">
        <f>SUM(OSRRefT22x_0)</f>
        <v>25398.75</v>
      </c>
      <c r="U45" s="19"/>
      <c r="V45" s="35">
        <f t="shared" ref="V45:V55" si="17">IF(T$12=0,0,T45/T$12)</f>
        <v>5.9593366472004194E-2</v>
      </c>
      <c r="W45" s="4"/>
      <c r="X45" s="19">
        <f t="shared" ref="X45:X55" si="18">+P45-T45</f>
        <v>-369.81999999999971</v>
      </c>
      <c r="Y45" s="4"/>
      <c r="Z45" s="35">
        <f t="shared" ref="Z45:Z55" si="19">IF(T45=0,0,X45/T45)</f>
        <v>-1.4560559082632008E-2</v>
      </c>
    </row>
    <row r="46" spans="1:26" s="28" customFormat="1" outlineLevel="1" collapsed="1" x14ac:dyDescent="0.25">
      <c r="A46" s="27"/>
      <c r="B46" s="14" t="str">
        <f>CONCATENATE("     ","*Benefits                                         ")</f>
        <v xml:space="preserve">     *Benefits                                         </v>
      </c>
      <c r="C46" s="14"/>
      <c r="D46" s="1">
        <f>SUM(OSRRefD22_0x_0)</f>
        <v>2718.76</v>
      </c>
      <c r="E46" s="1"/>
      <c r="F46" s="5">
        <f t="shared" si="12"/>
        <v>7.3413061177163954E-3</v>
      </c>
      <c r="G46" s="1"/>
      <c r="H46" s="1">
        <f>SUM(OSRRefH22_0x_0)</f>
        <v>2316.7299999999996</v>
      </c>
      <c r="I46" s="1"/>
      <c r="J46" s="5">
        <f t="shared" si="13"/>
        <v>5.435769079450219E-3</v>
      </c>
      <c r="K46" s="1"/>
      <c r="L46" s="1">
        <f t="shared" si="14"/>
        <v>402.03000000000065</v>
      </c>
      <c r="M46" s="1"/>
      <c r="N46" s="5">
        <f t="shared" si="15"/>
        <v>0.17353338541824068</v>
      </c>
      <c r="O46" s="14"/>
      <c r="P46" s="1">
        <f>SUM(OSRRefP22_0x_0)</f>
        <v>2718.76</v>
      </c>
      <c r="Q46" s="1"/>
      <c r="R46" s="5">
        <f t="shared" si="16"/>
        <v>7.3413061177163954E-3</v>
      </c>
      <c r="S46" s="1"/>
      <c r="T46" s="1">
        <f>SUM(OSRRefT22_0x_0)</f>
        <v>2316.7299999999996</v>
      </c>
      <c r="U46" s="1"/>
      <c r="V46" s="5">
        <f t="shared" si="17"/>
        <v>5.435769079450219E-3</v>
      </c>
      <c r="W46" s="1"/>
      <c r="X46" s="1">
        <f t="shared" si="18"/>
        <v>402.03000000000065</v>
      </c>
      <c r="Y46" s="1"/>
      <c r="Z46" s="5">
        <f t="shared" si="19"/>
        <v>0.17353338541824068</v>
      </c>
    </row>
    <row r="47" spans="1:26" s="24" customFormat="1" hidden="1" outlineLevel="2" x14ac:dyDescent="0.25">
      <c r="A47" s="29"/>
      <c r="B47" s="11" t="str">
        <f>CONCATENATE("          ", "6111", " - ", "F.I.C.A.")</f>
        <v xml:space="preserve">          6111 - F.I.C.A.</v>
      </c>
      <c r="C47" s="11"/>
      <c r="D47" s="7">
        <v>497.85</v>
      </c>
      <c r="E47" s="2"/>
      <c r="F47" s="6">
        <f t="shared" si="12"/>
        <v>1.3443147797911942E-3</v>
      </c>
      <c r="G47" s="2"/>
      <c r="H47" s="7">
        <v>601.29999999999995</v>
      </c>
      <c r="I47" s="2"/>
      <c r="J47" s="6">
        <f t="shared" si="13"/>
        <v>1.4108368033708793E-3</v>
      </c>
      <c r="K47" s="2"/>
      <c r="L47" s="7">
        <f t="shared" si="14"/>
        <v>-103.44999999999993</v>
      </c>
      <c r="M47" s="2"/>
      <c r="N47" s="6">
        <f t="shared" si="15"/>
        <v>-0.17204390487277554</v>
      </c>
      <c r="O47" s="11"/>
      <c r="P47" s="7">
        <v>497.85</v>
      </c>
      <c r="Q47" s="2"/>
      <c r="R47" s="6">
        <f t="shared" si="16"/>
        <v>1.3443147797911942E-3</v>
      </c>
      <c r="S47" s="2"/>
      <c r="T47" s="7">
        <v>601.29999999999995</v>
      </c>
      <c r="U47" s="2"/>
      <c r="V47" s="6">
        <f t="shared" si="17"/>
        <v>1.4108368033708793E-3</v>
      </c>
      <c r="W47" s="2"/>
      <c r="X47" s="7">
        <f t="shared" si="18"/>
        <v>-103.44999999999993</v>
      </c>
      <c r="Y47" s="2"/>
      <c r="Z47" s="6">
        <f t="shared" si="19"/>
        <v>-0.17204390487277554</v>
      </c>
    </row>
    <row r="48" spans="1:26" s="24" customFormat="1" hidden="1" outlineLevel="2" x14ac:dyDescent="0.25">
      <c r="A48" s="29"/>
      <c r="B48" s="11" t="str">
        <f>CONCATENATE("          ", "6112", " - ", "COMPENSATION INSURANCE")</f>
        <v xml:space="preserve">          6112 - COMPENSATION INSURANCE</v>
      </c>
      <c r="C48" s="11"/>
      <c r="D48" s="7">
        <v>123.65</v>
      </c>
      <c r="E48" s="2"/>
      <c r="F48" s="6">
        <f t="shared" si="12"/>
        <v>3.3388474946506212E-4</v>
      </c>
      <c r="G48" s="2"/>
      <c r="H48" s="7">
        <v>147.32</v>
      </c>
      <c r="I48" s="2"/>
      <c r="J48" s="6">
        <f t="shared" si="13"/>
        <v>3.4565853629236316E-4</v>
      </c>
      <c r="K48" s="2"/>
      <c r="L48" s="7">
        <f t="shared" si="14"/>
        <v>-23.669999999999987</v>
      </c>
      <c r="M48" s="2"/>
      <c r="N48" s="6">
        <f t="shared" si="15"/>
        <v>-0.16067064892750468</v>
      </c>
      <c r="O48" s="11"/>
      <c r="P48" s="7">
        <v>123.65</v>
      </c>
      <c r="Q48" s="2"/>
      <c r="R48" s="6">
        <f t="shared" si="16"/>
        <v>3.3388474946506212E-4</v>
      </c>
      <c r="S48" s="2"/>
      <c r="T48" s="7">
        <v>147.32</v>
      </c>
      <c r="U48" s="2"/>
      <c r="V48" s="6">
        <f t="shared" si="17"/>
        <v>3.4565853629236316E-4</v>
      </c>
      <c r="W48" s="2"/>
      <c r="X48" s="7">
        <f t="shared" si="18"/>
        <v>-23.669999999999987</v>
      </c>
      <c r="Y48" s="2"/>
      <c r="Z48" s="6">
        <f t="shared" si="19"/>
        <v>-0.16067064892750468</v>
      </c>
    </row>
    <row r="49" spans="1:26" s="24" customFormat="1" hidden="1" outlineLevel="2" x14ac:dyDescent="0.25">
      <c r="A49" s="29"/>
      <c r="B49" s="11" t="str">
        <f>CONCATENATE("          ", "6113", " - ", "GROUP INSURANCE")</f>
        <v xml:space="preserve">          6113 - GROUP INSURANCE</v>
      </c>
      <c r="C49" s="11"/>
      <c r="D49" s="7">
        <v>964.88</v>
      </c>
      <c r="E49" s="2"/>
      <c r="F49" s="6">
        <f t="shared" si="12"/>
        <v>2.6054081444710805E-3</v>
      </c>
      <c r="G49" s="2"/>
      <c r="H49" s="7">
        <v>393.26</v>
      </c>
      <c r="I49" s="2"/>
      <c r="J49" s="6">
        <f t="shared" si="13"/>
        <v>9.2271026325233994E-4</v>
      </c>
      <c r="K49" s="2"/>
      <c r="L49" s="7">
        <f t="shared" si="14"/>
        <v>571.62</v>
      </c>
      <c r="M49" s="2"/>
      <c r="N49" s="6">
        <f t="shared" si="15"/>
        <v>1.4535421858312567</v>
      </c>
      <c r="O49" s="11"/>
      <c r="P49" s="7">
        <v>964.88</v>
      </c>
      <c r="Q49" s="2"/>
      <c r="R49" s="6">
        <f t="shared" si="16"/>
        <v>2.6054081444710805E-3</v>
      </c>
      <c r="S49" s="2"/>
      <c r="T49" s="7">
        <v>393.26</v>
      </c>
      <c r="U49" s="2"/>
      <c r="V49" s="6">
        <f t="shared" si="17"/>
        <v>9.2271026325233994E-4</v>
      </c>
      <c r="W49" s="2"/>
      <c r="X49" s="7">
        <f t="shared" si="18"/>
        <v>571.62</v>
      </c>
      <c r="Y49" s="2"/>
      <c r="Z49" s="6">
        <f t="shared" si="19"/>
        <v>1.4535421858312567</v>
      </c>
    </row>
    <row r="50" spans="1:26" s="24" customFormat="1" hidden="1" outlineLevel="2" x14ac:dyDescent="0.25">
      <c r="A50" s="29"/>
      <c r="B50" s="11" t="str">
        <f>CONCATENATE("          ", "6114", " - ", "STATE UNEMPLOYMENT INSURANCE")</f>
        <v xml:space="preserve">          6114 - STATE UNEMPLOYMENT INSURANCE</v>
      </c>
      <c r="C50" s="11"/>
      <c r="D50" s="7">
        <v>16.920000000000002</v>
      </c>
      <c r="E50" s="2"/>
      <c r="F50" s="6">
        <f t="shared" si="12"/>
        <v>4.5688070852801064E-5</v>
      </c>
      <c r="G50" s="2"/>
      <c r="H50" s="7">
        <v>32.19</v>
      </c>
      <c r="I50" s="2"/>
      <c r="J50" s="6">
        <f t="shared" si="13"/>
        <v>7.5527751040260443E-5</v>
      </c>
      <c r="K50" s="2"/>
      <c r="L50" s="7">
        <f t="shared" si="14"/>
        <v>-15.269999999999996</v>
      </c>
      <c r="M50" s="2"/>
      <c r="N50" s="6">
        <f t="shared" si="15"/>
        <v>-0.4743709226467846</v>
      </c>
      <c r="O50" s="11"/>
      <c r="P50" s="7">
        <v>16.920000000000002</v>
      </c>
      <c r="Q50" s="2"/>
      <c r="R50" s="6">
        <f t="shared" si="16"/>
        <v>4.5688070852801064E-5</v>
      </c>
      <c r="S50" s="2"/>
      <c r="T50" s="7">
        <v>32.19</v>
      </c>
      <c r="U50" s="2"/>
      <c r="V50" s="6">
        <f t="shared" si="17"/>
        <v>7.5527751040260443E-5</v>
      </c>
      <c r="W50" s="2"/>
      <c r="X50" s="7">
        <f t="shared" si="18"/>
        <v>-15.269999999999996</v>
      </c>
      <c r="Y50" s="2"/>
      <c r="Z50" s="6">
        <f t="shared" si="19"/>
        <v>-0.4743709226467846</v>
      </c>
    </row>
    <row r="51" spans="1:26" s="24" customFormat="1" hidden="1" outlineLevel="2" x14ac:dyDescent="0.25">
      <c r="A51" s="29"/>
      <c r="B51" s="11" t="str">
        <f>CONCATENATE("          ", "6115", " - ", "P.E.R.S.")</f>
        <v xml:space="preserve">          6115 - P.E.R.S.</v>
      </c>
      <c r="C51" s="11"/>
      <c r="D51" s="7">
        <v>183.4</v>
      </c>
      <c r="E51" s="2"/>
      <c r="F51" s="6">
        <f t="shared" si="12"/>
        <v>4.9522412496475854E-4</v>
      </c>
      <c r="G51" s="2"/>
      <c r="H51" s="7">
        <v>259.08999999999997</v>
      </c>
      <c r="I51" s="2"/>
      <c r="J51" s="6">
        <f t="shared" si="13"/>
        <v>6.0790571658965757E-4</v>
      </c>
      <c r="K51" s="2"/>
      <c r="L51" s="7">
        <f t="shared" si="14"/>
        <v>-75.689999999999969</v>
      </c>
      <c r="M51" s="2"/>
      <c r="N51" s="6">
        <f t="shared" si="15"/>
        <v>-0.29213786715041096</v>
      </c>
      <c r="O51" s="11"/>
      <c r="P51" s="7">
        <v>183.4</v>
      </c>
      <c r="Q51" s="2"/>
      <c r="R51" s="6">
        <f t="shared" si="16"/>
        <v>4.9522412496475854E-4</v>
      </c>
      <c r="S51" s="2"/>
      <c r="T51" s="7">
        <v>259.08999999999997</v>
      </c>
      <c r="U51" s="2"/>
      <c r="V51" s="6">
        <f t="shared" si="17"/>
        <v>6.0790571658965757E-4</v>
      </c>
      <c r="W51" s="2"/>
      <c r="X51" s="7">
        <f t="shared" si="18"/>
        <v>-75.689999999999969</v>
      </c>
      <c r="Y51" s="2"/>
      <c r="Z51" s="6">
        <f t="shared" si="19"/>
        <v>-0.29213786715041096</v>
      </c>
    </row>
    <row r="52" spans="1:26" s="24" customFormat="1" hidden="1" outlineLevel="2" x14ac:dyDescent="0.25">
      <c r="A52" s="29"/>
      <c r="B52" s="11" t="str">
        <f>CONCATENATE("          ", "6117", " - ", "RETIREMENT STAFF HOURLY")</f>
        <v xml:space="preserve">          6117 - RETIREMENT STAFF HOURLY</v>
      </c>
      <c r="C52" s="11"/>
      <c r="D52" s="7">
        <v>140.12</v>
      </c>
      <c r="E52" s="2"/>
      <c r="F52" s="6">
        <f t="shared" si="12"/>
        <v>3.7835771205050142E-4</v>
      </c>
      <c r="G52" s="2"/>
      <c r="H52" s="7">
        <v>151.1</v>
      </c>
      <c r="I52" s="2"/>
      <c r="J52" s="6">
        <f t="shared" si="13"/>
        <v>3.5452759186652231E-4</v>
      </c>
      <c r="K52" s="2"/>
      <c r="L52" s="7">
        <f t="shared" si="14"/>
        <v>-10.97999999999999</v>
      </c>
      <c r="M52" s="2"/>
      <c r="N52" s="6">
        <f t="shared" si="15"/>
        <v>-7.2667107875579021E-2</v>
      </c>
      <c r="O52" s="11"/>
      <c r="P52" s="7">
        <v>140.12</v>
      </c>
      <c r="Q52" s="2"/>
      <c r="R52" s="6">
        <f t="shared" si="16"/>
        <v>3.7835771205050142E-4</v>
      </c>
      <c r="S52" s="2"/>
      <c r="T52" s="7">
        <v>151.1</v>
      </c>
      <c r="U52" s="2"/>
      <c r="V52" s="6">
        <f t="shared" si="17"/>
        <v>3.5452759186652231E-4</v>
      </c>
      <c r="W52" s="2"/>
      <c r="X52" s="7">
        <f t="shared" si="18"/>
        <v>-10.97999999999999</v>
      </c>
      <c r="Y52" s="2"/>
      <c r="Z52" s="6">
        <f t="shared" si="19"/>
        <v>-7.2667107875579021E-2</v>
      </c>
    </row>
    <row r="53" spans="1:26" s="24" customFormat="1" hidden="1" outlineLevel="2" x14ac:dyDescent="0.25">
      <c r="A53" s="29"/>
      <c r="B53" s="11" t="str">
        <f>CONCATENATE("          ", "6118", " - ", "VACATION")</f>
        <v xml:space="preserve">          6118 - VACATION</v>
      </c>
      <c r="C53" s="11"/>
      <c r="D53" s="7">
        <v>313.32</v>
      </c>
      <c r="E53" s="2"/>
      <c r="F53" s="6">
        <f t="shared" si="12"/>
        <v>8.4603938295506071E-4</v>
      </c>
      <c r="G53" s="2"/>
      <c r="H53" s="7">
        <v>296.82</v>
      </c>
      <c r="I53" s="2"/>
      <c r="J53" s="6">
        <f t="shared" si="13"/>
        <v>6.9643203056135778E-4</v>
      </c>
      <c r="K53" s="2"/>
      <c r="L53" s="7">
        <f t="shared" si="14"/>
        <v>16.5</v>
      </c>
      <c r="M53" s="2"/>
      <c r="N53" s="6">
        <f t="shared" si="15"/>
        <v>5.5589246007681427E-2</v>
      </c>
      <c r="O53" s="11"/>
      <c r="P53" s="7">
        <v>313.32</v>
      </c>
      <c r="Q53" s="2"/>
      <c r="R53" s="6">
        <f t="shared" si="16"/>
        <v>8.4603938295506071E-4</v>
      </c>
      <c r="S53" s="2"/>
      <c r="T53" s="7">
        <v>296.82</v>
      </c>
      <c r="U53" s="2"/>
      <c r="V53" s="6">
        <f t="shared" si="17"/>
        <v>6.9643203056135778E-4</v>
      </c>
      <c r="W53" s="2"/>
      <c r="X53" s="7">
        <f t="shared" si="18"/>
        <v>16.5</v>
      </c>
      <c r="Y53" s="2"/>
      <c r="Z53" s="6">
        <f t="shared" si="19"/>
        <v>5.5589246007681427E-2</v>
      </c>
    </row>
    <row r="54" spans="1:26" s="24" customFormat="1" hidden="1" outlineLevel="2" x14ac:dyDescent="0.25">
      <c r="A54" s="29"/>
      <c r="B54" s="11" t="str">
        <f>CONCATENATE("          ", "6119", " - ", "SICK LEAVE")</f>
        <v xml:space="preserve">          6119 - SICK LEAVE</v>
      </c>
      <c r="C54" s="11"/>
      <c r="D54" s="7">
        <v>328.62</v>
      </c>
      <c r="E54" s="2"/>
      <c r="F54" s="6">
        <f t="shared" si="12"/>
        <v>8.8735306404535952E-4</v>
      </c>
      <c r="G54" s="2"/>
      <c r="H54" s="7">
        <v>285.64999999999998</v>
      </c>
      <c r="I54" s="2"/>
      <c r="J54" s="6">
        <f t="shared" si="13"/>
        <v>6.7022373670861746E-4</v>
      </c>
      <c r="K54" s="2"/>
      <c r="L54" s="7">
        <f t="shared" si="14"/>
        <v>42.970000000000027</v>
      </c>
      <c r="M54" s="2"/>
      <c r="N54" s="6">
        <f t="shared" si="15"/>
        <v>0.15042884649046045</v>
      </c>
      <c r="O54" s="11"/>
      <c r="P54" s="7">
        <v>328.62</v>
      </c>
      <c r="Q54" s="2"/>
      <c r="R54" s="6">
        <f t="shared" si="16"/>
        <v>8.8735306404535952E-4</v>
      </c>
      <c r="S54" s="2"/>
      <c r="T54" s="7">
        <v>285.64999999999998</v>
      </c>
      <c r="U54" s="2"/>
      <c r="V54" s="6">
        <f t="shared" si="17"/>
        <v>6.7022373670861746E-4</v>
      </c>
      <c r="W54" s="2"/>
      <c r="X54" s="7">
        <f t="shared" si="18"/>
        <v>42.970000000000027</v>
      </c>
      <c r="Y54" s="2"/>
      <c r="Z54" s="6">
        <f t="shared" si="19"/>
        <v>0.15042884649046045</v>
      </c>
    </row>
    <row r="55" spans="1:26" s="24" customFormat="1" hidden="1" outlineLevel="2" x14ac:dyDescent="0.25">
      <c r="A55" s="29"/>
      <c r="B55" s="11" t="str">
        <f>CONCATENATE("          ", "6156", " - ", "EMPLOYEE MEALS")</f>
        <v xml:space="preserve">          6156 - EMPLOYEE MEALS</v>
      </c>
      <c r="C55" s="11"/>
      <c r="D55" s="7">
        <v>150</v>
      </c>
      <c r="E55" s="2"/>
      <c r="F55" s="6">
        <f t="shared" si="12"/>
        <v>4.0503608912057675E-4</v>
      </c>
      <c r="G55" s="2"/>
      <c r="H55" s="7">
        <v>150</v>
      </c>
      <c r="I55" s="2"/>
      <c r="J55" s="6">
        <f t="shared" si="13"/>
        <v>3.5194664976822204E-4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>
        <v>150</v>
      </c>
      <c r="Q55" s="2"/>
      <c r="R55" s="6">
        <f t="shared" si="16"/>
        <v>4.0503608912057675E-4</v>
      </c>
      <c r="S55" s="2"/>
      <c r="T55" s="7">
        <v>150</v>
      </c>
      <c r="U55" s="2"/>
      <c r="V55" s="6">
        <f t="shared" si="17"/>
        <v>3.5194664976822204E-4</v>
      </c>
      <c r="W55" s="2"/>
      <c r="X55" s="7">
        <f t="shared" si="18"/>
        <v>0</v>
      </c>
      <c r="Y55" s="2"/>
      <c r="Z55" s="6">
        <f t="shared" si="19"/>
        <v>0</v>
      </c>
    </row>
    <row r="56" spans="1:26" s="28" customFormat="1" outlineLevel="1" collapsed="1" x14ac:dyDescent="0.25">
      <c r="A56" s="27"/>
      <c r="B56" s="14" t="str">
        <f>CONCATENATE("     ","*Payroll                                          ")</f>
        <v xml:space="preserve">     *Payroll                                          </v>
      </c>
      <c r="C56" s="14"/>
      <c r="D56" s="1">
        <f>SUM(OSRRefD22_1x_0)</f>
        <v>7913.5400000000009</v>
      </c>
      <c r="E56" s="1"/>
      <c r="F56" s="5">
        <f t="shared" ref="F56:F60" si="20">IF(D$12=0,0,D56/D$12)</f>
        <v>2.1368461951328327E-2</v>
      </c>
      <c r="G56" s="1"/>
      <c r="H56" s="1">
        <f>SUM(OSRRefH22_1x_0)</f>
        <v>9529.02</v>
      </c>
      <c r="I56" s="1"/>
      <c r="J56" s="5">
        <f t="shared" ref="J56:J60" si="21">IF(H$12=0,0,H56/H$12)</f>
        <v>2.2358044430495889E-2</v>
      </c>
      <c r="K56" s="1"/>
      <c r="L56" s="1">
        <f t="shared" ref="L56:L60" si="22">+D56-H56</f>
        <v>-1615.4799999999996</v>
      </c>
      <c r="M56" s="1"/>
      <c r="N56" s="5">
        <f t="shared" ref="N56:N60" si="23">IF(H56=0,0,L56/H56)</f>
        <v>-0.1695326486879028</v>
      </c>
      <c r="O56" s="14"/>
      <c r="P56" s="1">
        <f>SUM(OSRRefP22_1x_0)</f>
        <v>7913.5400000000009</v>
      </c>
      <c r="Q56" s="1"/>
      <c r="R56" s="5">
        <f t="shared" ref="R56:R60" si="24">IF(P$12=0,0,P56/P$12)</f>
        <v>2.1368461951328327E-2</v>
      </c>
      <c r="S56" s="1"/>
      <c r="T56" s="1">
        <f>SUM(OSRRefT22_1x_0)</f>
        <v>9529.02</v>
      </c>
      <c r="U56" s="1"/>
      <c r="V56" s="5">
        <f t="shared" ref="V56:V60" si="25">IF(T$12=0,0,T56/T$12)</f>
        <v>2.2358044430495889E-2</v>
      </c>
      <c r="W56" s="1"/>
      <c r="X56" s="1">
        <f t="shared" ref="X56:X60" si="26">+P56-T56</f>
        <v>-1615.4799999999996</v>
      </c>
      <c r="Y56" s="1"/>
      <c r="Z56" s="5">
        <f t="shared" ref="Z56:Z60" si="27">IF(T56=0,0,X56/T56)</f>
        <v>-0.1695326486879028</v>
      </c>
    </row>
    <row r="57" spans="1:26" s="24" customFormat="1" hidden="1" outlineLevel="2" x14ac:dyDescent="0.25">
      <c r="A57" s="29"/>
      <c r="B57" s="11" t="str">
        <f>CONCATENATE("          ", "6002", " - ", "STAFF SALARIES")</f>
        <v xml:space="preserve">          6002 - STAFF SALARIES</v>
      </c>
      <c r="C57" s="11"/>
      <c r="D57" s="7">
        <v>3151.4</v>
      </c>
      <c r="E57" s="2"/>
      <c r="F57" s="6">
        <f t="shared" si="20"/>
        <v>8.509538208363903E-3</v>
      </c>
      <c r="G57" s="2"/>
      <c r="H57" s="7">
        <v>2548.9</v>
      </c>
      <c r="I57" s="2"/>
      <c r="J57" s="6">
        <f t="shared" si="21"/>
        <v>5.9805121039614743E-3</v>
      </c>
      <c r="K57" s="2"/>
      <c r="L57" s="7">
        <f t="shared" si="22"/>
        <v>602.5</v>
      </c>
      <c r="M57" s="2"/>
      <c r="N57" s="6">
        <f t="shared" si="23"/>
        <v>0.23637647612695672</v>
      </c>
      <c r="O57" s="11"/>
      <c r="P57" s="7">
        <v>3151.4</v>
      </c>
      <c r="Q57" s="2"/>
      <c r="R57" s="6">
        <f t="shared" si="24"/>
        <v>8.509538208363903E-3</v>
      </c>
      <c r="S57" s="2"/>
      <c r="T57" s="7">
        <v>2548.9</v>
      </c>
      <c r="U57" s="2"/>
      <c r="V57" s="6">
        <f t="shared" si="25"/>
        <v>5.9805121039614743E-3</v>
      </c>
      <c r="W57" s="2"/>
      <c r="X57" s="7">
        <f t="shared" si="26"/>
        <v>602.5</v>
      </c>
      <c r="Y57" s="2"/>
      <c r="Z57" s="6">
        <f t="shared" si="27"/>
        <v>0.23637647612695672</v>
      </c>
    </row>
    <row r="58" spans="1:26" s="24" customFormat="1" hidden="1" outlineLevel="2" x14ac:dyDescent="0.25">
      <c r="A58" s="29"/>
      <c r="B58" s="11" t="str">
        <f>CONCATENATE("          ", "6005", " - ", "TEMPORARY WAGES-HOURLY")</f>
        <v xml:space="preserve">          6005 - TEMPORARY WAGES-HOURLY</v>
      </c>
      <c r="C58" s="11"/>
      <c r="D58" s="7">
        <v>2433.6999999999998</v>
      </c>
      <c r="E58" s="2"/>
      <c r="F58" s="6">
        <f t="shared" si="20"/>
        <v>6.5715755339516499E-3</v>
      </c>
      <c r="G58" s="2"/>
      <c r="H58" s="7">
        <v>3025.11</v>
      </c>
      <c r="I58" s="2"/>
      <c r="J58" s="6">
        <f t="shared" si="21"/>
        <v>7.0978488645356413E-3</v>
      </c>
      <c r="K58" s="2"/>
      <c r="L58" s="7">
        <f t="shared" si="22"/>
        <v>-591.41000000000031</v>
      </c>
      <c r="M58" s="2"/>
      <c r="N58" s="6">
        <f t="shared" si="23"/>
        <v>-0.19550032891365943</v>
      </c>
      <c r="O58" s="11"/>
      <c r="P58" s="7">
        <v>2433.6999999999998</v>
      </c>
      <c r="Q58" s="2"/>
      <c r="R58" s="6">
        <f t="shared" si="24"/>
        <v>6.5715755339516499E-3</v>
      </c>
      <c r="S58" s="2"/>
      <c r="T58" s="7">
        <v>3025.11</v>
      </c>
      <c r="U58" s="2"/>
      <c r="V58" s="6">
        <f t="shared" si="25"/>
        <v>7.0978488645356413E-3</v>
      </c>
      <c r="W58" s="2"/>
      <c r="X58" s="7">
        <f t="shared" si="26"/>
        <v>-591.41000000000031</v>
      </c>
      <c r="Y58" s="2"/>
      <c r="Z58" s="6">
        <f t="shared" si="27"/>
        <v>-0.19550032891365943</v>
      </c>
    </row>
    <row r="59" spans="1:26" s="24" customFormat="1" hidden="1" outlineLevel="2" x14ac:dyDescent="0.25">
      <c r="A59" s="29"/>
      <c r="B59" s="11" t="str">
        <f>CONCATENATE("          ", "6006", " - ", "TEMPORARY PART TIME")</f>
        <v xml:space="preserve">          6006 - TEMPORARY PART TIME</v>
      </c>
      <c r="C59" s="11"/>
      <c r="D59" s="7">
        <v>1448.44</v>
      </c>
      <c r="E59" s="2"/>
      <c r="F59" s="6">
        <f t="shared" si="20"/>
        <v>3.9111364861720548E-3</v>
      </c>
      <c r="G59" s="2"/>
      <c r="H59" s="7"/>
      <c r="I59" s="2"/>
      <c r="J59" s="6">
        <f t="shared" si="21"/>
        <v>0</v>
      </c>
      <c r="K59" s="2"/>
      <c r="L59" s="7">
        <f t="shared" si="22"/>
        <v>1448.44</v>
      </c>
      <c r="M59" s="2"/>
      <c r="N59" s="6">
        <f t="shared" si="23"/>
        <v>0</v>
      </c>
      <c r="O59" s="11"/>
      <c r="P59" s="7">
        <v>1448.44</v>
      </c>
      <c r="Q59" s="2"/>
      <c r="R59" s="6">
        <f t="shared" si="24"/>
        <v>3.9111364861720548E-3</v>
      </c>
      <c r="S59" s="2"/>
      <c r="T59" s="7"/>
      <c r="U59" s="2"/>
      <c r="V59" s="6">
        <f t="shared" si="25"/>
        <v>0</v>
      </c>
      <c r="W59" s="2"/>
      <c r="X59" s="7">
        <f t="shared" si="26"/>
        <v>1448.44</v>
      </c>
      <c r="Y59" s="2"/>
      <c r="Z59" s="6">
        <f t="shared" si="27"/>
        <v>0</v>
      </c>
    </row>
    <row r="60" spans="1:26" s="24" customFormat="1" hidden="1" outlineLevel="2" x14ac:dyDescent="0.25">
      <c r="A60" s="29"/>
      <c r="B60" s="11" t="str">
        <f>CONCATENATE("          ", "6007", " - ", "STUDENT HOURLY")</f>
        <v xml:space="preserve">          6007 - STUDENT HOURLY</v>
      </c>
      <c r="C60" s="11"/>
      <c r="D60" s="7">
        <v>880</v>
      </c>
      <c r="E60" s="2"/>
      <c r="F60" s="6">
        <f t="shared" si="20"/>
        <v>2.376211722840717E-3</v>
      </c>
      <c r="G60" s="2"/>
      <c r="H60" s="7">
        <v>3955.01</v>
      </c>
      <c r="I60" s="2"/>
      <c r="J60" s="6">
        <f t="shared" si="21"/>
        <v>9.2796834619987729E-3</v>
      </c>
      <c r="K60" s="2"/>
      <c r="L60" s="7">
        <f t="shared" si="22"/>
        <v>-3075.01</v>
      </c>
      <c r="M60" s="2"/>
      <c r="N60" s="6">
        <f t="shared" si="23"/>
        <v>-0.77749740202932482</v>
      </c>
      <c r="O60" s="11"/>
      <c r="P60" s="7">
        <v>880</v>
      </c>
      <c r="Q60" s="2"/>
      <c r="R60" s="6">
        <f t="shared" si="24"/>
        <v>2.376211722840717E-3</v>
      </c>
      <c r="S60" s="2"/>
      <c r="T60" s="7">
        <v>3955.01</v>
      </c>
      <c r="U60" s="2"/>
      <c r="V60" s="6">
        <f t="shared" si="25"/>
        <v>9.2796834619987729E-3</v>
      </c>
      <c r="W60" s="2"/>
      <c r="X60" s="7">
        <f t="shared" si="26"/>
        <v>-3075.01</v>
      </c>
      <c r="Y60" s="2"/>
      <c r="Z60" s="6">
        <f t="shared" si="27"/>
        <v>-0.77749740202932482</v>
      </c>
    </row>
    <row r="61" spans="1:26" s="28" customFormat="1" outlineLevel="1" collapsed="1" x14ac:dyDescent="0.25">
      <c r="A61" s="27"/>
      <c r="B61" s="14" t="str">
        <f>CONCATENATE("     ","Advertising/Promo                                 ")</f>
        <v xml:space="preserve">     Advertising/Promo                                 </v>
      </c>
      <c r="C61" s="14"/>
      <c r="D61" s="1">
        <f>SUM(OSRRefD22_2x_0)</f>
        <v>359.07</v>
      </c>
      <c r="E61" s="1"/>
      <c r="F61" s="5">
        <f t="shared" ref="F61:F75" si="28">IF(D$12=0,0,D61/D$12)</f>
        <v>9.6957539013683655E-4</v>
      </c>
      <c r="G61" s="1"/>
      <c r="H61" s="1">
        <f>SUM(OSRRefH22_2x_0)</f>
        <v>240.06</v>
      </c>
      <c r="I61" s="1"/>
      <c r="J61" s="5">
        <f t="shared" ref="J61:J75" si="29">IF(H$12=0,0,H61/H$12)</f>
        <v>5.6325541828906259E-4</v>
      </c>
      <c r="K61" s="1"/>
      <c r="L61" s="1">
        <f t="shared" ref="L61:L75" si="30">+D61-H61</f>
        <v>119.00999999999999</v>
      </c>
      <c r="M61" s="1"/>
      <c r="N61" s="5">
        <f t="shared" ref="N61:N75" si="31">IF(H61=0,0,L61/H61)</f>
        <v>0.49575106223444132</v>
      </c>
      <c r="O61" s="14"/>
      <c r="P61" s="1">
        <f>SUM(OSRRefP22_2x_0)</f>
        <v>359.07</v>
      </c>
      <c r="Q61" s="1"/>
      <c r="R61" s="5">
        <f t="shared" ref="R61:R75" si="32">IF(P$12=0,0,P61/P$12)</f>
        <v>9.6957539013683655E-4</v>
      </c>
      <c r="S61" s="1"/>
      <c r="T61" s="1">
        <f>SUM(OSRRefT22_2x_0)</f>
        <v>240.06</v>
      </c>
      <c r="U61" s="1"/>
      <c r="V61" s="5">
        <f t="shared" ref="V61:V75" si="33">IF(T$12=0,0,T61/T$12)</f>
        <v>5.6325541828906259E-4</v>
      </c>
      <c r="W61" s="1"/>
      <c r="X61" s="1">
        <f t="shared" ref="X61:X75" si="34">+P61-T61</f>
        <v>119.00999999999999</v>
      </c>
      <c r="Y61" s="1"/>
      <c r="Z61" s="5">
        <f t="shared" ref="Z61:Z75" si="35">IF(T61=0,0,X61/T61)</f>
        <v>0.49575106223444132</v>
      </c>
    </row>
    <row r="62" spans="1:26" s="24" customFormat="1" hidden="1" outlineLevel="2" x14ac:dyDescent="0.25">
      <c r="A62" s="29"/>
      <c r="B62" s="11" t="str">
        <f>CONCATENATE("          ", "6362", " - ", "ADVERTISING EXPENSE")</f>
        <v xml:space="preserve">          6362 - ADVERTISING EXPENSE</v>
      </c>
      <c r="C62" s="11"/>
      <c r="D62" s="7">
        <v>359.07</v>
      </c>
      <c r="E62" s="2"/>
      <c r="F62" s="6">
        <f t="shared" si="28"/>
        <v>9.6957539013683655E-4</v>
      </c>
      <c r="G62" s="2"/>
      <c r="H62" s="7">
        <v>240.06</v>
      </c>
      <c r="I62" s="2"/>
      <c r="J62" s="6">
        <f t="shared" si="29"/>
        <v>5.6325541828906259E-4</v>
      </c>
      <c r="K62" s="2"/>
      <c r="L62" s="7">
        <f t="shared" si="30"/>
        <v>119.00999999999999</v>
      </c>
      <c r="M62" s="2"/>
      <c r="N62" s="6">
        <f t="shared" si="31"/>
        <v>0.49575106223444132</v>
      </c>
      <c r="O62" s="11"/>
      <c r="P62" s="7">
        <v>359.07</v>
      </c>
      <c r="Q62" s="2"/>
      <c r="R62" s="6">
        <f t="shared" si="32"/>
        <v>9.6957539013683655E-4</v>
      </c>
      <c r="S62" s="2"/>
      <c r="T62" s="7">
        <v>240.06</v>
      </c>
      <c r="U62" s="2"/>
      <c r="V62" s="6">
        <f t="shared" si="33"/>
        <v>5.6325541828906259E-4</v>
      </c>
      <c r="W62" s="2"/>
      <c r="X62" s="7">
        <f t="shared" si="34"/>
        <v>119.00999999999999</v>
      </c>
      <c r="Y62" s="2"/>
      <c r="Z62" s="6">
        <f t="shared" si="35"/>
        <v>0.49575106223444132</v>
      </c>
    </row>
    <row r="63" spans="1:26" s="28" customFormat="1" outlineLevel="1" collapsed="1" x14ac:dyDescent="0.25">
      <c r="A63" s="27"/>
      <c r="B63" s="14" t="str">
        <f>CONCATENATE("     ","Depreciation                                      ")</f>
        <v xml:space="preserve">     Depreciation                                      </v>
      </c>
      <c r="C63" s="14"/>
      <c r="D63" s="1">
        <f>SUM(OSRRefD22_3x_0)</f>
        <v>280.44</v>
      </c>
      <c r="E63" s="1"/>
      <c r="F63" s="5">
        <f t="shared" si="28"/>
        <v>7.5725547221983027E-4</v>
      </c>
      <c r="G63" s="1"/>
      <c r="H63" s="1">
        <f>SUM(OSRRefH22_3x_0)</f>
        <v>280.44</v>
      </c>
      <c r="I63" s="1"/>
      <c r="J63" s="5">
        <f t="shared" si="29"/>
        <v>6.5799945640666792E-4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SUM(OSRRefP22_3x_0)</f>
        <v>280.44</v>
      </c>
      <c r="Q63" s="1"/>
      <c r="R63" s="5">
        <f t="shared" si="32"/>
        <v>7.5725547221983027E-4</v>
      </c>
      <c r="S63" s="1"/>
      <c r="T63" s="1">
        <f>SUM(OSRRefT22_3x_0)</f>
        <v>280.44</v>
      </c>
      <c r="U63" s="1"/>
      <c r="V63" s="5">
        <f t="shared" si="33"/>
        <v>6.5799945640666792E-4</v>
      </c>
      <c r="W63" s="1"/>
      <c r="X63" s="1">
        <f t="shared" si="34"/>
        <v>0</v>
      </c>
      <c r="Y63" s="1"/>
      <c r="Z63" s="5">
        <f t="shared" si="35"/>
        <v>0</v>
      </c>
    </row>
    <row r="64" spans="1:26" s="24" customFormat="1" hidden="1" outlineLevel="2" x14ac:dyDescent="0.25">
      <c r="A64" s="29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280.44</v>
      </c>
      <c r="E64" s="2"/>
      <c r="F64" s="6">
        <f t="shared" si="28"/>
        <v>7.5725547221983027E-4</v>
      </c>
      <c r="G64" s="2"/>
      <c r="H64" s="7">
        <v>280.44</v>
      </c>
      <c r="I64" s="2"/>
      <c r="J64" s="6">
        <f t="shared" si="29"/>
        <v>6.5799945640666792E-4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280.44</v>
      </c>
      <c r="Q64" s="2"/>
      <c r="R64" s="6">
        <f t="shared" si="32"/>
        <v>7.5725547221983027E-4</v>
      </c>
      <c r="S64" s="2"/>
      <c r="T64" s="7">
        <v>280.44</v>
      </c>
      <c r="U64" s="2"/>
      <c r="V64" s="6">
        <f t="shared" si="33"/>
        <v>6.5799945640666792E-4</v>
      </c>
      <c r="W64" s="2"/>
      <c r="X64" s="7">
        <f t="shared" si="34"/>
        <v>0</v>
      </c>
      <c r="Y64" s="2"/>
      <c r="Z64" s="6">
        <f t="shared" si="35"/>
        <v>0</v>
      </c>
    </row>
    <row r="65" spans="1:26" s="28" customFormat="1" outlineLevel="1" collapsed="1" x14ac:dyDescent="0.25">
      <c r="A65" s="27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SUM(OSRRefD22_4x_0)</f>
        <v>12904.81</v>
      </c>
      <c r="E65" s="1"/>
      <c r="F65" s="5">
        <f t="shared" si="28"/>
        <v>3.4846091821627401E-2</v>
      </c>
      <c r="G65" s="1"/>
      <c r="H65" s="1">
        <f>SUM(OSRRefH22_4x_0)</f>
        <v>10653.58</v>
      </c>
      <c r="I65" s="1"/>
      <c r="J65" s="5">
        <f t="shared" si="29"/>
        <v>2.4996611926918232E-2</v>
      </c>
      <c r="K65" s="1"/>
      <c r="L65" s="1">
        <f t="shared" si="30"/>
        <v>2251.2299999999996</v>
      </c>
      <c r="M65" s="1"/>
      <c r="N65" s="5">
        <f t="shared" si="31"/>
        <v>0.21131206599096261</v>
      </c>
      <c r="O65" s="14"/>
      <c r="P65" s="1">
        <f>SUM(OSRRefP22_4x_0)</f>
        <v>12904.81</v>
      </c>
      <c r="Q65" s="1"/>
      <c r="R65" s="5">
        <f t="shared" si="32"/>
        <v>3.4846091821627401E-2</v>
      </c>
      <c r="S65" s="1"/>
      <c r="T65" s="1">
        <f>SUM(OSRRefT22_4x_0)</f>
        <v>10653.58</v>
      </c>
      <c r="U65" s="1"/>
      <c r="V65" s="5">
        <f t="shared" si="33"/>
        <v>2.4996611926918232E-2</v>
      </c>
      <c r="W65" s="1"/>
      <c r="X65" s="1">
        <f t="shared" si="34"/>
        <v>2251.2299999999996</v>
      </c>
      <c r="Y65" s="1"/>
      <c r="Z65" s="5">
        <f t="shared" si="35"/>
        <v>0.21131206599096261</v>
      </c>
    </row>
    <row r="66" spans="1:26" s="24" customFormat="1" hidden="1" outlineLevel="2" x14ac:dyDescent="0.25">
      <c r="A66" s="29"/>
      <c r="B66" s="11" t="str">
        <f>CONCATENATE("          ", "6382", " - ", "DISCOUNTS/MARK DOWNS")</f>
        <v xml:space="preserve">          6382 - DISCOUNTS/MARK DOWNS</v>
      </c>
      <c r="C66" s="11"/>
      <c r="D66" s="7">
        <v>12904.81</v>
      </c>
      <c r="E66" s="2"/>
      <c r="F66" s="6">
        <f t="shared" si="28"/>
        <v>3.4846091821627401E-2</v>
      </c>
      <c r="G66" s="2"/>
      <c r="H66" s="7">
        <v>10653.58</v>
      </c>
      <c r="I66" s="2"/>
      <c r="J66" s="6">
        <f t="shared" si="29"/>
        <v>2.4996611926918232E-2</v>
      </c>
      <c r="K66" s="2"/>
      <c r="L66" s="7">
        <f t="shared" si="30"/>
        <v>2251.2299999999996</v>
      </c>
      <c r="M66" s="2"/>
      <c r="N66" s="6">
        <f t="shared" si="31"/>
        <v>0.21131206599096261</v>
      </c>
      <c r="O66" s="11"/>
      <c r="P66" s="7">
        <v>12904.81</v>
      </c>
      <c r="Q66" s="2"/>
      <c r="R66" s="6">
        <f t="shared" si="32"/>
        <v>3.4846091821627401E-2</v>
      </c>
      <c r="S66" s="2"/>
      <c r="T66" s="7">
        <v>10653.58</v>
      </c>
      <c r="U66" s="2"/>
      <c r="V66" s="6">
        <f t="shared" si="33"/>
        <v>2.4996611926918232E-2</v>
      </c>
      <c r="W66" s="2"/>
      <c r="X66" s="7">
        <f t="shared" si="34"/>
        <v>2251.2299999999996</v>
      </c>
      <c r="Y66" s="2"/>
      <c r="Z66" s="6">
        <f t="shared" si="35"/>
        <v>0.21131206599096261</v>
      </c>
    </row>
    <row r="67" spans="1:26" s="28" customFormat="1" outlineLevel="1" collapsed="1" x14ac:dyDescent="0.25">
      <c r="A67" s="27"/>
      <c r="B67" s="14" t="str">
        <f>CONCATENATE("     ","Employees' Appreciation                           ")</f>
        <v xml:space="preserve">     Employees' Appreciation                           </v>
      </c>
      <c r="C67" s="14"/>
      <c r="D67" s="1">
        <f>SUM(OSRRefD22_5x_0)</f>
        <v>0</v>
      </c>
      <c r="E67" s="1"/>
      <c r="F67" s="5">
        <f t="shared" si="28"/>
        <v>0</v>
      </c>
      <c r="G67" s="1"/>
      <c r="H67" s="1">
        <f>SUM(OSRRefH22_5x_0)</f>
        <v>84.31</v>
      </c>
      <c r="I67" s="1"/>
      <c r="J67" s="5">
        <f t="shared" si="29"/>
        <v>1.9781748027972534E-4</v>
      </c>
      <c r="K67" s="1"/>
      <c r="L67" s="1">
        <f t="shared" si="30"/>
        <v>-84.31</v>
      </c>
      <c r="M67" s="1"/>
      <c r="N67" s="5">
        <f t="shared" si="31"/>
        <v>-1</v>
      </c>
      <c r="O67" s="14"/>
      <c r="P67" s="1">
        <f>SUM(OSRRefP22_5x_0)</f>
        <v>0</v>
      </c>
      <c r="Q67" s="1"/>
      <c r="R67" s="5">
        <f t="shared" si="32"/>
        <v>0</v>
      </c>
      <c r="S67" s="1"/>
      <c r="T67" s="1">
        <f>SUM(OSRRefT22_5x_0)</f>
        <v>84.31</v>
      </c>
      <c r="U67" s="1"/>
      <c r="V67" s="5">
        <f t="shared" si="33"/>
        <v>1.9781748027972534E-4</v>
      </c>
      <c r="W67" s="1"/>
      <c r="X67" s="1">
        <f t="shared" si="34"/>
        <v>-84.31</v>
      </c>
      <c r="Y67" s="1"/>
      <c r="Z67" s="5">
        <f t="shared" si="35"/>
        <v>-1</v>
      </c>
    </row>
    <row r="68" spans="1:26" s="24" customFormat="1" hidden="1" outlineLevel="2" x14ac:dyDescent="0.25">
      <c r="A68" s="29"/>
      <c r="B68" s="11" t="str">
        <f>CONCATENATE("          ", "6277", " - ", "EMPLOYEE APPRECIATION")</f>
        <v xml:space="preserve">          6277 - EMPLOYEE APPRECIATION</v>
      </c>
      <c r="C68" s="11"/>
      <c r="D68" s="7"/>
      <c r="E68" s="2"/>
      <c r="F68" s="6">
        <f t="shared" si="28"/>
        <v>0</v>
      </c>
      <c r="G68" s="2"/>
      <c r="H68" s="7">
        <v>84.31</v>
      </c>
      <c r="I68" s="2"/>
      <c r="J68" s="6">
        <f t="shared" si="29"/>
        <v>1.9781748027972534E-4</v>
      </c>
      <c r="K68" s="2"/>
      <c r="L68" s="7">
        <f t="shared" si="30"/>
        <v>-84.31</v>
      </c>
      <c r="M68" s="2"/>
      <c r="N68" s="6">
        <f t="shared" si="31"/>
        <v>-1</v>
      </c>
      <c r="O68" s="11"/>
      <c r="P68" s="7"/>
      <c r="Q68" s="2"/>
      <c r="R68" s="6">
        <f t="shared" si="32"/>
        <v>0</v>
      </c>
      <c r="S68" s="2"/>
      <c r="T68" s="7">
        <v>84.31</v>
      </c>
      <c r="U68" s="2"/>
      <c r="V68" s="6">
        <f t="shared" si="33"/>
        <v>1.9781748027972534E-4</v>
      </c>
      <c r="W68" s="2"/>
      <c r="X68" s="7">
        <f t="shared" si="34"/>
        <v>-84.31</v>
      </c>
      <c r="Y68" s="2"/>
      <c r="Z68" s="6">
        <f t="shared" si="35"/>
        <v>-1</v>
      </c>
    </row>
    <row r="69" spans="1:26" s="28" customFormat="1" outlineLevel="1" collapsed="1" x14ac:dyDescent="0.25">
      <c r="A69" s="27"/>
      <c r="B69" s="14" t="str">
        <f>CONCATENATE("     ","Freight out/Postage                               ")</f>
        <v xml:space="preserve">     Freight out/Postage                               </v>
      </c>
      <c r="C69" s="14"/>
      <c r="D69" s="1">
        <f>SUM(OSRRefD22_6x_0)</f>
        <v>0</v>
      </c>
      <c r="E69" s="1"/>
      <c r="F69" s="5">
        <f t="shared" si="28"/>
        <v>0</v>
      </c>
      <c r="G69" s="1"/>
      <c r="H69" s="1">
        <f>SUM(OSRRefH22_6x_0)</f>
        <v>28.96</v>
      </c>
      <c r="I69" s="1"/>
      <c r="J69" s="5">
        <f t="shared" si="29"/>
        <v>6.7949166515251399E-5</v>
      </c>
      <c r="K69" s="1"/>
      <c r="L69" s="1">
        <f t="shared" si="30"/>
        <v>-28.96</v>
      </c>
      <c r="M69" s="1"/>
      <c r="N69" s="5">
        <f t="shared" si="31"/>
        <v>-1</v>
      </c>
      <c r="O69" s="14"/>
      <c r="P69" s="1">
        <f>SUM(OSRRefP22_6x_0)</f>
        <v>0</v>
      </c>
      <c r="Q69" s="1"/>
      <c r="R69" s="5">
        <f t="shared" si="32"/>
        <v>0</v>
      </c>
      <c r="S69" s="1"/>
      <c r="T69" s="1">
        <f>SUM(OSRRefT22_6x_0)</f>
        <v>28.96</v>
      </c>
      <c r="U69" s="1"/>
      <c r="V69" s="5">
        <f t="shared" si="33"/>
        <v>6.7949166515251399E-5</v>
      </c>
      <c r="W69" s="1"/>
      <c r="X69" s="1">
        <f t="shared" si="34"/>
        <v>-28.96</v>
      </c>
      <c r="Y69" s="1"/>
      <c r="Z69" s="5">
        <f t="shared" si="35"/>
        <v>-1</v>
      </c>
    </row>
    <row r="70" spans="1:26" s="24" customFormat="1" hidden="1" outlineLevel="2" x14ac:dyDescent="0.25">
      <c r="A70" s="29"/>
      <c r="B70" s="11" t="str">
        <f>CONCATENATE("          ", "6305", " - ", "FREIGHT OUT")</f>
        <v xml:space="preserve">          6305 - FREIGHT OUT</v>
      </c>
      <c r="C70" s="11"/>
      <c r="D70" s="7"/>
      <c r="E70" s="2"/>
      <c r="F70" s="6">
        <f t="shared" si="28"/>
        <v>0</v>
      </c>
      <c r="G70" s="2"/>
      <c r="H70" s="7">
        <v>28.96</v>
      </c>
      <c r="I70" s="2"/>
      <c r="J70" s="6">
        <f t="shared" si="29"/>
        <v>6.7949166515251399E-5</v>
      </c>
      <c r="K70" s="2"/>
      <c r="L70" s="7">
        <f t="shared" si="30"/>
        <v>-28.96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28.96</v>
      </c>
      <c r="U70" s="2"/>
      <c r="V70" s="6">
        <f t="shared" si="33"/>
        <v>6.7949166515251399E-5</v>
      </c>
      <c r="W70" s="2"/>
      <c r="X70" s="7">
        <f t="shared" si="34"/>
        <v>-28.96</v>
      </c>
      <c r="Y70" s="2"/>
      <c r="Z70" s="6">
        <f t="shared" si="35"/>
        <v>-1</v>
      </c>
    </row>
    <row r="71" spans="1:26" s="28" customFormat="1" outlineLevel="1" collapsed="1" x14ac:dyDescent="0.25">
      <c r="A71" s="27"/>
      <c r="B71" s="14" t="str">
        <f>CONCATENATE("     ","Inventory Adjustment                              ")</f>
        <v xml:space="preserve">     Inventory Adjustment                              </v>
      </c>
      <c r="C71" s="14"/>
      <c r="D71" s="1">
        <f>SUM(OSRRefD22_7x_0)</f>
        <v>0</v>
      </c>
      <c r="E71" s="1"/>
      <c r="F71" s="5">
        <f t="shared" si="28"/>
        <v>0</v>
      </c>
      <c r="G71" s="1"/>
      <c r="H71" s="1">
        <f>SUM(OSRRefH22_7x_0)</f>
        <v>1250</v>
      </c>
      <c r="I71" s="1"/>
      <c r="J71" s="5">
        <f t="shared" si="29"/>
        <v>2.9328887480685171E-3</v>
      </c>
      <c r="K71" s="1"/>
      <c r="L71" s="1">
        <f t="shared" si="30"/>
        <v>-1250</v>
      </c>
      <c r="M71" s="1"/>
      <c r="N71" s="5">
        <f t="shared" si="31"/>
        <v>-1</v>
      </c>
      <c r="O71" s="14"/>
      <c r="P71" s="1">
        <f>SUM(OSRRefP22_7x_0)</f>
        <v>0</v>
      </c>
      <c r="Q71" s="1"/>
      <c r="R71" s="5">
        <f t="shared" si="32"/>
        <v>0</v>
      </c>
      <c r="S71" s="1"/>
      <c r="T71" s="1">
        <f>SUM(OSRRefT22_7x_0)</f>
        <v>1250</v>
      </c>
      <c r="U71" s="1"/>
      <c r="V71" s="5">
        <f t="shared" si="33"/>
        <v>2.9328887480685171E-3</v>
      </c>
      <c r="W71" s="1"/>
      <c r="X71" s="1">
        <f t="shared" si="34"/>
        <v>-1250</v>
      </c>
      <c r="Y71" s="1"/>
      <c r="Z71" s="5">
        <f t="shared" si="35"/>
        <v>-1</v>
      </c>
    </row>
    <row r="72" spans="1:26" s="24" customFormat="1" hidden="1" outlineLevel="2" x14ac:dyDescent="0.25">
      <c r="A72" s="29"/>
      <c r="B72" s="11" t="str">
        <f>CONCATENATE("          ", "6408", " - ", "INVENTORY ADJUSTMENT")</f>
        <v xml:space="preserve">          6408 - INVENTORY ADJUSTMENT</v>
      </c>
      <c r="C72" s="11"/>
      <c r="D72" s="7"/>
      <c r="E72" s="2"/>
      <c r="F72" s="6">
        <f t="shared" si="28"/>
        <v>0</v>
      </c>
      <c r="G72" s="2"/>
      <c r="H72" s="7">
        <v>1250</v>
      </c>
      <c r="I72" s="2"/>
      <c r="J72" s="6">
        <f t="shared" si="29"/>
        <v>2.9328887480685171E-3</v>
      </c>
      <c r="K72" s="2"/>
      <c r="L72" s="7">
        <f t="shared" si="30"/>
        <v>-1250</v>
      </c>
      <c r="M72" s="2"/>
      <c r="N72" s="6">
        <f t="shared" si="31"/>
        <v>-1</v>
      </c>
      <c r="O72" s="11"/>
      <c r="P72" s="7"/>
      <c r="Q72" s="2"/>
      <c r="R72" s="6">
        <f t="shared" si="32"/>
        <v>0</v>
      </c>
      <c r="S72" s="2"/>
      <c r="T72" s="7">
        <v>1250</v>
      </c>
      <c r="U72" s="2"/>
      <c r="V72" s="6">
        <f t="shared" si="33"/>
        <v>2.9328887480685171E-3</v>
      </c>
      <c r="W72" s="2"/>
      <c r="X72" s="7">
        <f t="shared" si="34"/>
        <v>-1250</v>
      </c>
      <c r="Y72" s="2"/>
      <c r="Z72" s="6">
        <f t="shared" si="35"/>
        <v>-1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SUM(OSRRefD22_8x_0)</f>
        <v>675.26</v>
      </c>
      <c r="E73" s="1"/>
      <c r="F73" s="5">
        <f t="shared" si="28"/>
        <v>1.8233644635970709E-3</v>
      </c>
      <c r="G73" s="1"/>
      <c r="H73" s="1">
        <f>SUM(OSRRefH22_8x_0)</f>
        <v>304.55</v>
      </c>
      <c r="I73" s="1"/>
      <c r="J73" s="5">
        <f t="shared" si="29"/>
        <v>7.1456901457941349E-4</v>
      </c>
      <c r="K73" s="1"/>
      <c r="L73" s="1">
        <f t="shared" si="30"/>
        <v>370.71</v>
      </c>
      <c r="M73" s="1"/>
      <c r="N73" s="5">
        <f t="shared" si="31"/>
        <v>1.2172385486783779</v>
      </c>
      <c r="O73" s="14"/>
      <c r="P73" s="1">
        <f>SUM(OSRRefP22_8x_0)</f>
        <v>675.26</v>
      </c>
      <c r="Q73" s="1"/>
      <c r="R73" s="5">
        <f t="shared" si="32"/>
        <v>1.8233644635970709E-3</v>
      </c>
      <c r="S73" s="1"/>
      <c r="T73" s="1">
        <f>SUM(OSRRefT22_8x_0)</f>
        <v>304.55</v>
      </c>
      <c r="U73" s="1"/>
      <c r="V73" s="5">
        <f t="shared" si="33"/>
        <v>7.1456901457941349E-4</v>
      </c>
      <c r="W73" s="1"/>
      <c r="X73" s="1">
        <f t="shared" si="34"/>
        <v>370.71</v>
      </c>
      <c r="Y73" s="1"/>
      <c r="Z73" s="5">
        <f t="shared" si="35"/>
        <v>1.2172385486783779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92.82</v>
      </c>
      <c r="E74" s="2"/>
      <c r="F74" s="6">
        <f t="shared" si="28"/>
        <v>2.5063633194781287E-4</v>
      </c>
      <c r="G74" s="2"/>
      <c r="H74" s="7">
        <v>172.87</v>
      </c>
      <c r="I74" s="2"/>
      <c r="J74" s="6">
        <f t="shared" si="29"/>
        <v>4.0560678230288364E-4</v>
      </c>
      <c r="K74" s="2"/>
      <c r="L74" s="7">
        <f t="shared" si="30"/>
        <v>-80.050000000000011</v>
      </c>
      <c r="M74" s="2"/>
      <c r="N74" s="6">
        <f t="shared" si="31"/>
        <v>-0.46306473072250831</v>
      </c>
      <c r="O74" s="11"/>
      <c r="P74" s="7">
        <v>92.82</v>
      </c>
      <c r="Q74" s="2"/>
      <c r="R74" s="6">
        <f t="shared" si="32"/>
        <v>2.5063633194781287E-4</v>
      </c>
      <c r="S74" s="2"/>
      <c r="T74" s="7">
        <v>172.87</v>
      </c>
      <c r="U74" s="2"/>
      <c r="V74" s="6">
        <f t="shared" si="33"/>
        <v>4.0560678230288364E-4</v>
      </c>
      <c r="W74" s="2"/>
      <c r="X74" s="7">
        <f t="shared" si="34"/>
        <v>-80.050000000000011</v>
      </c>
      <c r="Y74" s="2"/>
      <c r="Z74" s="6">
        <f t="shared" si="35"/>
        <v>-0.46306473072250831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7">
        <v>582.44000000000005</v>
      </c>
      <c r="E75" s="2"/>
      <c r="F75" s="6">
        <f t="shared" si="28"/>
        <v>1.5727281316492584E-3</v>
      </c>
      <c r="G75" s="2"/>
      <c r="H75" s="7">
        <v>131.68</v>
      </c>
      <c r="I75" s="2"/>
      <c r="J75" s="6">
        <f t="shared" si="29"/>
        <v>3.0896223227652985E-4</v>
      </c>
      <c r="K75" s="2"/>
      <c r="L75" s="7">
        <f t="shared" si="30"/>
        <v>450.76000000000005</v>
      </c>
      <c r="M75" s="2"/>
      <c r="N75" s="6">
        <f t="shared" si="31"/>
        <v>3.4231470230862699</v>
      </c>
      <c r="O75" s="11"/>
      <c r="P75" s="7">
        <v>582.44000000000005</v>
      </c>
      <c r="Q75" s="2"/>
      <c r="R75" s="6">
        <f t="shared" si="32"/>
        <v>1.5727281316492584E-3</v>
      </c>
      <c r="S75" s="2"/>
      <c r="T75" s="7">
        <v>131.68</v>
      </c>
      <c r="U75" s="2"/>
      <c r="V75" s="6">
        <f t="shared" si="33"/>
        <v>3.0896223227652985E-4</v>
      </c>
      <c r="W75" s="2"/>
      <c r="X75" s="7">
        <f t="shared" si="34"/>
        <v>450.76000000000005</v>
      </c>
      <c r="Y75" s="2"/>
      <c r="Z75" s="6">
        <f t="shared" si="35"/>
        <v>3.4231470230862699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SUM(OSRRefD22_9x_0)</f>
        <v>177.05</v>
      </c>
      <c r="E76" s="1"/>
      <c r="F76" s="5">
        <f t="shared" ref="F76:F77" si="36">IF(D$12=0,0,D76/D$12)</f>
        <v>4.7807759719198741E-4</v>
      </c>
      <c r="G76" s="1"/>
      <c r="H76" s="1">
        <f>SUM(OSRRefH22_9x_0)</f>
        <v>711.1</v>
      </c>
      <c r="I76" s="1"/>
      <c r="J76" s="5">
        <f t="shared" ref="J76:J77" si="37">IF(H$12=0,0,H76/H$12)</f>
        <v>1.668461751001218E-3</v>
      </c>
      <c r="K76" s="1"/>
      <c r="L76" s="1">
        <f t="shared" ref="L76:L77" si="38">+D76-H76</f>
        <v>-534.04999999999995</v>
      </c>
      <c r="M76" s="1"/>
      <c r="N76" s="5">
        <f t="shared" ref="N76:N77" si="39">IF(H76=0,0,L76/H76)</f>
        <v>-0.75101954718042463</v>
      </c>
      <c r="O76" s="14"/>
      <c r="P76" s="1">
        <f>SUM(OSRRefP22_9x_0)</f>
        <v>177.05</v>
      </c>
      <c r="Q76" s="1"/>
      <c r="R76" s="5">
        <f t="shared" ref="R76:R77" si="40">IF(P$12=0,0,P76/P$12)</f>
        <v>4.7807759719198741E-4</v>
      </c>
      <c r="S76" s="1"/>
      <c r="T76" s="1">
        <f>SUM(OSRRefT22_9x_0)</f>
        <v>711.1</v>
      </c>
      <c r="U76" s="1"/>
      <c r="V76" s="5">
        <f t="shared" ref="V76:V77" si="41">IF(T$12=0,0,T76/T$12)</f>
        <v>1.668461751001218E-3</v>
      </c>
      <c r="W76" s="1"/>
      <c r="X76" s="1">
        <f t="shared" ref="X76:X77" si="42">+P76-T76</f>
        <v>-534.04999999999995</v>
      </c>
      <c r="Y76" s="1"/>
      <c r="Z76" s="5">
        <f t="shared" ref="Z76:Z77" si="43">IF(T76=0,0,X76/T76)</f>
        <v>-0.75101954718042463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>
        <v>177.05</v>
      </c>
      <c r="E77" s="2"/>
      <c r="F77" s="6">
        <f t="shared" si="36"/>
        <v>4.7807759719198741E-4</v>
      </c>
      <c r="G77" s="2"/>
      <c r="H77" s="7">
        <v>711.1</v>
      </c>
      <c r="I77" s="2"/>
      <c r="J77" s="6">
        <f t="shared" si="37"/>
        <v>1.668461751001218E-3</v>
      </c>
      <c r="K77" s="2"/>
      <c r="L77" s="7">
        <f t="shared" si="38"/>
        <v>-534.04999999999995</v>
      </c>
      <c r="M77" s="2"/>
      <c r="N77" s="6">
        <f t="shared" si="39"/>
        <v>-0.75101954718042463</v>
      </c>
      <c r="O77" s="11"/>
      <c r="P77" s="7">
        <v>177.05</v>
      </c>
      <c r="Q77" s="2"/>
      <c r="R77" s="6">
        <f t="shared" si="40"/>
        <v>4.7807759719198741E-4</v>
      </c>
      <c r="S77" s="2"/>
      <c r="T77" s="7">
        <v>711.1</v>
      </c>
      <c r="U77" s="2"/>
      <c r="V77" s="6">
        <f t="shared" si="41"/>
        <v>1.668461751001218E-3</v>
      </c>
      <c r="W77" s="2"/>
      <c r="X77" s="7">
        <f t="shared" si="42"/>
        <v>-534.04999999999995</v>
      </c>
      <c r="Y77" s="2"/>
      <c r="Z77" s="6">
        <f t="shared" si="43"/>
        <v>-0.75101954718042463</v>
      </c>
    </row>
    <row r="78" spans="1:26" s="54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6" t="s">
        <v>0</v>
      </c>
      <c r="C79" s="10"/>
      <c r="D79" s="4">
        <f>SUM(OSRRefD25x_0)</f>
        <v>17.80000000000004</v>
      </c>
      <c r="E79" s="4"/>
      <c r="F79" s="12">
        <f t="shared" ref="F79:F82" si="44">IF(D$12=0,0,D79/D$12)</f>
        <v>4.8064282575641881E-5</v>
      </c>
      <c r="G79" s="4"/>
      <c r="H79" s="4">
        <f>SUM(OSRRefH25x_0)</f>
        <v>-23.919999999999959</v>
      </c>
      <c r="I79" s="4"/>
      <c r="J79" s="12">
        <f t="shared" ref="J79:J82" si="45">IF(H$12=0,0,H79/H$12)</f>
        <v>-5.6123759083039045E-5</v>
      </c>
      <c r="K79" s="4"/>
      <c r="L79" s="4">
        <f t="shared" ref="L79:L82" si="46">+D79-H79</f>
        <v>41.72</v>
      </c>
      <c r="M79" s="4"/>
      <c r="N79" s="12">
        <f t="shared" ref="N79:N82" si="47">IF(H79=0,0,L79/H79)</f>
        <v>-1.7441471571906384</v>
      </c>
      <c r="O79" s="10"/>
      <c r="P79" s="4">
        <f>SUM(OSRRefP25x_0)</f>
        <v>17.80000000000004</v>
      </c>
      <c r="Q79" s="4"/>
      <c r="R79" s="12">
        <f t="shared" ref="R79:R82" si="48">IF(P$12=0,0,P79/P$12)</f>
        <v>4.8064282575641881E-5</v>
      </c>
      <c r="S79" s="4"/>
      <c r="T79" s="4">
        <f>SUM(OSRRefT25x_0)</f>
        <v>-23.919999999999959</v>
      </c>
      <c r="U79" s="4"/>
      <c r="V79" s="12">
        <f t="shared" ref="V79:V82" si="49">IF(T$12=0,0,T79/T$12)</f>
        <v>-5.6123759083039045E-5</v>
      </c>
      <c r="W79" s="4"/>
      <c r="X79" s="4">
        <f t="shared" ref="X79:X82" si="50">+P79-T79</f>
        <v>41.72</v>
      </c>
      <c r="Y79" s="4"/>
      <c r="Z79" s="12">
        <f t="shared" ref="Z79:Z82" si="51">IF(T79=0,0,X79/T79)</f>
        <v>-1.7441471571906384</v>
      </c>
    </row>
    <row r="80" spans="1:26" s="24" customFormat="1" hidden="1" outlineLevel="1" x14ac:dyDescent="0.25">
      <c r="A80" s="50"/>
      <c r="B80" s="11" t="str">
        <f>CONCATENATE("          ", "4187", " - ", "NON-TAXABLE SALES-COMPUTER REP")</f>
        <v xml:space="preserve">          4187 - NON-TAXABLE SALES-COMPUTER REP</v>
      </c>
      <c r="C80" s="11"/>
      <c r="D80" s="2">
        <f>--781.89</f>
        <v>781.89</v>
      </c>
      <c r="E80" s="2"/>
      <c r="F80" s="22">
        <f t="shared" si="44"/>
        <v>2.1112911181499182E-3</v>
      </c>
      <c r="G80" s="2"/>
      <c r="H80" s="2">
        <f>--314.73</f>
        <v>314.73</v>
      </c>
      <c r="I80" s="2"/>
      <c r="J80" s="22">
        <f t="shared" si="45"/>
        <v>7.3845446054368353E-4</v>
      </c>
      <c r="K80" s="2"/>
      <c r="L80" s="2">
        <f t="shared" si="46"/>
        <v>467.15999999999997</v>
      </c>
      <c r="M80" s="2"/>
      <c r="N80" s="22">
        <f t="shared" si="47"/>
        <v>1.4843198932418262</v>
      </c>
      <c r="O80" s="11"/>
      <c r="P80" s="2">
        <f>--781.89</f>
        <v>781.89</v>
      </c>
      <c r="Q80" s="2"/>
      <c r="R80" s="22">
        <f t="shared" si="48"/>
        <v>2.1112911181499182E-3</v>
      </c>
      <c r="S80" s="2"/>
      <c r="T80" s="2">
        <f>--314.73</f>
        <v>314.73</v>
      </c>
      <c r="U80" s="2"/>
      <c r="V80" s="22">
        <f t="shared" si="49"/>
        <v>7.3845446054368353E-4</v>
      </c>
      <c r="W80" s="2"/>
      <c r="X80" s="2">
        <f t="shared" si="50"/>
        <v>467.15999999999997</v>
      </c>
      <c r="Y80" s="2"/>
      <c r="Z80" s="22">
        <f t="shared" si="51"/>
        <v>1.4843198932418262</v>
      </c>
    </row>
    <row r="81" spans="1:26" s="24" customFormat="1" hidden="1" outlineLevel="1" x14ac:dyDescent="0.25">
      <c r="A81" s="50"/>
      <c r="B81" s="11" t="str">
        <f>CONCATENATE("          ", "4387", " - ", "SALES RETURN NON TAXABLE-COMPU")</f>
        <v xml:space="preserve">          4387 - SALES RETURN NON TAXABLE-COMPU</v>
      </c>
      <c r="C81" s="11"/>
      <c r="D81" s="2">
        <f>-630.8</f>
        <v>-630.79999999999995</v>
      </c>
      <c r="E81" s="2"/>
      <c r="F81" s="22">
        <f t="shared" si="44"/>
        <v>-1.703311766781732E-3</v>
      </c>
      <c r="G81" s="2"/>
      <c r="H81" s="2">
        <f>0</f>
        <v>0</v>
      </c>
      <c r="I81" s="2"/>
      <c r="J81" s="22">
        <f t="shared" si="45"/>
        <v>0</v>
      </c>
      <c r="K81" s="2"/>
      <c r="L81" s="2">
        <f t="shared" si="46"/>
        <v>-630.79999999999995</v>
      </c>
      <c r="M81" s="2"/>
      <c r="N81" s="22">
        <f t="shared" si="47"/>
        <v>0</v>
      </c>
      <c r="O81" s="11"/>
      <c r="P81" s="2">
        <f>-630.8</f>
        <v>-630.79999999999995</v>
      </c>
      <c r="Q81" s="2"/>
      <c r="R81" s="22">
        <f t="shared" si="48"/>
        <v>-1.703311766781732E-3</v>
      </c>
      <c r="S81" s="2"/>
      <c r="T81" s="2">
        <f>0</f>
        <v>0</v>
      </c>
      <c r="U81" s="2"/>
      <c r="V81" s="22">
        <f t="shared" si="49"/>
        <v>0</v>
      </c>
      <c r="W81" s="2"/>
      <c r="X81" s="2">
        <f t="shared" si="50"/>
        <v>-630.79999999999995</v>
      </c>
      <c r="Y81" s="2"/>
      <c r="Z81" s="22">
        <f t="shared" si="51"/>
        <v>0</v>
      </c>
    </row>
    <row r="82" spans="1:26" s="24" customFormat="1" hidden="1" outlineLevel="1" x14ac:dyDescent="0.25">
      <c r="A82" s="50"/>
      <c r="B82" s="11" t="str">
        <f>CONCATENATE("          ", "9150", " - ", "MISC. INCOME")</f>
        <v xml:space="preserve">          9150 - MISC. INCOME</v>
      </c>
      <c r="C82" s="11"/>
      <c r="D82" s="2">
        <f>-133.29</f>
        <v>-133.29</v>
      </c>
      <c r="E82" s="2"/>
      <c r="F82" s="22">
        <f t="shared" si="44"/>
        <v>-3.5991506879254445E-4</v>
      </c>
      <c r="G82" s="2"/>
      <c r="H82" s="2">
        <f>-338.65</f>
        <v>-338.65</v>
      </c>
      <c r="I82" s="2"/>
      <c r="J82" s="22">
        <f t="shared" si="45"/>
        <v>-7.9457821962672262E-4</v>
      </c>
      <c r="K82" s="2"/>
      <c r="L82" s="2">
        <f t="shared" si="46"/>
        <v>205.35999999999999</v>
      </c>
      <c r="M82" s="2"/>
      <c r="N82" s="22">
        <f t="shared" si="47"/>
        <v>-0.60640779565923519</v>
      </c>
      <c r="O82" s="11"/>
      <c r="P82" s="2">
        <f>-133.29</f>
        <v>-133.29</v>
      </c>
      <c r="Q82" s="2"/>
      <c r="R82" s="22">
        <f t="shared" si="48"/>
        <v>-3.5991506879254445E-4</v>
      </c>
      <c r="S82" s="2"/>
      <c r="T82" s="2">
        <f>-338.65</f>
        <v>-338.65</v>
      </c>
      <c r="U82" s="2"/>
      <c r="V82" s="22">
        <f t="shared" si="49"/>
        <v>-7.9457821962672262E-4</v>
      </c>
      <c r="W82" s="2"/>
      <c r="X82" s="2">
        <f t="shared" si="50"/>
        <v>205.35999999999999</v>
      </c>
      <c r="Y82" s="2"/>
      <c r="Z82" s="22">
        <f t="shared" si="51"/>
        <v>-0.60640779565923519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5" t="s">
        <v>3</v>
      </c>
      <c r="C84" s="25"/>
      <c r="D84" s="21">
        <f>+D43-D45+D79</f>
        <v>3006.0500000000511</v>
      </c>
      <c r="E84" s="13"/>
      <c r="F84" s="20">
        <f>IF(D$12=0,0,D84/D$12)</f>
        <v>8.1170582380062032E-3</v>
      </c>
      <c r="G84" s="13"/>
      <c r="H84" s="21">
        <f>+H43-H45+H79</f>
        <v>29950.789999999964</v>
      </c>
      <c r="I84" s="13"/>
      <c r="J84" s="20">
        <f>IF(H$12=0,0,H84/H$12)</f>
        <v>7.0273867989410363E-2</v>
      </c>
      <c r="K84" s="16"/>
      <c r="L84" s="21">
        <f>+D84-H84</f>
        <v>-26944.739999999914</v>
      </c>
      <c r="M84" s="16"/>
      <c r="N84" s="20">
        <f>IF(H84=0,0,L84/H84)</f>
        <v>-0.89963369914449487</v>
      </c>
      <c r="O84" s="26"/>
      <c r="P84" s="21">
        <f>+P43-P45+P79</f>
        <v>3006.0500000000511</v>
      </c>
      <c r="Q84" s="13"/>
      <c r="R84" s="20">
        <f>IF(P$12=0,0,P84/P$12)</f>
        <v>8.1170582380062032E-3</v>
      </c>
      <c r="S84" s="13"/>
      <c r="T84" s="21">
        <f>+T43-T45+T79</f>
        <v>29950.789999999964</v>
      </c>
      <c r="U84" s="13"/>
      <c r="V84" s="20">
        <f>IF(T$12=0,0,T84/T$12)</f>
        <v>7.0273867989410363E-2</v>
      </c>
      <c r="W84" s="16"/>
      <c r="X84" s="21">
        <f>+P84-T84</f>
        <v>-26944.739999999914</v>
      </c>
      <c r="Y84" s="16"/>
      <c r="Z84" s="20">
        <f>IF(T84=0,0,X84/T84)</f>
        <v>-0.89963369914449487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77004.05</v>
      </c>
      <c r="E86" s="4"/>
      <c r="F86" s="12">
        <f>IF(D$12=0,0,D86/D$12)</f>
        <v>0.207929461722969</v>
      </c>
      <c r="G86" s="4"/>
      <c r="H86" s="4">
        <v>87499.33</v>
      </c>
      <c r="I86" s="4"/>
      <c r="J86" s="12">
        <f>IF(H$12=0,0,H86/H$12)</f>
        <v>0.20530064033642723</v>
      </c>
      <c r="K86" s="4"/>
      <c r="L86" s="4">
        <f>+D86-H86</f>
        <v>-10495.279999999999</v>
      </c>
      <c r="M86" s="4"/>
      <c r="N86" s="12">
        <f>IF(H86=0,0,L86/H86)</f>
        <v>-0.11994697559398454</v>
      </c>
      <c r="O86" s="10"/>
      <c r="P86" s="4">
        <v>77004.05</v>
      </c>
      <c r="Q86" s="4"/>
      <c r="R86" s="12">
        <f>IF(P$12=0,0,P86/P$12)</f>
        <v>0.207929461722969</v>
      </c>
      <c r="S86" s="4"/>
      <c r="T86" s="4">
        <v>87499.33</v>
      </c>
      <c r="U86" s="4"/>
      <c r="V86" s="12">
        <f>IF(T$12=0,0,T86/T$12)</f>
        <v>0.20530064033642723</v>
      </c>
      <c r="W86" s="4"/>
      <c r="X86" s="4">
        <f>+P86-T86</f>
        <v>-10495.279999999999</v>
      </c>
      <c r="Y86" s="4"/>
      <c r="Z86" s="12">
        <f>IF(T86=0,0,X86/T86)</f>
        <v>-0.11994697559398454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4</v>
      </c>
      <c r="C88" s="25"/>
      <c r="D88" s="33">
        <f>+D84-D86</f>
        <v>-73997.999999999956</v>
      </c>
      <c r="E88" s="13"/>
      <c r="F88" s="34">
        <f>IF(D$12=0,0,D88/D$12)</f>
        <v>-0.19981240348496279</v>
      </c>
      <c r="G88" s="13"/>
      <c r="H88" s="33">
        <f>+H84-H86</f>
        <v>-57548.540000000037</v>
      </c>
      <c r="I88" s="13"/>
      <c r="J88" s="34">
        <f>IF(H$12=0,0,H88/H$12)</f>
        <v>-0.13502677234701688</v>
      </c>
      <c r="K88" s="16"/>
      <c r="L88" s="33">
        <f>D88-H88</f>
        <v>-16449.459999999919</v>
      </c>
      <c r="M88" s="16"/>
      <c r="N88" s="34">
        <f>IF(H88=0,0,L88/H88)</f>
        <v>0.28583626969511144</v>
      </c>
      <c r="O88" s="26"/>
      <c r="P88" s="33">
        <f>+P84-P86</f>
        <v>-73997.999999999956</v>
      </c>
      <c r="Q88" s="13"/>
      <c r="R88" s="34">
        <f>IF(P$12=0,0,P88/P$12)</f>
        <v>-0.19981240348496279</v>
      </c>
      <c r="S88" s="13"/>
      <c r="T88" s="33">
        <f>+T84-T86</f>
        <v>-57548.540000000037</v>
      </c>
      <c r="U88" s="13"/>
      <c r="V88" s="34">
        <f>IF(T$12=0,0,T88/T$12)</f>
        <v>-0.13502677234701688</v>
      </c>
      <c r="W88" s="16"/>
      <c r="X88" s="33">
        <f>P88-T88</f>
        <v>-16449.459999999919</v>
      </c>
      <c r="Y88" s="16"/>
      <c r="Z88" s="34">
        <f>IF(T88=0,0,X88/T88)</f>
        <v>0.28583626969511144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5</v>
      </c>
      <c r="C91" s="25"/>
      <c r="D91" s="31">
        <f>SUM(D88:D90)</f>
        <v>-73997.999999999956</v>
      </c>
      <c r="E91" s="13"/>
      <c r="F91" s="30">
        <f>IF(D$12=0,0,D91/D$12)</f>
        <v>-0.19981240348496279</v>
      </c>
      <c r="G91" s="13"/>
      <c r="H91" s="31">
        <f>SUM(H88:H90)</f>
        <v>-57548.540000000037</v>
      </c>
      <c r="I91" s="13"/>
      <c r="J91" s="30">
        <f>IF(H$12=0,0,H91/H$12)</f>
        <v>-0.13502677234701688</v>
      </c>
      <c r="K91" s="16"/>
      <c r="L91" s="31">
        <f>+D91-H91</f>
        <v>-16449.459999999919</v>
      </c>
      <c r="M91" s="16"/>
      <c r="N91" s="30">
        <f>IF(H91=0,0,L91/H91)</f>
        <v>0.28583626969511144</v>
      </c>
      <c r="O91" s="26"/>
      <c r="P91" s="31">
        <f>SUM(P88:P90)</f>
        <v>-73997.999999999956</v>
      </c>
      <c r="Q91" s="13"/>
      <c r="R91" s="30">
        <f>IF(P$12=0,0,P91/P$12)</f>
        <v>-0.19981240348496279</v>
      </c>
      <c r="S91" s="13"/>
      <c r="T91" s="31">
        <f>SUM(T88:T90)</f>
        <v>-57548.540000000037</v>
      </c>
      <c r="U91" s="13"/>
      <c r="V91" s="30">
        <f>IF(T$12=0,0,T91/T$12)</f>
        <v>-0.13502677234701688</v>
      </c>
      <c r="W91" s="16"/>
      <c r="X91" s="31">
        <f>+P91-T91</f>
        <v>-16449.459999999919</v>
      </c>
      <c r="Y91" s="16"/>
      <c r="Z91" s="30">
        <f>IF(T91=0,0,X91/T91)</f>
        <v>0.28583626969511144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>
        <v>43726.681959803238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3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8"/>
  <sheetViews>
    <sheetView zoomScale="80" workbookViewId="0">
      <pane xSplit="3" ySplit="10" topLeftCell="D38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305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58824.94</v>
      </c>
      <c r="E12" s="4"/>
      <c r="F12" s="12"/>
      <c r="G12" s="4"/>
      <c r="H12" s="4">
        <f>SUM(OSRRefH13x_0)</f>
        <v>58931.37</v>
      </c>
      <c r="I12" s="4"/>
      <c r="J12" s="12"/>
      <c r="K12" s="4"/>
      <c r="L12" s="4">
        <f t="shared" ref="L12:L20" si="0">+D12-H12</f>
        <v>-106.43000000000029</v>
      </c>
      <c r="M12" s="4"/>
      <c r="N12" s="12">
        <f t="shared" ref="N12:N20" si="1">IF(H12=0,0,L12/H12)</f>
        <v>-1.8059990799467293E-3</v>
      </c>
      <c r="O12" s="10"/>
      <c r="P12" s="4">
        <f>SUM(OSRRefP13x_0)</f>
        <v>58824.94</v>
      </c>
      <c r="Q12" s="4"/>
      <c r="R12" s="12"/>
      <c r="S12" s="4"/>
      <c r="T12" s="4">
        <f>SUM(OSRRefT13x_0)</f>
        <v>58931.37</v>
      </c>
      <c r="U12" s="4"/>
      <c r="V12" s="12"/>
      <c r="W12" s="4"/>
      <c r="X12" s="4">
        <f t="shared" ref="X12:X20" si="2">+P12-T12</f>
        <v>-106.43000000000029</v>
      </c>
      <c r="Y12" s="4"/>
      <c r="Z12" s="12">
        <f t="shared" ref="Z12:Z20" si="3">IF(T12=0,0,X12/T12)</f>
        <v>-1.8059990799467293E-3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--6880.26</f>
        <v>6880.26</v>
      </c>
      <c r="E13" s="2"/>
      <c r="F13" s="22"/>
      <c r="G13" s="2"/>
      <c r="H13" s="2">
        <f>--7221.74</f>
        <v>7221.74</v>
      </c>
      <c r="I13" s="2"/>
      <c r="J13" s="22"/>
      <c r="K13" s="2"/>
      <c r="L13" s="2">
        <f t="shared" si="0"/>
        <v>-341.47999999999956</v>
      </c>
      <c r="M13" s="2"/>
      <c r="N13" s="22">
        <f t="shared" si="1"/>
        <v>-4.7285003337145838E-2</v>
      </c>
      <c r="O13" s="11"/>
      <c r="P13" s="2">
        <f>--6880.26</f>
        <v>6880.26</v>
      </c>
      <c r="Q13" s="2"/>
      <c r="R13" s="22"/>
      <c r="S13" s="2"/>
      <c r="T13" s="2">
        <f>--7221.74</f>
        <v>7221.74</v>
      </c>
      <c r="U13" s="2"/>
      <c r="V13" s="22"/>
      <c r="W13" s="2"/>
      <c r="X13" s="2">
        <f t="shared" si="2"/>
        <v>-341.47999999999956</v>
      </c>
      <c r="Y13" s="2"/>
      <c r="Z13" s="22">
        <f t="shared" si="3"/>
        <v>-4.7285003337145838E-2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2">
        <f>--288.75</f>
        <v>288.75</v>
      </c>
      <c r="E14" s="2"/>
      <c r="F14" s="22"/>
      <c r="G14" s="2"/>
      <c r="H14" s="2">
        <f>--200.55</f>
        <v>200.55</v>
      </c>
      <c r="I14" s="2"/>
      <c r="J14" s="22"/>
      <c r="K14" s="2"/>
      <c r="L14" s="2">
        <f t="shared" si="0"/>
        <v>88.199999999999989</v>
      </c>
      <c r="M14" s="2"/>
      <c r="N14" s="22">
        <f t="shared" si="1"/>
        <v>0.43979057591623028</v>
      </c>
      <c r="O14" s="11"/>
      <c r="P14" s="2">
        <f>--288.75</f>
        <v>288.75</v>
      </c>
      <c r="Q14" s="2"/>
      <c r="R14" s="22"/>
      <c r="S14" s="2"/>
      <c r="T14" s="2">
        <f>--200.55</f>
        <v>200.55</v>
      </c>
      <c r="U14" s="2"/>
      <c r="V14" s="22"/>
      <c r="W14" s="2"/>
      <c r="X14" s="2">
        <f t="shared" si="2"/>
        <v>88.199999999999989</v>
      </c>
      <c r="Y14" s="2"/>
      <c r="Z14" s="22">
        <f t="shared" si="3"/>
        <v>0.43979057591623028</v>
      </c>
    </row>
    <row r="15" spans="1:26" s="24" customFormat="1" hidden="1" outlineLevel="1" x14ac:dyDescent="0.25">
      <c r="A15" s="50"/>
      <c r="B15" s="11" t="str">
        <f>CONCATENATE("          ", "4051", " - ", "TAXABLE SALES-FOOD")</f>
        <v xml:space="preserve">          4051 - TAXABLE SALES-FOOD</v>
      </c>
      <c r="C15" s="11"/>
      <c r="D15" s="2">
        <f>--3727.67</f>
        <v>3727.67</v>
      </c>
      <c r="E15" s="2"/>
      <c r="F15" s="22"/>
      <c r="G15" s="2"/>
      <c r="H15" s="2">
        <f>--4194.83</f>
        <v>4194.83</v>
      </c>
      <c r="I15" s="2"/>
      <c r="J15" s="22"/>
      <c r="K15" s="2"/>
      <c r="L15" s="2">
        <f t="shared" si="0"/>
        <v>-467.15999999999985</v>
      </c>
      <c r="M15" s="2"/>
      <c r="N15" s="22">
        <f t="shared" si="1"/>
        <v>-0.11136565724951902</v>
      </c>
      <c r="O15" s="11"/>
      <c r="P15" s="2">
        <f>--3727.67</f>
        <v>3727.67</v>
      </c>
      <c r="Q15" s="2"/>
      <c r="R15" s="22"/>
      <c r="S15" s="2"/>
      <c r="T15" s="2">
        <f>--4194.83</f>
        <v>4194.83</v>
      </c>
      <c r="U15" s="2"/>
      <c r="V15" s="22"/>
      <c r="W15" s="2"/>
      <c r="X15" s="2">
        <f t="shared" si="2"/>
        <v>-467.15999999999985</v>
      </c>
      <c r="Y15" s="2"/>
      <c r="Z15" s="22">
        <f t="shared" si="3"/>
        <v>-0.11136565724951902</v>
      </c>
    </row>
    <row r="16" spans="1:26" s="24" customFormat="1" hidden="1" outlineLevel="1" x14ac:dyDescent="0.25">
      <c r="A16" s="50"/>
      <c r="B16" s="11" t="str">
        <f>CONCATENATE("          ", "4132", " - ", "NON-TAXABLE SALES-JUICE")</f>
        <v xml:space="preserve">          4132 - NON-TAXABLE SALES-JUICE</v>
      </c>
      <c r="C16" s="11"/>
      <c r="D16" s="2">
        <f>--32087.63</f>
        <v>32087.63</v>
      </c>
      <c r="E16" s="2"/>
      <c r="F16" s="22"/>
      <c r="G16" s="2"/>
      <c r="H16" s="2">
        <f>--29034.68</f>
        <v>29034.68</v>
      </c>
      <c r="I16" s="2"/>
      <c r="J16" s="22"/>
      <c r="K16" s="2"/>
      <c r="L16" s="2">
        <f t="shared" si="0"/>
        <v>3052.9500000000007</v>
      </c>
      <c r="M16" s="2"/>
      <c r="N16" s="22">
        <f t="shared" si="1"/>
        <v>0.10514839495389654</v>
      </c>
      <c r="O16" s="11"/>
      <c r="P16" s="2">
        <f>--32087.63</f>
        <v>32087.63</v>
      </c>
      <c r="Q16" s="2"/>
      <c r="R16" s="22"/>
      <c r="S16" s="2"/>
      <c r="T16" s="2">
        <f>--29034.68</f>
        <v>29034.68</v>
      </c>
      <c r="U16" s="2"/>
      <c r="V16" s="22"/>
      <c r="W16" s="2"/>
      <c r="X16" s="2">
        <f t="shared" si="2"/>
        <v>3052.9500000000007</v>
      </c>
      <c r="Y16" s="2"/>
      <c r="Z16" s="22">
        <f t="shared" si="3"/>
        <v>0.10514839495389654</v>
      </c>
    </row>
    <row r="17" spans="1:26" s="24" customFormat="1" hidden="1" outlineLevel="1" x14ac:dyDescent="0.25">
      <c r="A17" s="50"/>
      <c r="B17" s="11" t="str">
        <f>CONCATENATE("          ", "4134", " - ", "NON-TAXABLE SALES-SODA")</f>
        <v xml:space="preserve">          4134 - NON-TAXABLE SALES-SODA</v>
      </c>
      <c r="C17" s="11"/>
      <c r="D17" s="2">
        <f>-3.39</f>
        <v>-3.39</v>
      </c>
      <c r="E17" s="2"/>
      <c r="F17" s="22"/>
      <c r="G17" s="2"/>
      <c r="H17" s="2">
        <f>--17.5</f>
        <v>17.5</v>
      </c>
      <c r="I17" s="2"/>
      <c r="J17" s="22"/>
      <c r="K17" s="2"/>
      <c r="L17" s="2">
        <f t="shared" si="0"/>
        <v>-20.89</v>
      </c>
      <c r="M17" s="2"/>
      <c r="N17" s="22">
        <f t="shared" si="1"/>
        <v>-1.1937142857142857</v>
      </c>
      <c r="O17" s="11"/>
      <c r="P17" s="2">
        <f>-3.39</f>
        <v>-3.39</v>
      </c>
      <c r="Q17" s="2"/>
      <c r="R17" s="22"/>
      <c r="S17" s="2"/>
      <c r="T17" s="2">
        <f>--17.5</f>
        <v>17.5</v>
      </c>
      <c r="U17" s="2"/>
      <c r="V17" s="22"/>
      <c r="W17" s="2"/>
      <c r="X17" s="2">
        <f t="shared" si="2"/>
        <v>-20.89</v>
      </c>
      <c r="Y17" s="2"/>
      <c r="Z17" s="22">
        <f t="shared" si="3"/>
        <v>-1.1937142857142857</v>
      </c>
    </row>
    <row r="18" spans="1:26" s="24" customFormat="1" hidden="1" outlineLevel="1" x14ac:dyDescent="0.25">
      <c r="A18" s="50"/>
      <c r="B18" s="11" t="str">
        <f>CONCATENATE("          ", "4137", " - ", "NON-TAXABLE SALES-WATER")</f>
        <v xml:space="preserve">          4137 - NON-TAXABLE SALES-WATER</v>
      </c>
      <c r="C18" s="11"/>
      <c r="D18" s="2">
        <f>--210.5</f>
        <v>210.5</v>
      </c>
      <c r="E18" s="2"/>
      <c r="F18" s="22"/>
      <c r="G18" s="2"/>
      <c r="H18" s="2">
        <f>--186.68</f>
        <v>186.68</v>
      </c>
      <c r="I18" s="2"/>
      <c r="J18" s="22"/>
      <c r="K18" s="2"/>
      <c r="L18" s="2">
        <f t="shared" si="0"/>
        <v>23.819999999999993</v>
      </c>
      <c r="M18" s="2"/>
      <c r="N18" s="22">
        <f t="shared" si="1"/>
        <v>0.1275980287122348</v>
      </c>
      <c r="O18" s="11"/>
      <c r="P18" s="2">
        <f>--210.5</f>
        <v>210.5</v>
      </c>
      <c r="Q18" s="2"/>
      <c r="R18" s="22"/>
      <c r="S18" s="2"/>
      <c r="T18" s="2">
        <f>--186.68</f>
        <v>186.68</v>
      </c>
      <c r="U18" s="2"/>
      <c r="V18" s="22"/>
      <c r="W18" s="2"/>
      <c r="X18" s="2">
        <f t="shared" si="2"/>
        <v>23.819999999999993</v>
      </c>
      <c r="Y18" s="2"/>
      <c r="Z18" s="22">
        <f t="shared" si="3"/>
        <v>0.1275980287122348</v>
      </c>
    </row>
    <row r="19" spans="1:26" s="24" customFormat="1" hidden="1" outlineLevel="1" x14ac:dyDescent="0.25">
      <c r="A19" s="50"/>
      <c r="B19" s="11" t="str">
        <f>CONCATENATE("          ", "4151", " - ", "NON-TAXABLE SALES-FOOD")</f>
        <v xml:space="preserve">          4151 - NON-TAXABLE SALES-FOOD</v>
      </c>
      <c r="C19" s="11"/>
      <c r="D19" s="2">
        <f>--15396.52</f>
        <v>15396.52</v>
      </c>
      <c r="E19" s="2"/>
      <c r="F19" s="22"/>
      <c r="G19" s="2"/>
      <c r="H19" s="2">
        <f>--17915.14</f>
        <v>17915.14</v>
      </c>
      <c r="I19" s="2"/>
      <c r="J19" s="22"/>
      <c r="K19" s="2"/>
      <c r="L19" s="2">
        <f t="shared" si="0"/>
        <v>-2518.619999999999</v>
      </c>
      <c r="M19" s="2"/>
      <c r="N19" s="22">
        <f t="shared" si="1"/>
        <v>-0.14058611877998156</v>
      </c>
      <c r="O19" s="11"/>
      <c r="P19" s="2">
        <f>--15396.52</f>
        <v>15396.52</v>
      </c>
      <c r="Q19" s="2"/>
      <c r="R19" s="22"/>
      <c r="S19" s="2"/>
      <c r="T19" s="2">
        <f>--17915.14</f>
        <v>17915.14</v>
      </c>
      <c r="U19" s="2"/>
      <c r="V19" s="22"/>
      <c r="W19" s="2"/>
      <c r="X19" s="2">
        <f t="shared" si="2"/>
        <v>-2518.619999999999</v>
      </c>
      <c r="Y19" s="2"/>
      <c r="Z19" s="22">
        <f t="shared" si="3"/>
        <v>-0.14058611877998156</v>
      </c>
    </row>
    <row r="20" spans="1:26" s="24" customFormat="1" hidden="1" outlineLevel="1" x14ac:dyDescent="0.25">
      <c r="A20" s="50"/>
      <c r="B20" s="11" t="str">
        <f>CONCATENATE("          ", "4153", " - ", "NON-TAXABLE SALES-FOOD")</f>
        <v xml:space="preserve">          4153 - NON-TAXABLE SALES-FOOD</v>
      </c>
      <c r="C20" s="11"/>
      <c r="D20" s="2">
        <f>--237</f>
        <v>237</v>
      </c>
      <c r="E20" s="2"/>
      <c r="F20" s="22"/>
      <c r="G20" s="2"/>
      <c r="H20" s="2">
        <f>--160.25</f>
        <v>160.25</v>
      </c>
      <c r="I20" s="2"/>
      <c r="J20" s="22"/>
      <c r="K20" s="2"/>
      <c r="L20" s="2">
        <f t="shared" si="0"/>
        <v>76.75</v>
      </c>
      <c r="M20" s="2"/>
      <c r="N20" s="22">
        <f t="shared" si="1"/>
        <v>0.47893915756630268</v>
      </c>
      <c r="O20" s="11"/>
      <c r="P20" s="2">
        <f>--237</f>
        <v>237</v>
      </c>
      <c r="Q20" s="2"/>
      <c r="R20" s="22"/>
      <c r="S20" s="2"/>
      <c r="T20" s="2">
        <f>--160.25</f>
        <v>160.25</v>
      </c>
      <c r="U20" s="2"/>
      <c r="V20" s="22"/>
      <c r="W20" s="2"/>
      <c r="X20" s="2">
        <f t="shared" si="2"/>
        <v>76.75</v>
      </c>
      <c r="Y20" s="2"/>
      <c r="Z20" s="22">
        <f t="shared" si="3"/>
        <v>0.47893915756630268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8</v>
      </c>
      <c r="C22" s="10"/>
      <c r="D22" s="4">
        <f>SUM(OSRRefD16x_0)</f>
        <v>25266.32</v>
      </c>
      <c r="E22" s="4"/>
      <c r="F22" s="12">
        <f t="shared" ref="F22:F24" si="4">IF(D$12=0,0,D22/D$12)</f>
        <v>0.42951714017897846</v>
      </c>
      <c r="G22" s="4"/>
      <c r="H22" s="4">
        <f>SUM(OSRRefH16x_0)</f>
        <v>12512.959999999995</v>
      </c>
      <c r="I22" s="4"/>
      <c r="J22" s="12">
        <f t="shared" ref="J22:J24" si="5">IF(H$12=0,0,H22/H$12)</f>
        <v>0.21233105559908066</v>
      </c>
      <c r="K22" s="4"/>
      <c r="L22" s="4">
        <f t="shared" ref="L22:L24" si="6">+D22-H22</f>
        <v>12753.360000000004</v>
      </c>
      <c r="M22" s="4"/>
      <c r="N22" s="12">
        <f t="shared" ref="N22:N24" si="7">IF(H22=0,0,L22/H22)</f>
        <v>1.0192120809145084</v>
      </c>
      <c r="O22" s="10"/>
      <c r="P22" s="4">
        <f>SUM(OSRRefP16x_0)</f>
        <v>25266.32</v>
      </c>
      <c r="Q22" s="4"/>
      <c r="R22" s="12">
        <f t="shared" ref="R22:R24" si="8">IF(P$12=0,0,P22/P$12)</f>
        <v>0.42951714017897846</v>
      </c>
      <c r="S22" s="4"/>
      <c r="T22" s="4">
        <f>SUM(OSRRefT16x_0)</f>
        <v>12512.959999999995</v>
      </c>
      <c r="U22" s="4"/>
      <c r="V22" s="12">
        <f t="shared" ref="V22:V24" si="9">IF(T$12=0,0,T22/T$12)</f>
        <v>0.21233105559908066</v>
      </c>
      <c r="W22" s="4"/>
      <c r="X22" s="4">
        <f t="shared" ref="X22:X24" si="10">+P22-T22</f>
        <v>12753.360000000004</v>
      </c>
      <c r="Y22" s="4"/>
      <c r="Z22" s="12">
        <f t="shared" ref="Z22:Z24" si="11">IF(T22=0,0,X22/T22)</f>
        <v>1.0192120809145084</v>
      </c>
    </row>
    <row r="23" spans="1:26" s="24" customFormat="1" hidden="1" outlineLevel="1" x14ac:dyDescent="0.25">
      <c r="A23" s="50"/>
      <c r="B23" s="11" t="str">
        <f>CONCATENATE("          ", "5053", " - ", "PURCHASES @ COST-FOOD")</f>
        <v xml:space="preserve">          5053 - PURCHASES @ COST-FOOD</v>
      </c>
      <c r="C23" s="11"/>
      <c r="D23" s="2">
        <v>41557.07</v>
      </c>
      <c r="E23" s="2"/>
      <c r="F23" s="22">
        <f t="shared" si="4"/>
        <v>0.70645324925108288</v>
      </c>
      <c r="G23" s="2"/>
      <c r="H23" s="2">
        <v>33668.899999999994</v>
      </c>
      <c r="I23" s="2"/>
      <c r="J23" s="22">
        <f t="shared" si="5"/>
        <v>0.57132389761174729</v>
      </c>
      <c r="K23" s="2"/>
      <c r="L23" s="2">
        <f t="shared" si="6"/>
        <v>7888.1700000000055</v>
      </c>
      <c r="M23" s="2"/>
      <c r="N23" s="22">
        <f t="shared" si="7"/>
        <v>0.23428653742771541</v>
      </c>
      <c r="O23" s="11"/>
      <c r="P23" s="2">
        <v>41557.07</v>
      </c>
      <c r="Q23" s="2"/>
      <c r="R23" s="22">
        <f t="shared" si="8"/>
        <v>0.70645324925108288</v>
      </c>
      <c r="S23" s="2"/>
      <c r="T23" s="2">
        <v>33668.899999999994</v>
      </c>
      <c r="U23" s="2"/>
      <c r="V23" s="22">
        <f t="shared" si="9"/>
        <v>0.57132389761174729</v>
      </c>
      <c r="W23" s="2"/>
      <c r="X23" s="2">
        <f t="shared" si="10"/>
        <v>7888.1700000000055</v>
      </c>
      <c r="Y23" s="2"/>
      <c r="Z23" s="22">
        <f t="shared" si="11"/>
        <v>0.23428653742771541</v>
      </c>
    </row>
    <row r="24" spans="1:26" s="24" customFormat="1" hidden="1" outlineLevel="1" x14ac:dyDescent="0.25">
      <c r="A24" s="50"/>
      <c r="B24" s="11" t="str">
        <f>CONCATENATE("          ", "5059", " - ", "PURCHASES @ COST-FOOD")</f>
        <v xml:space="preserve">          5059 - PURCHASES @ COST-FOOD</v>
      </c>
      <c r="C24" s="11"/>
      <c r="D24" s="2">
        <v>-16290.750000000002</v>
      </c>
      <c r="E24" s="2"/>
      <c r="F24" s="22">
        <f t="shared" si="4"/>
        <v>-0.27693610907210447</v>
      </c>
      <c r="G24" s="2"/>
      <c r="H24" s="2">
        <v>-21155.94</v>
      </c>
      <c r="I24" s="2"/>
      <c r="J24" s="22">
        <f t="shared" si="5"/>
        <v>-0.35899284201266657</v>
      </c>
      <c r="K24" s="2"/>
      <c r="L24" s="2">
        <f t="shared" si="6"/>
        <v>4865.1899999999969</v>
      </c>
      <c r="M24" s="2"/>
      <c r="N24" s="22">
        <f t="shared" si="7"/>
        <v>-0.22996803734553969</v>
      </c>
      <c r="O24" s="11"/>
      <c r="P24" s="2">
        <v>-16290.750000000002</v>
      </c>
      <c r="Q24" s="2"/>
      <c r="R24" s="22">
        <f t="shared" si="8"/>
        <v>-0.27693610907210447</v>
      </c>
      <c r="S24" s="2"/>
      <c r="T24" s="2">
        <v>-21155.94</v>
      </c>
      <c r="U24" s="2"/>
      <c r="V24" s="22">
        <f t="shared" si="9"/>
        <v>-0.35899284201266657</v>
      </c>
      <c r="W24" s="2"/>
      <c r="X24" s="2">
        <f t="shared" si="10"/>
        <v>4865.1899999999969</v>
      </c>
      <c r="Y24" s="2"/>
      <c r="Z24" s="22">
        <f t="shared" si="11"/>
        <v>-0.22996803734553969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1">
        <f>D12-D22</f>
        <v>33558.620000000003</v>
      </c>
      <c r="E26" s="13"/>
      <c r="F26" s="20">
        <f>IF(D$12=0,0,D26/D$12)</f>
        <v>0.57048285982102154</v>
      </c>
      <c r="G26" s="13"/>
      <c r="H26" s="21">
        <f>H12-H22</f>
        <v>46418.41</v>
      </c>
      <c r="I26" s="13"/>
      <c r="J26" s="20">
        <f>IF(H$12=0,0,H26/H$12)</f>
        <v>0.78766894440091928</v>
      </c>
      <c r="K26" s="16"/>
      <c r="L26" s="21">
        <f>+D26-H26</f>
        <v>-12859.79</v>
      </c>
      <c r="M26" s="16"/>
      <c r="N26" s="20">
        <f>IF(H26=0,0,L26/H26)</f>
        <v>-0.2770407258671721</v>
      </c>
      <c r="O26" s="26"/>
      <c r="P26" s="21">
        <f>P12-P22</f>
        <v>33558.620000000003</v>
      </c>
      <c r="Q26" s="13"/>
      <c r="R26" s="20">
        <f>IF(P$12=0,0,P26/P$12)</f>
        <v>0.57048285982102154</v>
      </c>
      <c r="S26" s="13"/>
      <c r="T26" s="21">
        <f>T12-T22</f>
        <v>46418.41</v>
      </c>
      <c r="U26" s="13"/>
      <c r="V26" s="20">
        <f>IF(T$12=0,0,T26/T$12)</f>
        <v>0.78766894440091928</v>
      </c>
      <c r="W26" s="16"/>
      <c r="X26" s="21">
        <f>+P26-T26</f>
        <v>-12859.79</v>
      </c>
      <c r="Y26" s="16"/>
      <c r="Z26" s="20">
        <f>IF(T26=0,0,X26/T26)</f>
        <v>-0.2770407258671721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19">
        <f>SUM(OSRRefD22x_0)</f>
        <v>84723.679999999978</v>
      </c>
      <c r="E28" s="19"/>
      <c r="F28" s="35">
        <f t="shared" ref="F28:F37" si="12">IF(D$12=0,0,D28/D$12)</f>
        <v>1.440268022372823</v>
      </c>
      <c r="G28" s="19"/>
      <c r="H28" s="19">
        <f>SUM(OSRRefH22x_0)</f>
        <v>70695.35000000002</v>
      </c>
      <c r="I28" s="19"/>
      <c r="J28" s="35">
        <f t="shared" ref="J28:J37" si="13">IF(H$12=0,0,H28/H$12)</f>
        <v>1.1996216955417804</v>
      </c>
      <c r="K28" s="4"/>
      <c r="L28" s="19">
        <f t="shared" ref="L28:L37" si="14">+D28-H28</f>
        <v>14028.329999999958</v>
      </c>
      <c r="M28" s="4"/>
      <c r="N28" s="35">
        <f t="shared" ref="N28:N37" si="15">IF(H28=0,0,L28/H28)</f>
        <v>0.19843356034024803</v>
      </c>
      <c r="O28" s="10"/>
      <c r="P28" s="19">
        <f>SUM(OSRRefP22x_0)</f>
        <v>84723.679999999978</v>
      </c>
      <c r="Q28" s="19"/>
      <c r="R28" s="35">
        <f t="shared" ref="R28:R37" si="16">IF(P$12=0,0,P28/P$12)</f>
        <v>1.440268022372823</v>
      </c>
      <c r="S28" s="19"/>
      <c r="T28" s="19">
        <f>SUM(OSRRefT22x_0)</f>
        <v>70695.35000000002</v>
      </c>
      <c r="U28" s="19"/>
      <c r="V28" s="35">
        <f t="shared" ref="V28:V37" si="17">IF(T$12=0,0,T28/T$12)</f>
        <v>1.1996216955417804</v>
      </c>
      <c r="W28" s="4"/>
      <c r="X28" s="19">
        <f t="shared" ref="X28:X37" si="18">+P28-T28</f>
        <v>14028.329999999958</v>
      </c>
      <c r="Y28" s="4"/>
      <c r="Z28" s="35">
        <f t="shared" ref="Z28:Z37" si="19">IF(T28=0,0,X28/T28)</f>
        <v>0.19843356034024803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14450.750000000002</v>
      </c>
      <c r="E29" s="1"/>
      <c r="F29" s="5">
        <f t="shared" si="12"/>
        <v>0.24565685914851765</v>
      </c>
      <c r="G29" s="1"/>
      <c r="H29" s="1">
        <f>SUM(OSRRefH22_0x_0)</f>
        <v>10308.92</v>
      </c>
      <c r="I29" s="1"/>
      <c r="J29" s="5">
        <f t="shared" si="13"/>
        <v>0.17493094085543912</v>
      </c>
      <c r="K29" s="1"/>
      <c r="L29" s="1">
        <f t="shared" si="14"/>
        <v>4141.8300000000017</v>
      </c>
      <c r="M29" s="1"/>
      <c r="N29" s="5">
        <f t="shared" si="15"/>
        <v>0.40177147557649123</v>
      </c>
      <c r="O29" s="14"/>
      <c r="P29" s="1">
        <f>SUM(OSRRefP22_0x_0)</f>
        <v>14450.750000000002</v>
      </c>
      <c r="Q29" s="1"/>
      <c r="R29" s="5">
        <f t="shared" si="16"/>
        <v>0.24565685914851765</v>
      </c>
      <c r="S29" s="1"/>
      <c r="T29" s="1">
        <f>SUM(OSRRefT22_0x_0)</f>
        <v>10308.92</v>
      </c>
      <c r="U29" s="1"/>
      <c r="V29" s="5">
        <f t="shared" si="17"/>
        <v>0.17493094085543912</v>
      </c>
      <c r="W29" s="1"/>
      <c r="X29" s="1">
        <f t="shared" si="18"/>
        <v>4141.8300000000017</v>
      </c>
      <c r="Y29" s="1"/>
      <c r="Z29" s="5">
        <f t="shared" si="19"/>
        <v>0.40177147557649123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7">
        <v>2207.41</v>
      </c>
      <c r="E30" s="2"/>
      <c r="F30" s="6">
        <f t="shared" si="12"/>
        <v>3.7525070148817827E-2</v>
      </c>
      <c r="G30" s="2"/>
      <c r="H30" s="7">
        <v>2092.9699999999998</v>
      </c>
      <c r="I30" s="2"/>
      <c r="J30" s="6">
        <f t="shared" si="13"/>
        <v>3.5515380008983327E-2</v>
      </c>
      <c r="K30" s="2"/>
      <c r="L30" s="7">
        <f t="shared" si="14"/>
        <v>114.44000000000005</v>
      </c>
      <c r="M30" s="2"/>
      <c r="N30" s="6">
        <f t="shared" si="15"/>
        <v>5.4678280147350447E-2</v>
      </c>
      <c r="O30" s="11"/>
      <c r="P30" s="7">
        <v>2207.41</v>
      </c>
      <c r="Q30" s="2"/>
      <c r="R30" s="6">
        <f t="shared" si="16"/>
        <v>3.7525070148817827E-2</v>
      </c>
      <c r="S30" s="2"/>
      <c r="T30" s="7">
        <v>2092.9699999999998</v>
      </c>
      <c r="U30" s="2"/>
      <c r="V30" s="6">
        <f t="shared" si="17"/>
        <v>3.5515380008983327E-2</v>
      </c>
      <c r="W30" s="2"/>
      <c r="X30" s="7">
        <f t="shared" si="18"/>
        <v>114.44000000000005</v>
      </c>
      <c r="Y30" s="2"/>
      <c r="Z30" s="6">
        <f t="shared" si="19"/>
        <v>5.4678280147350447E-2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7">
        <v>697.59</v>
      </c>
      <c r="E31" s="2"/>
      <c r="F31" s="6">
        <f t="shared" si="12"/>
        <v>1.1858745627279859E-2</v>
      </c>
      <c r="G31" s="2"/>
      <c r="H31" s="7">
        <v>645.99</v>
      </c>
      <c r="I31" s="2"/>
      <c r="J31" s="6">
        <f t="shared" si="13"/>
        <v>1.0961733962743442E-2</v>
      </c>
      <c r="K31" s="2"/>
      <c r="L31" s="7">
        <f t="shared" si="14"/>
        <v>51.600000000000023</v>
      </c>
      <c r="M31" s="2"/>
      <c r="N31" s="6">
        <f t="shared" si="15"/>
        <v>7.987739748293321E-2</v>
      </c>
      <c r="O31" s="11"/>
      <c r="P31" s="7">
        <v>697.59</v>
      </c>
      <c r="Q31" s="2"/>
      <c r="R31" s="6">
        <f t="shared" si="16"/>
        <v>1.1858745627279859E-2</v>
      </c>
      <c r="S31" s="2"/>
      <c r="T31" s="7">
        <v>645.99</v>
      </c>
      <c r="U31" s="2"/>
      <c r="V31" s="6">
        <f t="shared" si="17"/>
        <v>1.0961733962743442E-2</v>
      </c>
      <c r="W31" s="2"/>
      <c r="X31" s="7">
        <f t="shared" si="18"/>
        <v>51.600000000000023</v>
      </c>
      <c r="Y31" s="2"/>
      <c r="Z31" s="6">
        <f t="shared" si="19"/>
        <v>7.987739748293321E-2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7">
        <v>6845.82</v>
      </c>
      <c r="E32" s="2"/>
      <c r="F32" s="6">
        <f t="shared" si="12"/>
        <v>0.11637614929993978</v>
      </c>
      <c r="G32" s="2"/>
      <c r="H32" s="7">
        <v>2487.92</v>
      </c>
      <c r="I32" s="2"/>
      <c r="J32" s="6">
        <f t="shared" si="13"/>
        <v>4.2217243549573E-2</v>
      </c>
      <c r="K32" s="2"/>
      <c r="L32" s="7">
        <f t="shared" si="14"/>
        <v>4357.8999999999996</v>
      </c>
      <c r="M32" s="2"/>
      <c r="N32" s="6">
        <f t="shared" si="15"/>
        <v>1.7516238464259299</v>
      </c>
      <c r="O32" s="11"/>
      <c r="P32" s="7">
        <v>6845.82</v>
      </c>
      <c r="Q32" s="2"/>
      <c r="R32" s="6">
        <f t="shared" si="16"/>
        <v>0.11637614929993978</v>
      </c>
      <c r="S32" s="2"/>
      <c r="T32" s="7">
        <v>2487.92</v>
      </c>
      <c r="U32" s="2"/>
      <c r="V32" s="6">
        <f t="shared" si="17"/>
        <v>4.2217243549573E-2</v>
      </c>
      <c r="W32" s="2"/>
      <c r="X32" s="7">
        <f t="shared" si="18"/>
        <v>4357.8999999999996</v>
      </c>
      <c r="Y32" s="2"/>
      <c r="Z32" s="6">
        <f t="shared" si="19"/>
        <v>1.7516238464259299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7">
        <v>78.430000000000007</v>
      </c>
      <c r="E33" s="2"/>
      <c r="F33" s="6">
        <f t="shared" si="12"/>
        <v>1.3332780279928888E-3</v>
      </c>
      <c r="G33" s="2"/>
      <c r="H33" s="7">
        <v>123.01</v>
      </c>
      <c r="I33" s="2"/>
      <c r="J33" s="6">
        <f t="shared" si="13"/>
        <v>2.0873432944117877E-3</v>
      </c>
      <c r="K33" s="2"/>
      <c r="L33" s="7">
        <f t="shared" si="14"/>
        <v>-44.58</v>
      </c>
      <c r="M33" s="2"/>
      <c r="N33" s="6">
        <f t="shared" si="15"/>
        <v>-0.36240956019835785</v>
      </c>
      <c r="O33" s="11"/>
      <c r="P33" s="7">
        <v>78.430000000000007</v>
      </c>
      <c r="Q33" s="2"/>
      <c r="R33" s="6">
        <f t="shared" si="16"/>
        <v>1.3332780279928888E-3</v>
      </c>
      <c r="S33" s="2"/>
      <c r="T33" s="7">
        <v>123.01</v>
      </c>
      <c r="U33" s="2"/>
      <c r="V33" s="6">
        <f t="shared" si="17"/>
        <v>2.0873432944117877E-3</v>
      </c>
      <c r="W33" s="2"/>
      <c r="X33" s="7">
        <f t="shared" si="18"/>
        <v>-44.58</v>
      </c>
      <c r="Y33" s="2"/>
      <c r="Z33" s="6">
        <f t="shared" si="19"/>
        <v>-0.36240956019835785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7">
        <v>1497.9</v>
      </c>
      <c r="E34" s="2"/>
      <c r="F34" s="6">
        <f t="shared" si="12"/>
        <v>2.5463689380728651E-2</v>
      </c>
      <c r="G34" s="2"/>
      <c r="H34" s="7">
        <v>2018.86</v>
      </c>
      <c r="I34" s="2"/>
      <c r="J34" s="6">
        <f t="shared" si="13"/>
        <v>3.4257815489441359E-2</v>
      </c>
      <c r="K34" s="2"/>
      <c r="L34" s="7">
        <f t="shared" si="14"/>
        <v>-520.95999999999981</v>
      </c>
      <c r="M34" s="2"/>
      <c r="N34" s="6">
        <f t="shared" si="15"/>
        <v>-0.25804662036991166</v>
      </c>
      <c r="O34" s="11"/>
      <c r="P34" s="7">
        <v>1497.9</v>
      </c>
      <c r="Q34" s="2"/>
      <c r="R34" s="6">
        <f t="shared" si="16"/>
        <v>2.5463689380728651E-2</v>
      </c>
      <c r="S34" s="2"/>
      <c r="T34" s="7">
        <v>2018.86</v>
      </c>
      <c r="U34" s="2"/>
      <c r="V34" s="6">
        <f t="shared" si="17"/>
        <v>3.4257815489441359E-2</v>
      </c>
      <c r="W34" s="2"/>
      <c r="X34" s="7">
        <f t="shared" si="18"/>
        <v>-520.95999999999981</v>
      </c>
      <c r="Y34" s="2"/>
      <c r="Z34" s="6">
        <f t="shared" si="19"/>
        <v>-0.25804662036991166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7">
        <v>1365.87</v>
      </c>
      <c r="E35" s="2"/>
      <c r="F35" s="6">
        <f t="shared" si="12"/>
        <v>2.3219233202787796E-2</v>
      </c>
      <c r="G35" s="2"/>
      <c r="H35" s="7">
        <v>1298.51</v>
      </c>
      <c r="I35" s="2"/>
      <c r="J35" s="6">
        <f t="shared" si="13"/>
        <v>2.2034274784380543E-2</v>
      </c>
      <c r="K35" s="2"/>
      <c r="L35" s="7">
        <f t="shared" si="14"/>
        <v>67.3599999999999</v>
      </c>
      <c r="M35" s="2"/>
      <c r="N35" s="6">
        <f t="shared" si="15"/>
        <v>5.1874841164103395E-2</v>
      </c>
      <c r="O35" s="11"/>
      <c r="P35" s="7">
        <v>1365.87</v>
      </c>
      <c r="Q35" s="2"/>
      <c r="R35" s="6">
        <f t="shared" si="16"/>
        <v>2.3219233202787796E-2</v>
      </c>
      <c r="S35" s="2"/>
      <c r="T35" s="7">
        <v>1298.51</v>
      </c>
      <c r="U35" s="2"/>
      <c r="V35" s="6">
        <f t="shared" si="17"/>
        <v>2.2034274784380543E-2</v>
      </c>
      <c r="W35" s="2"/>
      <c r="X35" s="7">
        <f t="shared" si="18"/>
        <v>67.3599999999999</v>
      </c>
      <c r="Y35" s="2"/>
      <c r="Z35" s="6">
        <f t="shared" si="19"/>
        <v>5.1874841164103395E-2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7">
        <v>1192.54</v>
      </c>
      <c r="E36" s="2"/>
      <c r="F36" s="6">
        <f t="shared" si="12"/>
        <v>2.0272693860801216E-2</v>
      </c>
      <c r="G36" s="2"/>
      <c r="H36" s="7">
        <v>1194.9100000000001</v>
      </c>
      <c r="I36" s="2"/>
      <c r="J36" s="6">
        <f t="shared" si="13"/>
        <v>2.0276297666251438E-2</v>
      </c>
      <c r="K36" s="2"/>
      <c r="L36" s="7">
        <f t="shared" si="14"/>
        <v>-2.3700000000001182</v>
      </c>
      <c r="M36" s="2"/>
      <c r="N36" s="6">
        <f t="shared" si="15"/>
        <v>-1.9834129767096419E-3</v>
      </c>
      <c r="O36" s="11"/>
      <c r="P36" s="7">
        <v>1192.54</v>
      </c>
      <c r="Q36" s="2"/>
      <c r="R36" s="6">
        <f t="shared" si="16"/>
        <v>2.0272693860801216E-2</v>
      </c>
      <c r="S36" s="2"/>
      <c r="T36" s="7">
        <v>1194.9100000000001</v>
      </c>
      <c r="U36" s="2"/>
      <c r="V36" s="6">
        <f t="shared" si="17"/>
        <v>2.0276297666251438E-2</v>
      </c>
      <c r="W36" s="2"/>
      <c r="X36" s="7">
        <f t="shared" si="18"/>
        <v>-2.3700000000001182</v>
      </c>
      <c r="Y36" s="2"/>
      <c r="Z36" s="6">
        <f t="shared" si="19"/>
        <v>-1.9834129767096419E-3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7">
        <v>565.19000000000005</v>
      </c>
      <c r="E37" s="2"/>
      <c r="F37" s="6">
        <f t="shared" si="12"/>
        <v>9.6079996001695884E-3</v>
      </c>
      <c r="G37" s="2"/>
      <c r="H37" s="7">
        <v>446.75</v>
      </c>
      <c r="I37" s="2"/>
      <c r="J37" s="6">
        <f t="shared" si="13"/>
        <v>7.5808520996542249E-3</v>
      </c>
      <c r="K37" s="2"/>
      <c r="L37" s="7">
        <f t="shared" si="14"/>
        <v>118.44000000000005</v>
      </c>
      <c r="M37" s="2"/>
      <c r="N37" s="6">
        <f t="shared" si="15"/>
        <v>0.26511471740346965</v>
      </c>
      <c r="O37" s="11"/>
      <c r="P37" s="7">
        <v>565.19000000000005</v>
      </c>
      <c r="Q37" s="2"/>
      <c r="R37" s="6">
        <f t="shared" si="16"/>
        <v>9.6079996001695884E-3</v>
      </c>
      <c r="S37" s="2"/>
      <c r="T37" s="7">
        <v>446.75</v>
      </c>
      <c r="U37" s="2"/>
      <c r="V37" s="6">
        <f t="shared" si="17"/>
        <v>7.5808520996542249E-3</v>
      </c>
      <c r="W37" s="2"/>
      <c r="X37" s="7">
        <f t="shared" si="18"/>
        <v>118.44000000000005</v>
      </c>
      <c r="Y37" s="2"/>
      <c r="Z37" s="6">
        <f t="shared" si="19"/>
        <v>0.26511471740346965</v>
      </c>
    </row>
    <row r="38" spans="1:26" s="28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37768.549999999996</v>
      </c>
      <c r="E38" s="1"/>
      <c r="F38" s="5">
        <f t="shared" ref="F38:F43" si="20">IF(D$12=0,0,D38/D$12)</f>
        <v>0.64204995364211159</v>
      </c>
      <c r="G38" s="1"/>
      <c r="H38" s="1">
        <f>SUM(OSRRefH22_1x_0)</f>
        <v>33261.56</v>
      </c>
      <c r="I38" s="1"/>
      <c r="J38" s="5">
        <f t="shared" ref="J38:J43" si="21">IF(H$12=0,0,H38/H$12)</f>
        <v>0.56441178951040838</v>
      </c>
      <c r="K38" s="1"/>
      <c r="L38" s="1">
        <f t="shared" ref="L38:L43" si="22">+D38-H38</f>
        <v>4506.989999999998</v>
      </c>
      <c r="M38" s="1"/>
      <c r="N38" s="5">
        <f t="shared" ref="N38:N43" si="23">IF(H38=0,0,L38/H38)</f>
        <v>0.13550146174743452</v>
      </c>
      <c r="O38" s="14"/>
      <c r="P38" s="1">
        <f>SUM(OSRRefP22_1x_0)</f>
        <v>37768.549999999996</v>
      </c>
      <c r="Q38" s="1"/>
      <c r="R38" s="5">
        <f t="shared" ref="R38:R43" si="24">IF(P$12=0,0,P38/P$12)</f>
        <v>0.64204995364211159</v>
      </c>
      <c r="S38" s="1"/>
      <c r="T38" s="1">
        <f>SUM(OSRRefT22_1x_0)</f>
        <v>33261.56</v>
      </c>
      <c r="U38" s="1"/>
      <c r="V38" s="5">
        <f t="shared" ref="V38:V43" si="25">IF(T$12=0,0,T38/T$12)</f>
        <v>0.56441178951040838</v>
      </c>
      <c r="W38" s="1"/>
      <c r="X38" s="1">
        <f t="shared" ref="X38:X43" si="26">+P38-T38</f>
        <v>4506.989999999998</v>
      </c>
      <c r="Y38" s="1"/>
      <c r="Z38" s="5">
        <f t="shared" ref="Z38:Z43" si="27">IF(T38=0,0,X38/T38)</f>
        <v>0.13550146174743452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19284.04</v>
      </c>
      <c r="E39" s="2"/>
      <c r="F39" s="6">
        <f t="shared" si="20"/>
        <v>0.32782081885676384</v>
      </c>
      <c r="G39" s="2"/>
      <c r="H39" s="7">
        <v>17756.16</v>
      </c>
      <c r="I39" s="2"/>
      <c r="J39" s="6">
        <f t="shared" si="21"/>
        <v>0.30130234542315915</v>
      </c>
      <c r="K39" s="2"/>
      <c r="L39" s="7">
        <f t="shared" si="22"/>
        <v>1527.880000000001</v>
      </c>
      <c r="M39" s="2"/>
      <c r="N39" s="6">
        <f t="shared" si="23"/>
        <v>8.6047884227220359E-2</v>
      </c>
      <c r="O39" s="11"/>
      <c r="P39" s="7">
        <v>19284.04</v>
      </c>
      <c r="Q39" s="2"/>
      <c r="R39" s="6">
        <f t="shared" si="24"/>
        <v>0.32782081885676384</v>
      </c>
      <c r="S39" s="2"/>
      <c r="T39" s="7">
        <v>17756.16</v>
      </c>
      <c r="U39" s="2"/>
      <c r="V39" s="6">
        <f t="shared" si="25"/>
        <v>0.30130234542315915</v>
      </c>
      <c r="W39" s="2"/>
      <c r="X39" s="7">
        <f t="shared" si="26"/>
        <v>1527.880000000001</v>
      </c>
      <c r="Y39" s="2"/>
      <c r="Z39" s="6">
        <f t="shared" si="27"/>
        <v>8.6047884227220359E-2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3457.41</v>
      </c>
      <c r="E40" s="2"/>
      <c r="F40" s="6">
        <f t="shared" si="20"/>
        <v>5.8774560586037139E-2</v>
      </c>
      <c r="G40" s="2"/>
      <c r="H40" s="7">
        <v>4635.03</v>
      </c>
      <c r="I40" s="2"/>
      <c r="J40" s="6">
        <f t="shared" si="21"/>
        <v>7.8651319322798702E-2</v>
      </c>
      <c r="K40" s="2"/>
      <c r="L40" s="7">
        <f t="shared" si="22"/>
        <v>-1177.6199999999999</v>
      </c>
      <c r="M40" s="2"/>
      <c r="N40" s="6">
        <f t="shared" si="23"/>
        <v>-0.25406955294787736</v>
      </c>
      <c r="O40" s="11"/>
      <c r="P40" s="7">
        <v>3457.41</v>
      </c>
      <c r="Q40" s="2"/>
      <c r="R40" s="6">
        <f t="shared" si="24"/>
        <v>5.8774560586037139E-2</v>
      </c>
      <c r="S40" s="2"/>
      <c r="T40" s="7">
        <v>4635.03</v>
      </c>
      <c r="U40" s="2"/>
      <c r="V40" s="6">
        <f t="shared" si="25"/>
        <v>7.8651319322798702E-2</v>
      </c>
      <c r="W40" s="2"/>
      <c r="X40" s="7">
        <f t="shared" si="26"/>
        <v>-1177.6199999999999</v>
      </c>
      <c r="Y40" s="2"/>
      <c r="Z40" s="6">
        <f t="shared" si="27"/>
        <v>-0.25406955294787736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>
        <v>726.75</v>
      </c>
      <c r="E41" s="2"/>
      <c r="F41" s="6">
        <f t="shared" si="20"/>
        <v>1.2354453740199309E-2</v>
      </c>
      <c r="G41" s="2"/>
      <c r="H41" s="7">
        <v>1642.97</v>
      </c>
      <c r="I41" s="2"/>
      <c r="J41" s="6">
        <f t="shared" si="21"/>
        <v>2.7879379013248801E-2</v>
      </c>
      <c r="K41" s="2"/>
      <c r="L41" s="7">
        <f t="shared" si="22"/>
        <v>-916.22</v>
      </c>
      <c r="M41" s="2"/>
      <c r="N41" s="6">
        <f t="shared" si="23"/>
        <v>-0.55766082156095365</v>
      </c>
      <c r="O41" s="11"/>
      <c r="P41" s="7">
        <v>726.75</v>
      </c>
      <c r="Q41" s="2"/>
      <c r="R41" s="6">
        <f t="shared" si="24"/>
        <v>1.2354453740199309E-2</v>
      </c>
      <c r="S41" s="2"/>
      <c r="T41" s="7">
        <v>1642.97</v>
      </c>
      <c r="U41" s="2"/>
      <c r="V41" s="6">
        <f t="shared" si="25"/>
        <v>2.7879379013248801E-2</v>
      </c>
      <c r="W41" s="2"/>
      <c r="X41" s="7">
        <f t="shared" si="26"/>
        <v>-916.22</v>
      </c>
      <c r="Y41" s="2"/>
      <c r="Z41" s="6">
        <f t="shared" si="27"/>
        <v>-0.55766082156095365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12507.75</v>
      </c>
      <c r="E42" s="2"/>
      <c r="F42" s="6">
        <f t="shared" si="20"/>
        <v>0.21262665121290392</v>
      </c>
      <c r="G42" s="2"/>
      <c r="H42" s="7">
        <v>7590.9</v>
      </c>
      <c r="I42" s="2"/>
      <c r="J42" s="6">
        <f t="shared" si="21"/>
        <v>0.12880915546338054</v>
      </c>
      <c r="K42" s="2"/>
      <c r="L42" s="7">
        <f t="shared" si="22"/>
        <v>4916.8500000000004</v>
      </c>
      <c r="M42" s="2"/>
      <c r="N42" s="6">
        <f t="shared" si="23"/>
        <v>0.64772951823894409</v>
      </c>
      <c r="O42" s="11"/>
      <c r="P42" s="7">
        <v>12507.75</v>
      </c>
      <c r="Q42" s="2"/>
      <c r="R42" s="6">
        <f t="shared" si="24"/>
        <v>0.21262665121290392</v>
      </c>
      <c r="S42" s="2"/>
      <c r="T42" s="7">
        <v>7590.9</v>
      </c>
      <c r="U42" s="2"/>
      <c r="V42" s="6">
        <f t="shared" si="25"/>
        <v>0.12880915546338054</v>
      </c>
      <c r="W42" s="2"/>
      <c r="X42" s="7">
        <f t="shared" si="26"/>
        <v>4916.8500000000004</v>
      </c>
      <c r="Y42" s="2"/>
      <c r="Z42" s="6">
        <f t="shared" si="27"/>
        <v>0.64772951823894409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>
        <v>1792.6</v>
      </c>
      <c r="E43" s="2"/>
      <c r="F43" s="6">
        <f t="shared" si="20"/>
        <v>3.0473469246207474E-2</v>
      </c>
      <c r="G43" s="2"/>
      <c r="H43" s="7">
        <v>1636.5</v>
      </c>
      <c r="I43" s="2"/>
      <c r="J43" s="6">
        <f t="shared" si="21"/>
        <v>2.7769590287821239E-2</v>
      </c>
      <c r="K43" s="2"/>
      <c r="L43" s="7">
        <f t="shared" si="22"/>
        <v>156.09999999999991</v>
      </c>
      <c r="M43" s="2"/>
      <c r="N43" s="6">
        <f t="shared" si="23"/>
        <v>9.5386495569813573E-2</v>
      </c>
      <c r="O43" s="11"/>
      <c r="P43" s="7">
        <v>1792.6</v>
      </c>
      <c r="Q43" s="2"/>
      <c r="R43" s="6">
        <f t="shared" si="24"/>
        <v>3.0473469246207474E-2</v>
      </c>
      <c r="S43" s="2"/>
      <c r="T43" s="7">
        <v>1636.5</v>
      </c>
      <c r="U43" s="2"/>
      <c r="V43" s="6">
        <f t="shared" si="25"/>
        <v>2.7769590287821239E-2</v>
      </c>
      <c r="W43" s="2"/>
      <c r="X43" s="7">
        <f t="shared" si="26"/>
        <v>156.09999999999991</v>
      </c>
      <c r="Y43" s="2"/>
      <c r="Z43" s="6">
        <f t="shared" si="27"/>
        <v>9.5386495569813573E-2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399.62</v>
      </c>
      <c r="E44" s="1"/>
      <c r="F44" s="5">
        <f t="shared" ref="F44:F52" si="28">IF(D$12=0,0,D44/D$12)</f>
        <v>6.7933770948172658E-3</v>
      </c>
      <c r="G44" s="1"/>
      <c r="H44" s="1">
        <f>SUM(OSRRefH22_2x_0)</f>
        <v>332.5</v>
      </c>
      <c r="I44" s="1"/>
      <c r="J44" s="5">
        <f t="shared" ref="J44:J52" si="29">IF(H$12=0,0,H44/H$12)</f>
        <v>5.6421562912927353E-3</v>
      </c>
      <c r="K44" s="1"/>
      <c r="L44" s="1">
        <f t="shared" ref="L44:L52" si="30">+D44-H44</f>
        <v>67.12</v>
      </c>
      <c r="M44" s="1"/>
      <c r="N44" s="5">
        <f t="shared" ref="N44:N52" si="31">IF(H44=0,0,L44/H44)</f>
        <v>0.20186466165413536</v>
      </c>
      <c r="O44" s="14"/>
      <c r="P44" s="1">
        <f>SUM(OSRRefP22_2x_0)</f>
        <v>399.62</v>
      </c>
      <c r="Q44" s="1"/>
      <c r="R44" s="5">
        <f t="shared" ref="R44:R52" si="32">IF(P$12=0,0,P44/P$12)</f>
        <v>6.7933770948172658E-3</v>
      </c>
      <c r="S44" s="1"/>
      <c r="T44" s="1">
        <f>SUM(OSRRefT22_2x_0)</f>
        <v>332.5</v>
      </c>
      <c r="U44" s="1"/>
      <c r="V44" s="5">
        <f t="shared" ref="V44:V52" si="33">IF(T$12=0,0,T44/T$12)</f>
        <v>5.6421562912927353E-3</v>
      </c>
      <c r="W44" s="1"/>
      <c r="X44" s="1">
        <f t="shared" ref="X44:X52" si="34">+P44-T44</f>
        <v>67.12</v>
      </c>
      <c r="Y44" s="1"/>
      <c r="Z44" s="5">
        <f t="shared" ref="Z44:Z52" si="35">IF(T44=0,0,X44/T44)</f>
        <v>0.20186466165413536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>
        <v>399.62</v>
      </c>
      <c r="E45" s="2"/>
      <c r="F45" s="6">
        <f t="shared" si="28"/>
        <v>6.7933770948172658E-3</v>
      </c>
      <c r="G45" s="2"/>
      <c r="H45" s="7">
        <v>332.5</v>
      </c>
      <c r="I45" s="2"/>
      <c r="J45" s="6">
        <f t="shared" si="29"/>
        <v>5.6421562912927353E-3</v>
      </c>
      <c r="K45" s="2"/>
      <c r="L45" s="7">
        <f t="shared" si="30"/>
        <v>67.12</v>
      </c>
      <c r="M45" s="2"/>
      <c r="N45" s="6">
        <f t="shared" si="31"/>
        <v>0.20186466165413536</v>
      </c>
      <c r="O45" s="11"/>
      <c r="P45" s="7">
        <v>399.62</v>
      </c>
      <c r="Q45" s="2"/>
      <c r="R45" s="6">
        <f t="shared" si="32"/>
        <v>6.7933770948172658E-3</v>
      </c>
      <c r="S45" s="2"/>
      <c r="T45" s="7">
        <v>332.5</v>
      </c>
      <c r="U45" s="2"/>
      <c r="V45" s="6">
        <f t="shared" si="33"/>
        <v>5.6421562912927353E-3</v>
      </c>
      <c r="W45" s="2"/>
      <c r="X45" s="7">
        <f t="shared" si="34"/>
        <v>67.12</v>
      </c>
      <c r="Y45" s="2"/>
      <c r="Z45" s="6">
        <f t="shared" si="35"/>
        <v>0.20186466165413536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-2.1800000000000002</v>
      </c>
      <c r="E46" s="1"/>
      <c r="F46" s="5">
        <f t="shared" si="28"/>
        <v>-3.7059111322510487E-5</v>
      </c>
      <c r="G46" s="1"/>
      <c r="H46" s="1">
        <f>SUM(OSRRefH22_3x_0)</f>
        <v>-26.81</v>
      </c>
      <c r="I46" s="1"/>
      <c r="J46" s="5">
        <f t="shared" si="29"/>
        <v>-4.5493597043476164E-4</v>
      </c>
      <c r="K46" s="1"/>
      <c r="L46" s="1">
        <f t="shared" si="30"/>
        <v>24.63</v>
      </c>
      <c r="M46" s="1"/>
      <c r="N46" s="5">
        <f t="shared" si="31"/>
        <v>-0.91868705706825815</v>
      </c>
      <c r="O46" s="14"/>
      <c r="P46" s="1">
        <f>SUM(OSRRefP22_3x_0)</f>
        <v>-2.1800000000000002</v>
      </c>
      <c r="Q46" s="1"/>
      <c r="R46" s="5">
        <f t="shared" si="32"/>
        <v>-3.7059111322510487E-5</v>
      </c>
      <c r="S46" s="1"/>
      <c r="T46" s="1">
        <f>SUM(OSRRefT22_3x_0)</f>
        <v>-26.81</v>
      </c>
      <c r="U46" s="1"/>
      <c r="V46" s="5">
        <f t="shared" si="33"/>
        <v>-4.5493597043476164E-4</v>
      </c>
      <c r="W46" s="1"/>
      <c r="X46" s="1">
        <f t="shared" si="34"/>
        <v>24.63</v>
      </c>
      <c r="Y46" s="1"/>
      <c r="Z46" s="5">
        <f t="shared" si="35"/>
        <v>-0.91868705706825815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7">
        <v>-2.1800000000000002</v>
      </c>
      <c r="E47" s="2"/>
      <c r="F47" s="6">
        <f t="shared" si="28"/>
        <v>-3.7059111322510487E-5</v>
      </c>
      <c r="G47" s="2"/>
      <c r="H47" s="7">
        <v>-26.81</v>
      </c>
      <c r="I47" s="2"/>
      <c r="J47" s="6">
        <f t="shared" si="29"/>
        <v>-4.5493597043476164E-4</v>
      </c>
      <c r="K47" s="2"/>
      <c r="L47" s="7">
        <f t="shared" si="30"/>
        <v>24.63</v>
      </c>
      <c r="M47" s="2"/>
      <c r="N47" s="6">
        <f t="shared" si="31"/>
        <v>-0.91868705706825815</v>
      </c>
      <c r="O47" s="11"/>
      <c r="P47" s="7">
        <v>-2.1800000000000002</v>
      </c>
      <c r="Q47" s="2"/>
      <c r="R47" s="6">
        <f t="shared" si="32"/>
        <v>-3.7059111322510487E-5</v>
      </c>
      <c r="S47" s="2"/>
      <c r="T47" s="7">
        <v>-26.81</v>
      </c>
      <c r="U47" s="2"/>
      <c r="V47" s="6">
        <f t="shared" si="33"/>
        <v>-4.5493597043476164E-4</v>
      </c>
      <c r="W47" s="2"/>
      <c r="X47" s="7">
        <f t="shared" si="34"/>
        <v>24.63</v>
      </c>
      <c r="Y47" s="2"/>
      <c r="Z47" s="6">
        <f t="shared" si="35"/>
        <v>-0.91868705706825815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1549.46</v>
      </c>
      <c r="E48" s="1"/>
      <c r="F48" s="5">
        <f t="shared" si="28"/>
        <v>2.6340188362283072E-2</v>
      </c>
      <c r="G48" s="1"/>
      <c r="H48" s="1">
        <f>SUM(OSRRefH22_4x_0)</f>
        <v>1286.9100000000001</v>
      </c>
      <c r="I48" s="1"/>
      <c r="J48" s="5">
        <f t="shared" si="29"/>
        <v>2.183743564760161E-2</v>
      </c>
      <c r="K48" s="1"/>
      <c r="L48" s="1">
        <f t="shared" si="30"/>
        <v>262.54999999999995</v>
      </c>
      <c r="M48" s="1"/>
      <c r="N48" s="5">
        <f t="shared" si="31"/>
        <v>0.20401582084217229</v>
      </c>
      <c r="O48" s="14"/>
      <c r="P48" s="1">
        <f>SUM(OSRRefP22_4x_0)</f>
        <v>1549.46</v>
      </c>
      <c r="Q48" s="1"/>
      <c r="R48" s="5">
        <f t="shared" si="32"/>
        <v>2.6340188362283072E-2</v>
      </c>
      <c r="S48" s="1"/>
      <c r="T48" s="1">
        <f>SUM(OSRRefT22_4x_0)</f>
        <v>1286.9100000000001</v>
      </c>
      <c r="U48" s="1"/>
      <c r="V48" s="5">
        <f t="shared" si="33"/>
        <v>2.183743564760161E-2</v>
      </c>
      <c r="W48" s="1"/>
      <c r="X48" s="1">
        <f t="shared" si="34"/>
        <v>262.54999999999995</v>
      </c>
      <c r="Y48" s="1"/>
      <c r="Z48" s="5">
        <f t="shared" si="35"/>
        <v>0.20401582084217229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7">
        <v>1549.46</v>
      </c>
      <c r="E49" s="2"/>
      <c r="F49" s="6">
        <f t="shared" si="28"/>
        <v>2.6340188362283072E-2</v>
      </c>
      <c r="G49" s="2"/>
      <c r="H49" s="7">
        <v>1286.9100000000001</v>
      </c>
      <c r="I49" s="2"/>
      <c r="J49" s="6">
        <f t="shared" si="29"/>
        <v>2.183743564760161E-2</v>
      </c>
      <c r="K49" s="2"/>
      <c r="L49" s="7">
        <f t="shared" si="30"/>
        <v>262.54999999999995</v>
      </c>
      <c r="M49" s="2"/>
      <c r="N49" s="6">
        <f t="shared" si="31"/>
        <v>0.20401582084217229</v>
      </c>
      <c r="O49" s="11"/>
      <c r="P49" s="7">
        <v>1549.46</v>
      </c>
      <c r="Q49" s="2"/>
      <c r="R49" s="6">
        <f t="shared" si="32"/>
        <v>2.6340188362283072E-2</v>
      </c>
      <c r="S49" s="2"/>
      <c r="T49" s="7">
        <v>1286.9100000000001</v>
      </c>
      <c r="U49" s="2"/>
      <c r="V49" s="6">
        <f t="shared" si="33"/>
        <v>2.183743564760161E-2</v>
      </c>
      <c r="W49" s="2"/>
      <c r="X49" s="7">
        <f t="shared" si="34"/>
        <v>262.54999999999995</v>
      </c>
      <c r="Y49" s="2"/>
      <c r="Z49" s="6">
        <f t="shared" si="35"/>
        <v>0.20401582084217229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8403.48</v>
      </c>
      <c r="E50" s="1"/>
      <c r="F50" s="5">
        <f t="shared" si="28"/>
        <v>0.142855734319491</v>
      </c>
      <c r="G50" s="1"/>
      <c r="H50" s="1">
        <f>SUM(OSRRefH22_5x_0)</f>
        <v>8364.08</v>
      </c>
      <c r="I50" s="1"/>
      <c r="J50" s="5">
        <f t="shared" si="29"/>
        <v>0.14192916268534059</v>
      </c>
      <c r="K50" s="1"/>
      <c r="L50" s="1">
        <f t="shared" si="30"/>
        <v>39.399999999999636</v>
      </c>
      <c r="M50" s="1"/>
      <c r="N50" s="5">
        <f t="shared" si="31"/>
        <v>4.7106196975638245E-3</v>
      </c>
      <c r="O50" s="14"/>
      <c r="P50" s="1">
        <f>SUM(OSRRefP22_5x_0)</f>
        <v>8403.48</v>
      </c>
      <c r="Q50" s="1"/>
      <c r="R50" s="5">
        <f t="shared" si="32"/>
        <v>0.142855734319491</v>
      </c>
      <c r="S50" s="1"/>
      <c r="T50" s="1">
        <f>SUM(OSRRefT22_5x_0)</f>
        <v>8364.08</v>
      </c>
      <c r="U50" s="1"/>
      <c r="V50" s="5">
        <f t="shared" si="33"/>
        <v>0.14192916268534059</v>
      </c>
      <c r="W50" s="1"/>
      <c r="X50" s="1">
        <f t="shared" si="34"/>
        <v>39.399999999999636</v>
      </c>
      <c r="Y50" s="1"/>
      <c r="Z50" s="5">
        <f t="shared" si="35"/>
        <v>4.7106196975638245E-3</v>
      </c>
    </row>
    <row r="51" spans="1:26" s="24" customFormat="1" hidden="1" outlineLevel="2" x14ac:dyDescent="0.25">
      <c r="A51" s="29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28"/>
        <v>8.6366598928957677E-2</v>
      </c>
      <c r="G51" s="2"/>
      <c r="H51" s="7">
        <v>5080.51</v>
      </c>
      <c r="I51" s="2"/>
      <c r="J51" s="6">
        <f t="shared" si="29"/>
        <v>8.6210620930753865E-2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>
        <v>5080.51</v>
      </c>
      <c r="Q51" s="2"/>
      <c r="R51" s="6">
        <f t="shared" si="32"/>
        <v>8.6366598928957677E-2</v>
      </c>
      <c r="S51" s="2"/>
      <c r="T51" s="7">
        <v>5080.51</v>
      </c>
      <c r="U51" s="2"/>
      <c r="V51" s="6">
        <f t="shared" si="33"/>
        <v>8.6210620930753865E-2</v>
      </c>
      <c r="W51" s="2"/>
      <c r="X51" s="7">
        <f t="shared" si="34"/>
        <v>0</v>
      </c>
      <c r="Y51" s="2"/>
      <c r="Z51" s="6">
        <f t="shared" si="35"/>
        <v>0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3322.97</v>
      </c>
      <c r="E52" s="2"/>
      <c r="F52" s="6">
        <f t="shared" si="28"/>
        <v>5.6489135390533331E-2</v>
      </c>
      <c r="G52" s="2"/>
      <c r="H52" s="7">
        <v>3283.57</v>
      </c>
      <c r="I52" s="2"/>
      <c r="J52" s="6">
        <f t="shared" si="29"/>
        <v>5.5718541754586737E-2</v>
      </c>
      <c r="K52" s="2"/>
      <c r="L52" s="7">
        <f t="shared" si="30"/>
        <v>39.399999999999636</v>
      </c>
      <c r="M52" s="2"/>
      <c r="N52" s="6">
        <f t="shared" si="31"/>
        <v>1.199913508772453E-2</v>
      </c>
      <c r="O52" s="11"/>
      <c r="P52" s="7">
        <v>3322.97</v>
      </c>
      <c r="Q52" s="2"/>
      <c r="R52" s="6">
        <f t="shared" si="32"/>
        <v>5.6489135390533331E-2</v>
      </c>
      <c r="S52" s="2"/>
      <c r="T52" s="7">
        <v>3283.57</v>
      </c>
      <c r="U52" s="2"/>
      <c r="V52" s="6">
        <f t="shared" si="33"/>
        <v>5.5718541754586737E-2</v>
      </c>
      <c r="W52" s="2"/>
      <c r="X52" s="7">
        <f t="shared" si="34"/>
        <v>39.399999999999636</v>
      </c>
      <c r="Y52" s="2"/>
      <c r="Z52" s="6">
        <f t="shared" si="35"/>
        <v>1.199913508772453E-2</v>
      </c>
    </row>
    <row r="53" spans="1:26" s="28" customFormat="1" outlineLevel="1" collapsed="1" x14ac:dyDescent="0.25">
      <c r="A53" s="27"/>
      <c r="B53" s="14" t="str">
        <f>CONCATENATE("     ","Discounts and Markdowns                           ")</f>
        <v xml:space="preserve">     Discounts and Markdowns                           </v>
      </c>
      <c r="C53" s="14"/>
      <c r="D53" s="1">
        <f>SUM(OSRRefD22_6x_0)</f>
        <v>13.91</v>
      </c>
      <c r="E53" s="1"/>
      <c r="F53" s="5">
        <f t="shared" ref="F53:F77" si="36">IF(D$12=0,0,D53/D$12)</f>
        <v>2.3646432958537655E-4</v>
      </c>
      <c r="G53" s="1"/>
      <c r="H53" s="1">
        <f>SUM(OSRRefH22_6x_0)</f>
        <v>10.050000000000001</v>
      </c>
      <c r="I53" s="1"/>
      <c r="J53" s="5">
        <f t="shared" ref="J53:J77" si="37">IF(H$12=0,0,H53/H$12)</f>
        <v>1.705373555714045E-4</v>
      </c>
      <c r="K53" s="1"/>
      <c r="L53" s="1">
        <f t="shared" ref="L53:L77" si="38">+D53-H53</f>
        <v>3.8599999999999994</v>
      </c>
      <c r="M53" s="1"/>
      <c r="N53" s="5">
        <f t="shared" ref="N53:N77" si="39">IF(H53=0,0,L53/H53)</f>
        <v>0.38407960199004965</v>
      </c>
      <c r="O53" s="14"/>
      <c r="P53" s="1">
        <f>SUM(OSRRefP22_6x_0)</f>
        <v>13.91</v>
      </c>
      <c r="Q53" s="1"/>
      <c r="R53" s="5">
        <f t="shared" ref="R53:R77" si="40">IF(P$12=0,0,P53/P$12)</f>
        <v>2.3646432958537655E-4</v>
      </c>
      <c r="S53" s="1"/>
      <c r="T53" s="1">
        <f>SUM(OSRRefT22_6x_0)</f>
        <v>10.050000000000001</v>
      </c>
      <c r="U53" s="1"/>
      <c r="V53" s="5">
        <f t="shared" ref="V53:V77" si="41">IF(T$12=0,0,T53/T$12)</f>
        <v>1.705373555714045E-4</v>
      </c>
      <c r="W53" s="1"/>
      <c r="X53" s="1">
        <f t="shared" ref="X53:X77" si="42">+P53-T53</f>
        <v>3.8599999999999994</v>
      </c>
      <c r="Y53" s="1"/>
      <c r="Z53" s="5">
        <f t="shared" ref="Z53:Z77" si="43">IF(T53=0,0,X53/T53)</f>
        <v>0.38407960199004965</v>
      </c>
    </row>
    <row r="54" spans="1:26" s="24" customFormat="1" hidden="1" outlineLevel="2" x14ac:dyDescent="0.25">
      <c r="A54" s="29"/>
      <c r="B54" s="11" t="str">
        <f>CONCATENATE("          ", "6382", " - ", "DISCOUNTS/MARK DOWNS")</f>
        <v xml:space="preserve">          6382 - DISCOUNTS/MARK DOWNS</v>
      </c>
      <c r="C54" s="11"/>
      <c r="D54" s="7">
        <v>13.91</v>
      </c>
      <c r="E54" s="2"/>
      <c r="F54" s="6">
        <f t="shared" si="36"/>
        <v>2.3646432958537655E-4</v>
      </c>
      <c r="G54" s="2"/>
      <c r="H54" s="7">
        <v>10.050000000000001</v>
      </c>
      <c r="I54" s="2"/>
      <c r="J54" s="6">
        <f t="shared" si="37"/>
        <v>1.705373555714045E-4</v>
      </c>
      <c r="K54" s="2"/>
      <c r="L54" s="7">
        <f t="shared" si="38"/>
        <v>3.8599999999999994</v>
      </c>
      <c r="M54" s="2"/>
      <c r="N54" s="6">
        <f t="shared" si="39"/>
        <v>0.38407960199004965</v>
      </c>
      <c r="O54" s="11"/>
      <c r="P54" s="7">
        <v>13.91</v>
      </c>
      <c r="Q54" s="2"/>
      <c r="R54" s="6">
        <f t="shared" si="40"/>
        <v>2.3646432958537655E-4</v>
      </c>
      <c r="S54" s="2"/>
      <c r="T54" s="7">
        <v>10.050000000000001</v>
      </c>
      <c r="U54" s="2"/>
      <c r="V54" s="6">
        <f t="shared" si="41"/>
        <v>1.705373555714045E-4</v>
      </c>
      <c r="W54" s="2"/>
      <c r="X54" s="7">
        <f t="shared" si="42"/>
        <v>3.8599999999999994</v>
      </c>
      <c r="Y54" s="2"/>
      <c r="Z54" s="6">
        <f t="shared" si="43"/>
        <v>0.38407960199004965</v>
      </c>
    </row>
    <row r="55" spans="1:26" s="28" customFormat="1" outlineLevel="1" collapsed="1" x14ac:dyDescent="0.25">
      <c r="A55" s="27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SUM(OSRRefD22_7x_0)</f>
        <v>0</v>
      </c>
      <c r="E55" s="1"/>
      <c r="F55" s="5">
        <f t="shared" si="36"/>
        <v>0</v>
      </c>
      <c r="G55" s="1"/>
      <c r="H55" s="1">
        <f>SUM(OSRRefH22_7x_0)</f>
        <v>61.8</v>
      </c>
      <c r="I55" s="1"/>
      <c r="J55" s="5">
        <f t="shared" si="37"/>
        <v>1.0486774700808753E-3</v>
      </c>
      <c r="K55" s="1"/>
      <c r="L55" s="1">
        <f t="shared" si="38"/>
        <v>-61.8</v>
      </c>
      <c r="M55" s="1"/>
      <c r="N55" s="5">
        <f t="shared" si="39"/>
        <v>-1</v>
      </c>
      <c r="O55" s="14"/>
      <c r="P55" s="1">
        <f>SUM(OSRRefP22_7x_0)</f>
        <v>0</v>
      </c>
      <c r="Q55" s="1"/>
      <c r="R55" s="5">
        <f t="shared" si="40"/>
        <v>0</v>
      </c>
      <c r="S55" s="1"/>
      <c r="T55" s="1">
        <f>SUM(OSRRefT22_7x_0)</f>
        <v>61.8</v>
      </c>
      <c r="U55" s="1"/>
      <c r="V55" s="5">
        <f t="shared" si="41"/>
        <v>1.0486774700808753E-3</v>
      </c>
      <c r="W55" s="1"/>
      <c r="X55" s="1">
        <f t="shared" si="42"/>
        <v>-61.8</v>
      </c>
      <c r="Y55" s="1"/>
      <c r="Z55" s="5">
        <f t="shared" si="43"/>
        <v>-1</v>
      </c>
    </row>
    <row r="56" spans="1:26" s="24" customFormat="1" hidden="1" outlineLevel="2" x14ac:dyDescent="0.25">
      <c r="A56" s="29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61.8</v>
      </c>
      <c r="I56" s="2"/>
      <c r="J56" s="6">
        <f t="shared" si="37"/>
        <v>1.0486774700808753E-3</v>
      </c>
      <c r="K56" s="2"/>
      <c r="L56" s="7">
        <f t="shared" si="38"/>
        <v>-61.8</v>
      </c>
      <c r="M56" s="2"/>
      <c r="N56" s="6">
        <f t="shared" si="39"/>
        <v>-1</v>
      </c>
      <c r="O56" s="11"/>
      <c r="P56" s="7"/>
      <c r="Q56" s="2"/>
      <c r="R56" s="6">
        <f t="shared" si="40"/>
        <v>0</v>
      </c>
      <c r="S56" s="2"/>
      <c r="T56" s="7">
        <v>61.8</v>
      </c>
      <c r="U56" s="2"/>
      <c r="V56" s="6">
        <f t="shared" si="41"/>
        <v>1.0486774700808753E-3</v>
      </c>
      <c r="W56" s="2"/>
      <c r="X56" s="7">
        <f t="shared" si="42"/>
        <v>-61.8</v>
      </c>
      <c r="Y56" s="2"/>
      <c r="Z56" s="6">
        <f t="shared" si="43"/>
        <v>-1</v>
      </c>
    </row>
    <row r="57" spans="1:26" s="28" customFormat="1" outlineLevel="1" collapsed="1" x14ac:dyDescent="0.25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SUM(OSRRefD22_8x_0)</f>
        <v>146.47</v>
      </c>
      <c r="E57" s="1"/>
      <c r="F57" s="5">
        <f t="shared" si="36"/>
        <v>2.4899302914716103E-3</v>
      </c>
      <c r="G57" s="1"/>
      <c r="H57" s="1">
        <f>SUM(OSRRefH22_8x_0)</f>
        <v>144.75</v>
      </c>
      <c r="I57" s="1"/>
      <c r="J57" s="5">
        <f t="shared" si="37"/>
        <v>2.4562469869612736E-3</v>
      </c>
      <c r="K57" s="1"/>
      <c r="L57" s="1">
        <f t="shared" si="38"/>
        <v>1.7199999999999989</v>
      </c>
      <c r="M57" s="1"/>
      <c r="N57" s="5">
        <f t="shared" si="39"/>
        <v>1.1882556131260786E-2</v>
      </c>
      <c r="O57" s="14"/>
      <c r="P57" s="1">
        <f>SUM(OSRRefP22_8x_0)</f>
        <v>146.47</v>
      </c>
      <c r="Q57" s="1"/>
      <c r="R57" s="5">
        <f t="shared" si="40"/>
        <v>2.4899302914716103E-3</v>
      </c>
      <c r="S57" s="1"/>
      <c r="T57" s="1">
        <f>SUM(OSRRefT22_8x_0)</f>
        <v>144.75</v>
      </c>
      <c r="U57" s="1"/>
      <c r="V57" s="5">
        <f t="shared" si="41"/>
        <v>2.4562469869612736E-3</v>
      </c>
      <c r="W57" s="1"/>
      <c r="X57" s="1">
        <f t="shared" si="42"/>
        <v>1.7199999999999989</v>
      </c>
      <c r="Y57" s="1"/>
      <c r="Z57" s="5">
        <f t="shared" si="43"/>
        <v>1.1882556131260786E-2</v>
      </c>
    </row>
    <row r="58" spans="1:26" s="24" customFormat="1" hidden="1" outlineLevel="2" x14ac:dyDescent="0.2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146.47</v>
      </c>
      <c r="E58" s="2"/>
      <c r="F58" s="6">
        <f t="shared" si="36"/>
        <v>2.4899302914716103E-3</v>
      </c>
      <c r="G58" s="2"/>
      <c r="H58" s="7">
        <v>144.75</v>
      </c>
      <c r="I58" s="2"/>
      <c r="J58" s="6">
        <f t="shared" si="37"/>
        <v>2.4562469869612736E-3</v>
      </c>
      <c r="K58" s="2"/>
      <c r="L58" s="7">
        <f t="shared" si="38"/>
        <v>1.7199999999999989</v>
      </c>
      <c r="M58" s="2"/>
      <c r="N58" s="6">
        <f t="shared" si="39"/>
        <v>1.1882556131260786E-2</v>
      </c>
      <c r="O58" s="11"/>
      <c r="P58" s="7">
        <v>146.47</v>
      </c>
      <c r="Q58" s="2"/>
      <c r="R58" s="6">
        <f t="shared" si="40"/>
        <v>2.4899302914716103E-3</v>
      </c>
      <c r="S58" s="2"/>
      <c r="T58" s="7">
        <v>144.75</v>
      </c>
      <c r="U58" s="2"/>
      <c r="V58" s="6">
        <f t="shared" si="41"/>
        <v>2.4562469869612736E-3</v>
      </c>
      <c r="W58" s="2"/>
      <c r="X58" s="7">
        <f t="shared" si="42"/>
        <v>1.7199999999999989</v>
      </c>
      <c r="Y58" s="2"/>
      <c r="Z58" s="6">
        <f t="shared" si="43"/>
        <v>1.1882556131260786E-2</v>
      </c>
    </row>
    <row r="59" spans="1:26" s="28" customFormat="1" outlineLevel="1" collapsed="1" x14ac:dyDescent="0.25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SUM(OSRRefD22_9x_0)</f>
        <v>71.69</v>
      </c>
      <c r="E59" s="1"/>
      <c r="F59" s="5">
        <f t="shared" si="36"/>
        <v>1.2187007755554021E-3</v>
      </c>
      <c r="G59" s="1"/>
      <c r="H59" s="1">
        <f>SUM(OSRRefH22_9x_0)</f>
        <v>65.52</v>
      </c>
      <c r="I59" s="1"/>
      <c r="J59" s="5">
        <f t="shared" si="37"/>
        <v>1.1118017449789474E-3</v>
      </c>
      <c r="K59" s="1"/>
      <c r="L59" s="1">
        <f t="shared" si="38"/>
        <v>6.1700000000000017</v>
      </c>
      <c r="M59" s="1"/>
      <c r="N59" s="5">
        <f t="shared" si="39"/>
        <v>9.4169719169719196E-2</v>
      </c>
      <c r="O59" s="14"/>
      <c r="P59" s="1">
        <f>SUM(OSRRefP22_9x_0)</f>
        <v>71.69</v>
      </c>
      <c r="Q59" s="1"/>
      <c r="R59" s="5">
        <f t="shared" si="40"/>
        <v>1.2187007755554021E-3</v>
      </c>
      <c r="S59" s="1"/>
      <c r="T59" s="1">
        <f>SUM(OSRRefT22_9x_0)</f>
        <v>65.52</v>
      </c>
      <c r="U59" s="1"/>
      <c r="V59" s="5">
        <f t="shared" si="41"/>
        <v>1.1118017449789474E-3</v>
      </c>
      <c r="W59" s="1"/>
      <c r="X59" s="1">
        <f t="shared" si="42"/>
        <v>6.1700000000000017</v>
      </c>
      <c r="Y59" s="1"/>
      <c r="Z59" s="5">
        <f t="shared" si="43"/>
        <v>9.4169719169719196E-2</v>
      </c>
    </row>
    <row r="60" spans="1:26" s="24" customFormat="1" hidden="1" outlineLevel="2" x14ac:dyDescent="0.25">
      <c r="A60" s="29"/>
      <c r="B60" s="11" t="str">
        <f>CONCATENATE("          ", "6305", " - ", "FREIGHT OUT")</f>
        <v xml:space="preserve">          6305 - FREIGHT OUT</v>
      </c>
      <c r="C60" s="11"/>
      <c r="D60" s="7">
        <v>71.69</v>
      </c>
      <c r="E60" s="2"/>
      <c r="F60" s="6">
        <f t="shared" si="36"/>
        <v>1.2187007755554021E-3</v>
      </c>
      <c r="G60" s="2"/>
      <c r="H60" s="7">
        <v>65.52</v>
      </c>
      <c r="I60" s="2"/>
      <c r="J60" s="6">
        <f t="shared" si="37"/>
        <v>1.1118017449789474E-3</v>
      </c>
      <c r="K60" s="2"/>
      <c r="L60" s="7">
        <f t="shared" si="38"/>
        <v>6.1700000000000017</v>
      </c>
      <c r="M60" s="2"/>
      <c r="N60" s="6">
        <f t="shared" si="39"/>
        <v>9.4169719169719196E-2</v>
      </c>
      <c r="O60" s="11"/>
      <c r="P60" s="7">
        <v>71.69</v>
      </c>
      <c r="Q60" s="2"/>
      <c r="R60" s="6">
        <f t="shared" si="40"/>
        <v>1.2187007755554021E-3</v>
      </c>
      <c r="S60" s="2"/>
      <c r="T60" s="7">
        <v>65.52</v>
      </c>
      <c r="U60" s="2"/>
      <c r="V60" s="6">
        <f t="shared" si="41"/>
        <v>1.1118017449789474E-3</v>
      </c>
      <c r="W60" s="2"/>
      <c r="X60" s="7">
        <f t="shared" si="42"/>
        <v>6.1700000000000017</v>
      </c>
      <c r="Y60" s="2"/>
      <c r="Z60" s="6">
        <f t="shared" si="43"/>
        <v>9.4169719169719196E-2</v>
      </c>
    </row>
    <row r="61" spans="1:26" s="28" customFormat="1" outlineLevel="1" collapsed="1" x14ac:dyDescent="0.2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4428.8</v>
      </c>
      <c r="E61" s="1"/>
      <c r="F61" s="5">
        <f t="shared" si="36"/>
        <v>7.5287794598685523E-2</v>
      </c>
      <c r="G61" s="1"/>
      <c r="H61" s="1">
        <f>SUM(OSRRefH22_10x_0)</f>
        <v>4713.3500000000004</v>
      </c>
      <c r="I61" s="1"/>
      <c r="J61" s="5">
        <f t="shared" si="37"/>
        <v>7.9980322873878545E-2</v>
      </c>
      <c r="K61" s="1"/>
      <c r="L61" s="1">
        <f t="shared" si="38"/>
        <v>-284.55000000000018</v>
      </c>
      <c r="M61" s="1"/>
      <c r="N61" s="5">
        <f t="shared" si="39"/>
        <v>-6.0371073652497727E-2</v>
      </c>
      <c r="O61" s="14"/>
      <c r="P61" s="1">
        <f>SUM(OSRRefP22_10x_0)</f>
        <v>4428.8</v>
      </c>
      <c r="Q61" s="1"/>
      <c r="R61" s="5">
        <f t="shared" si="40"/>
        <v>7.5287794598685523E-2</v>
      </c>
      <c r="S61" s="1"/>
      <c r="T61" s="1">
        <f>SUM(OSRRefT22_10x_0)</f>
        <v>4713.3500000000004</v>
      </c>
      <c r="U61" s="1"/>
      <c r="V61" s="5">
        <f t="shared" si="41"/>
        <v>7.9980322873878545E-2</v>
      </c>
      <c r="W61" s="1"/>
      <c r="X61" s="1">
        <f t="shared" si="42"/>
        <v>-284.55000000000018</v>
      </c>
      <c r="Y61" s="1"/>
      <c r="Z61" s="5">
        <f t="shared" si="43"/>
        <v>-6.0371073652497727E-2</v>
      </c>
    </row>
    <row r="62" spans="1:26" s="24" customFormat="1" hidden="1" outlineLevel="2" x14ac:dyDescent="0.25">
      <c r="A62" s="29"/>
      <c r="B62" s="11" t="str">
        <f>CONCATENATE("          ", "6279", " - ", "GENERAL EXPENSE")</f>
        <v xml:space="preserve">          6279 - GENERAL EXPENSE</v>
      </c>
      <c r="C62" s="11"/>
      <c r="D62" s="7">
        <v>4428.8</v>
      </c>
      <c r="E62" s="2"/>
      <c r="F62" s="6">
        <f t="shared" si="36"/>
        <v>7.5287794598685523E-2</v>
      </c>
      <c r="G62" s="2"/>
      <c r="H62" s="7">
        <v>4713.3500000000004</v>
      </c>
      <c r="I62" s="2"/>
      <c r="J62" s="6">
        <f t="shared" si="37"/>
        <v>7.9980322873878545E-2</v>
      </c>
      <c r="K62" s="2"/>
      <c r="L62" s="7">
        <f t="shared" si="38"/>
        <v>-284.55000000000018</v>
      </c>
      <c r="M62" s="2"/>
      <c r="N62" s="6">
        <f t="shared" si="39"/>
        <v>-6.0371073652497727E-2</v>
      </c>
      <c r="O62" s="11"/>
      <c r="P62" s="7">
        <v>4428.8</v>
      </c>
      <c r="Q62" s="2"/>
      <c r="R62" s="6">
        <f t="shared" si="40"/>
        <v>7.5287794598685523E-2</v>
      </c>
      <c r="S62" s="2"/>
      <c r="T62" s="7">
        <v>4713.3500000000004</v>
      </c>
      <c r="U62" s="2"/>
      <c r="V62" s="6">
        <f t="shared" si="41"/>
        <v>7.9980322873878545E-2</v>
      </c>
      <c r="W62" s="2"/>
      <c r="X62" s="7">
        <f t="shared" si="42"/>
        <v>-284.55000000000018</v>
      </c>
      <c r="Y62" s="2"/>
      <c r="Z62" s="6">
        <f t="shared" si="43"/>
        <v>-6.0371073652497727E-2</v>
      </c>
    </row>
    <row r="63" spans="1:26" s="28" customFormat="1" outlineLevel="1" collapsed="1" x14ac:dyDescent="0.2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243.54</v>
      </c>
      <c r="E63" s="1"/>
      <c r="F63" s="5">
        <f t="shared" si="36"/>
        <v>4.1400807208643135E-3</v>
      </c>
      <c r="G63" s="1"/>
      <c r="H63" s="1">
        <f>SUM(OSRRefH22_11x_0)</f>
        <v>229.44</v>
      </c>
      <c r="I63" s="1"/>
      <c r="J63" s="5">
        <f t="shared" si="37"/>
        <v>3.8933423743585122E-3</v>
      </c>
      <c r="K63" s="1"/>
      <c r="L63" s="1">
        <f t="shared" si="38"/>
        <v>14.099999999999994</v>
      </c>
      <c r="M63" s="1"/>
      <c r="N63" s="5">
        <f t="shared" si="39"/>
        <v>6.1453974895397466E-2</v>
      </c>
      <c r="O63" s="14"/>
      <c r="P63" s="1">
        <f>SUM(OSRRefP22_11x_0)</f>
        <v>243.54</v>
      </c>
      <c r="Q63" s="1"/>
      <c r="R63" s="5">
        <f t="shared" si="40"/>
        <v>4.1400807208643135E-3</v>
      </c>
      <c r="S63" s="1"/>
      <c r="T63" s="1">
        <f>SUM(OSRRefT22_11x_0)</f>
        <v>229.44</v>
      </c>
      <c r="U63" s="1"/>
      <c r="V63" s="5">
        <f t="shared" si="41"/>
        <v>3.8933423743585122E-3</v>
      </c>
      <c r="W63" s="1"/>
      <c r="X63" s="1">
        <f t="shared" si="42"/>
        <v>14.099999999999994</v>
      </c>
      <c r="Y63" s="1"/>
      <c r="Z63" s="5">
        <f t="shared" si="43"/>
        <v>6.1453974895397466E-2</v>
      </c>
    </row>
    <row r="64" spans="1:26" s="24" customFormat="1" hidden="1" outlineLevel="2" x14ac:dyDescent="0.25">
      <c r="A64" s="29"/>
      <c r="B64" s="11" t="str">
        <f>CONCATENATE("          ", "6314", " - ", "LIABILITY INSURANCE")</f>
        <v xml:space="preserve">          6314 - LIABILITY INSURANCE</v>
      </c>
      <c r="C64" s="11"/>
      <c r="D64" s="7">
        <v>243.54</v>
      </c>
      <c r="E64" s="2"/>
      <c r="F64" s="6">
        <f t="shared" si="36"/>
        <v>4.1400807208643135E-3</v>
      </c>
      <c r="G64" s="2"/>
      <c r="H64" s="7">
        <v>229.44</v>
      </c>
      <c r="I64" s="2"/>
      <c r="J64" s="6">
        <f t="shared" si="37"/>
        <v>3.8933423743585122E-3</v>
      </c>
      <c r="K64" s="2"/>
      <c r="L64" s="7">
        <f t="shared" si="38"/>
        <v>14.099999999999994</v>
      </c>
      <c r="M64" s="2"/>
      <c r="N64" s="6">
        <f t="shared" si="39"/>
        <v>6.1453974895397466E-2</v>
      </c>
      <c r="O64" s="11"/>
      <c r="P64" s="7">
        <v>243.54</v>
      </c>
      <c r="Q64" s="2"/>
      <c r="R64" s="6">
        <f t="shared" si="40"/>
        <v>4.1400807208643135E-3</v>
      </c>
      <c r="S64" s="2"/>
      <c r="T64" s="7">
        <v>229.44</v>
      </c>
      <c r="U64" s="2"/>
      <c r="V64" s="6">
        <f t="shared" si="41"/>
        <v>3.8933423743585122E-3</v>
      </c>
      <c r="W64" s="2"/>
      <c r="X64" s="7">
        <f t="shared" si="42"/>
        <v>14.099999999999994</v>
      </c>
      <c r="Y64" s="2"/>
      <c r="Z64" s="6">
        <f t="shared" si="43"/>
        <v>6.1453974895397466E-2</v>
      </c>
    </row>
    <row r="65" spans="1:26" s="28" customFormat="1" outlineLevel="1" collapsed="1" x14ac:dyDescent="0.25">
      <c r="A65" s="27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SUM(OSRRefD22_12x_0)</f>
        <v>4110</v>
      </c>
      <c r="E65" s="1"/>
      <c r="F65" s="5">
        <f t="shared" si="36"/>
        <v>6.9868324557577105E-2</v>
      </c>
      <c r="G65" s="1"/>
      <c r="H65" s="1">
        <f>SUM(OSRRefH22_12x_0)</f>
        <v>4280</v>
      </c>
      <c r="I65" s="1"/>
      <c r="J65" s="5">
        <f t="shared" si="37"/>
        <v>7.2626853914986189E-2</v>
      </c>
      <c r="K65" s="1"/>
      <c r="L65" s="1">
        <f t="shared" si="38"/>
        <v>-170</v>
      </c>
      <c r="M65" s="1"/>
      <c r="N65" s="5">
        <f t="shared" si="39"/>
        <v>-3.9719626168224297E-2</v>
      </c>
      <c r="O65" s="14"/>
      <c r="P65" s="1">
        <f>SUM(OSRRefP22_12x_0)</f>
        <v>4110</v>
      </c>
      <c r="Q65" s="1"/>
      <c r="R65" s="5">
        <f t="shared" si="40"/>
        <v>6.9868324557577105E-2</v>
      </c>
      <c r="S65" s="1"/>
      <c r="T65" s="1">
        <f>SUM(OSRRefT22_12x_0)</f>
        <v>4280</v>
      </c>
      <c r="U65" s="1"/>
      <c r="V65" s="5">
        <f t="shared" si="41"/>
        <v>7.2626853914986189E-2</v>
      </c>
      <c r="W65" s="1"/>
      <c r="X65" s="1">
        <f t="shared" si="42"/>
        <v>-170</v>
      </c>
      <c r="Y65" s="1"/>
      <c r="Z65" s="5">
        <f t="shared" si="43"/>
        <v>-3.9719626168224297E-2</v>
      </c>
    </row>
    <row r="66" spans="1:26" s="24" customFormat="1" hidden="1" outlineLevel="2" x14ac:dyDescent="0.25">
      <c r="A66" s="29"/>
      <c r="B66" s="11" t="str">
        <f>CONCATENATE("          ", "6401", " - ", "INTEREST EXPENSE")</f>
        <v xml:space="preserve">          6401 - INTEREST EXPENSE</v>
      </c>
      <c r="C66" s="11"/>
      <c r="D66" s="7">
        <v>4110</v>
      </c>
      <c r="E66" s="2"/>
      <c r="F66" s="6">
        <f t="shared" si="36"/>
        <v>6.9868324557577105E-2</v>
      </c>
      <c r="G66" s="2"/>
      <c r="H66" s="7">
        <v>4280</v>
      </c>
      <c r="I66" s="2"/>
      <c r="J66" s="6">
        <f t="shared" si="37"/>
        <v>7.2626853914986189E-2</v>
      </c>
      <c r="K66" s="2"/>
      <c r="L66" s="7">
        <f t="shared" si="38"/>
        <v>-170</v>
      </c>
      <c r="M66" s="2"/>
      <c r="N66" s="6">
        <f t="shared" si="39"/>
        <v>-3.9719626168224297E-2</v>
      </c>
      <c r="O66" s="11"/>
      <c r="P66" s="7">
        <v>4110</v>
      </c>
      <c r="Q66" s="2"/>
      <c r="R66" s="6">
        <f t="shared" si="40"/>
        <v>6.9868324557577105E-2</v>
      </c>
      <c r="S66" s="2"/>
      <c r="T66" s="7">
        <v>4280</v>
      </c>
      <c r="U66" s="2"/>
      <c r="V66" s="6">
        <f t="shared" si="41"/>
        <v>7.2626853914986189E-2</v>
      </c>
      <c r="W66" s="2"/>
      <c r="X66" s="7">
        <f t="shared" si="42"/>
        <v>-170</v>
      </c>
      <c r="Y66" s="2"/>
      <c r="Z66" s="6">
        <f t="shared" si="43"/>
        <v>-3.9719626168224297E-2</v>
      </c>
    </row>
    <row r="67" spans="1:26" s="28" customFormat="1" outlineLevel="1" collapsed="1" x14ac:dyDescent="0.25">
      <c r="A67" s="27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SUM(OSRRefD22_13x_0)</f>
        <v>1150</v>
      </c>
      <c r="E67" s="1"/>
      <c r="F67" s="5">
        <f t="shared" si="36"/>
        <v>1.954953120224177E-2</v>
      </c>
      <c r="G67" s="1"/>
      <c r="H67" s="1">
        <f>SUM(OSRRefH22_13x_0)</f>
        <v>1150</v>
      </c>
      <c r="I67" s="1"/>
      <c r="J67" s="5">
        <f t="shared" si="37"/>
        <v>1.9514224766877131E-2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SUM(OSRRefP22_13x_0)</f>
        <v>1150</v>
      </c>
      <c r="Q67" s="1"/>
      <c r="R67" s="5">
        <f t="shared" si="40"/>
        <v>1.954953120224177E-2</v>
      </c>
      <c r="S67" s="1"/>
      <c r="T67" s="1">
        <f>SUM(OSRRefT22_13x_0)</f>
        <v>1150</v>
      </c>
      <c r="U67" s="1"/>
      <c r="V67" s="5">
        <f t="shared" si="41"/>
        <v>1.9514224766877131E-2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25">
      <c r="A68" s="29"/>
      <c r="B68" s="11" t="str">
        <f>CONCATENATE("          ", "6273", " - ", "RENT")</f>
        <v xml:space="preserve">          6273 - RENT</v>
      </c>
      <c r="C68" s="11"/>
      <c r="D68" s="7">
        <v>1150</v>
      </c>
      <c r="E68" s="2"/>
      <c r="F68" s="6">
        <f t="shared" si="36"/>
        <v>1.954953120224177E-2</v>
      </c>
      <c r="G68" s="2"/>
      <c r="H68" s="7">
        <v>1150</v>
      </c>
      <c r="I68" s="2"/>
      <c r="J68" s="6">
        <f t="shared" si="37"/>
        <v>1.9514224766877131E-2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1150</v>
      </c>
      <c r="Q68" s="2"/>
      <c r="R68" s="6">
        <f t="shared" si="40"/>
        <v>1.954953120224177E-2</v>
      </c>
      <c r="S68" s="2"/>
      <c r="T68" s="7">
        <v>1150</v>
      </c>
      <c r="U68" s="2"/>
      <c r="V68" s="6">
        <f t="shared" si="41"/>
        <v>1.9514224766877131E-2</v>
      </c>
      <c r="W68" s="2"/>
      <c r="X68" s="7">
        <f t="shared" si="42"/>
        <v>0</v>
      </c>
      <c r="Y68" s="2"/>
      <c r="Z68" s="6">
        <f t="shared" si="43"/>
        <v>0</v>
      </c>
    </row>
    <row r="69" spans="1:26" s="28" customFormat="1" outlineLevel="1" collapsed="1" x14ac:dyDescent="0.25">
      <c r="A69" s="27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SUM(OSRRefD22_14x_0)</f>
        <v>1762.79</v>
      </c>
      <c r="E69" s="1"/>
      <c r="F69" s="5">
        <f t="shared" si="36"/>
        <v>2.9966711398260668E-2</v>
      </c>
      <c r="G69" s="1"/>
      <c r="H69" s="1">
        <f>SUM(OSRRefH22_14x_0)</f>
        <v>537.67999999999995</v>
      </c>
      <c r="I69" s="1"/>
      <c r="J69" s="5">
        <f t="shared" si="37"/>
        <v>9.1238333675256484E-3</v>
      </c>
      <c r="K69" s="1"/>
      <c r="L69" s="1">
        <f t="shared" si="38"/>
        <v>1225.1100000000001</v>
      </c>
      <c r="M69" s="1"/>
      <c r="N69" s="5">
        <f t="shared" si="39"/>
        <v>2.2785113822347869</v>
      </c>
      <c r="O69" s="14"/>
      <c r="P69" s="1">
        <f>SUM(OSRRefP22_14x_0)</f>
        <v>1762.79</v>
      </c>
      <c r="Q69" s="1"/>
      <c r="R69" s="5">
        <f t="shared" si="40"/>
        <v>2.9966711398260668E-2</v>
      </c>
      <c r="S69" s="1"/>
      <c r="T69" s="1">
        <f>SUM(OSRRefT22_14x_0)</f>
        <v>537.67999999999995</v>
      </c>
      <c r="U69" s="1"/>
      <c r="V69" s="5">
        <f t="shared" si="41"/>
        <v>9.1238333675256484E-3</v>
      </c>
      <c r="W69" s="1"/>
      <c r="X69" s="1">
        <f t="shared" si="42"/>
        <v>1225.1100000000001</v>
      </c>
      <c r="Y69" s="1"/>
      <c r="Z69" s="5">
        <f t="shared" si="43"/>
        <v>2.2785113822347869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1762.79</v>
      </c>
      <c r="E70" s="2"/>
      <c r="F70" s="6">
        <f t="shared" si="36"/>
        <v>2.9966711398260668E-2</v>
      </c>
      <c r="G70" s="2"/>
      <c r="H70" s="7">
        <v>537.67999999999995</v>
      </c>
      <c r="I70" s="2"/>
      <c r="J70" s="6">
        <f t="shared" si="37"/>
        <v>9.1238333675256484E-3</v>
      </c>
      <c r="K70" s="2"/>
      <c r="L70" s="7">
        <f t="shared" si="38"/>
        <v>1225.1100000000001</v>
      </c>
      <c r="M70" s="2"/>
      <c r="N70" s="6">
        <f t="shared" si="39"/>
        <v>2.2785113822347869</v>
      </c>
      <c r="O70" s="11"/>
      <c r="P70" s="7">
        <v>1762.79</v>
      </c>
      <c r="Q70" s="2"/>
      <c r="R70" s="6">
        <f t="shared" si="40"/>
        <v>2.9966711398260668E-2</v>
      </c>
      <c r="S70" s="2"/>
      <c r="T70" s="7">
        <v>537.67999999999995</v>
      </c>
      <c r="U70" s="2"/>
      <c r="V70" s="6">
        <f t="shared" si="41"/>
        <v>9.1238333675256484E-3</v>
      </c>
      <c r="W70" s="2"/>
      <c r="X70" s="7">
        <f t="shared" si="42"/>
        <v>1225.1100000000001</v>
      </c>
      <c r="Y70" s="2"/>
      <c r="Z70" s="6">
        <f t="shared" si="43"/>
        <v>2.2785113822347869</v>
      </c>
    </row>
    <row r="71" spans="1:26" s="28" customFormat="1" outlineLevel="1" collapsed="1" x14ac:dyDescent="0.25">
      <c r="A71" s="27"/>
      <c r="B71" s="14" t="str">
        <f>CONCATENATE("     ","Royalty &amp; Commissions                             ")</f>
        <v xml:space="preserve">     Royalty &amp; Commissions                             </v>
      </c>
      <c r="C71" s="14"/>
      <c r="D71" s="1">
        <f>SUM(OSRRefD22_15x_0)</f>
        <v>0</v>
      </c>
      <c r="E71" s="1"/>
      <c r="F71" s="5">
        <f t="shared" si="36"/>
        <v>0</v>
      </c>
      <c r="G71" s="1"/>
      <c r="H71" s="1">
        <f>SUM(OSRRefH22_15x_0)</f>
        <v>441.3</v>
      </c>
      <c r="I71" s="1"/>
      <c r="J71" s="5">
        <f t="shared" si="37"/>
        <v>7.4883716431503287E-3</v>
      </c>
      <c r="K71" s="1"/>
      <c r="L71" s="1">
        <f t="shared" si="38"/>
        <v>-441.3</v>
      </c>
      <c r="M71" s="1"/>
      <c r="N71" s="5">
        <f t="shared" si="39"/>
        <v>-1</v>
      </c>
      <c r="O71" s="14"/>
      <c r="P71" s="1">
        <f>SUM(OSRRefP22_15x_0)</f>
        <v>0</v>
      </c>
      <c r="Q71" s="1"/>
      <c r="R71" s="5">
        <f t="shared" si="40"/>
        <v>0</v>
      </c>
      <c r="S71" s="1"/>
      <c r="T71" s="1">
        <f>SUM(OSRRefT22_15x_0)</f>
        <v>441.3</v>
      </c>
      <c r="U71" s="1"/>
      <c r="V71" s="5">
        <f t="shared" si="41"/>
        <v>7.4883716431503287E-3</v>
      </c>
      <c r="W71" s="1"/>
      <c r="X71" s="1">
        <f t="shared" si="42"/>
        <v>-441.3</v>
      </c>
      <c r="Y71" s="1"/>
      <c r="Z71" s="5">
        <f t="shared" si="43"/>
        <v>-1</v>
      </c>
    </row>
    <row r="72" spans="1:26" s="24" customFormat="1" hidden="1" outlineLevel="2" x14ac:dyDescent="0.25">
      <c r="A72" s="29"/>
      <c r="B72" s="11" t="str">
        <f>CONCATENATE("          ", "6254", " - ", "ROYALTY &amp; COMMISSIONS")</f>
        <v xml:space="preserve">          6254 - ROYALTY &amp; COMMISSIONS</v>
      </c>
      <c r="C72" s="11"/>
      <c r="D72" s="7"/>
      <c r="E72" s="2"/>
      <c r="F72" s="6">
        <f t="shared" si="36"/>
        <v>0</v>
      </c>
      <c r="G72" s="2"/>
      <c r="H72" s="7">
        <v>441.3</v>
      </c>
      <c r="I72" s="2"/>
      <c r="J72" s="6">
        <f t="shared" si="37"/>
        <v>7.4883716431503287E-3</v>
      </c>
      <c r="K72" s="2"/>
      <c r="L72" s="7">
        <f t="shared" si="38"/>
        <v>-441.3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441.3</v>
      </c>
      <c r="U72" s="2"/>
      <c r="V72" s="6">
        <f t="shared" si="41"/>
        <v>7.4883716431503287E-3</v>
      </c>
      <c r="W72" s="2"/>
      <c r="X72" s="7">
        <f t="shared" si="42"/>
        <v>-441.3</v>
      </c>
      <c r="Y72" s="2"/>
      <c r="Z72" s="6">
        <f t="shared" si="43"/>
        <v>-1</v>
      </c>
    </row>
    <row r="73" spans="1:26" s="28" customFormat="1" outlineLevel="1" collapsed="1" x14ac:dyDescent="0.25">
      <c r="A73" s="27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SUM(OSRRefD22_16x_0)</f>
        <v>1452.44</v>
      </c>
      <c r="E73" s="1"/>
      <c r="F73" s="5">
        <f t="shared" si="36"/>
        <v>2.4690887912507859E-2</v>
      </c>
      <c r="G73" s="1"/>
      <c r="H73" s="1">
        <f>SUM(OSRRefH22_16x_0)</f>
        <v>1499.45</v>
      </c>
      <c r="I73" s="1"/>
      <c r="J73" s="5">
        <f t="shared" si="37"/>
        <v>2.5444003762342536E-2</v>
      </c>
      <c r="K73" s="1"/>
      <c r="L73" s="1">
        <f t="shared" si="38"/>
        <v>-47.009999999999991</v>
      </c>
      <c r="M73" s="1"/>
      <c r="N73" s="5">
        <f t="shared" si="39"/>
        <v>-3.1351495548367726E-2</v>
      </c>
      <c r="O73" s="14"/>
      <c r="P73" s="1">
        <f>SUM(OSRRefP22_16x_0)</f>
        <v>1452.44</v>
      </c>
      <c r="Q73" s="1"/>
      <c r="R73" s="5">
        <f t="shared" si="40"/>
        <v>2.4690887912507859E-2</v>
      </c>
      <c r="S73" s="1"/>
      <c r="T73" s="1">
        <f>SUM(OSRRefT22_16x_0)</f>
        <v>1499.45</v>
      </c>
      <c r="U73" s="1"/>
      <c r="V73" s="5">
        <f t="shared" si="41"/>
        <v>2.5444003762342536E-2</v>
      </c>
      <c r="W73" s="1"/>
      <c r="X73" s="1">
        <f t="shared" si="42"/>
        <v>-47.009999999999991</v>
      </c>
      <c r="Y73" s="1"/>
      <c r="Z73" s="5">
        <f t="shared" si="43"/>
        <v>-3.1351495548367726E-2</v>
      </c>
    </row>
    <row r="74" spans="1:26" s="24" customFormat="1" hidden="1" outlineLevel="2" x14ac:dyDescent="0.25">
      <c r="A74" s="29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602.09</v>
      </c>
      <c r="E74" s="2"/>
      <c r="F74" s="6">
        <f t="shared" si="36"/>
        <v>1.0235284557876301E-2</v>
      </c>
      <c r="G74" s="2"/>
      <c r="H74" s="7">
        <v>602.09</v>
      </c>
      <c r="I74" s="2"/>
      <c r="J74" s="6">
        <f t="shared" si="37"/>
        <v>1.0216799643381784E-2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>
        <v>602.09</v>
      </c>
      <c r="Q74" s="2"/>
      <c r="R74" s="6">
        <f t="shared" si="40"/>
        <v>1.0235284557876301E-2</v>
      </c>
      <c r="S74" s="2"/>
      <c r="T74" s="7">
        <v>602.09</v>
      </c>
      <c r="U74" s="2"/>
      <c r="V74" s="6">
        <f t="shared" si="41"/>
        <v>1.0216799643381784E-2</v>
      </c>
      <c r="W74" s="2"/>
      <c r="X74" s="7">
        <f t="shared" si="42"/>
        <v>0</v>
      </c>
      <c r="Y74" s="2"/>
      <c r="Z74" s="6">
        <f t="shared" si="43"/>
        <v>0</v>
      </c>
    </row>
    <row r="75" spans="1:26" s="24" customFormat="1" hidden="1" outlineLevel="2" x14ac:dyDescent="0.25">
      <c r="A75" s="29"/>
      <c r="B75" s="11" t="str">
        <f>CONCATENATE("          ", "6284", " - ", "TRASH REMOVAL EXPENSE")</f>
        <v xml:space="preserve">          6284 - TRASH REMOVAL EXPENSE</v>
      </c>
      <c r="C75" s="11"/>
      <c r="D75" s="7">
        <v>237</v>
      </c>
      <c r="E75" s="2"/>
      <c r="F75" s="6">
        <f t="shared" si="36"/>
        <v>4.0289033868967823E-3</v>
      </c>
      <c r="G75" s="2"/>
      <c r="H75" s="7">
        <v>180</v>
      </c>
      <c r="I75" s="2"/>
      <c r="J75" s="6">
        <f t="shared" si="37"/>
        <v>3.0544003982938116E-3</v>
      </c>
      <c r="K75" s="2"/>
      <c r="L75" s="7">
        <f t="shared" si="38"/>
        <v>57</v>
      </c>
      <c r="M75" s="2"/>
      <c r="N75" s="6">
        <f t="shared" si="39"/>
        <v>0.31666666666666665</v>
      </c>
      <c r="O75" s="11"/>
      <c r="P75" s="7">
        <v>237</v>
      </c>
      <c r="Q75" s="2"/>
      <c r="R75" s="6">
        <f t="shared" si="40"/>
        <v>4.0289033868967823E-3</v>
      </c>
      <c r="S75" s="2"/>
      <c r="T75" s="7">
        <v>180</v>
      </c>
      <c r="U75" s="2"/>
      <c r="V75" s="6">
        <f t="shared" si="41"/>
        <v>3.0544003982938116E-3</v>
      </c>
      <c r="W75" s="2"/>
      <c r="X75" s="7">
        <f t="shared" si="42"/>
        <v>57</v>
      </c>
      <c r="Y75" s="2"/>
      <c r="Z75" s="6">
        <f t="shared" si="43"/>
        <v>0.31666666666666665</v>
      </c>
    </row>
    <row r="76" spans="1:26" s="24" customFormat="1" hidden="1" outlineLevel="2" x14ac:dyDescent="0.25">
      <c r="A76" s="29"/>
      <c r="B76" s="11" t="str">
        <f>CONCATENATE("          ", "6285", " - ", "JANITORIAL SERVICES")</f>
        <v xml:space="preserve">          6285 - JANITORIAL SERVICES</v>
      </c>
      <c r="C76" s="11"/>
      <c r="D76" s="7">
        <v>22.62</v>
      </c>
      <c r="E76" s="2"/>
      <c r="F76" s="6">
        <f t="shared" si="36"/>
        <v>3.8453077895192071E-4</v>
      </c>
      <c r="G76" s="2"/>
      <c r="H76" s="7">
        <v>116.25</v>
      </c>
      <c r="I76" s="2"/>
      <c r="J76" s="6">
        <f t="shared" si="37"/>
        <v>1.9726335905647535E-3</v>
      </c>
      <c r="K76" s="2"/>
      <c r="L76" s="7">
        <f t="shared" si="38"/>
        <v>-93.63</v>
      </c>
      <c r="M76" s="2"/>
      <c r="N76" s="6">
        <f t="shared" si="39"/>
        <v>-0.80541935483870963</v>
      </c>
      <c r="O76" s="11"/>
      <c r="P76" s="7">
        <v>22.62</v>
      </c>
      <c r="Q76" s="2"/>
      <c r="R76" s="6">
        <f t="shared" si="40"/>
        <v>3.8453077895192071E-4</v>
      </c>
      <c r="S76" s="2"/>
      <c r="T76" s="7">
        <v>116.25</v>
      </c>
      <c r="U76" s="2"/>
      <c r="V76" s="6">
        <f t="shared" si="41"/>
        <v>1.9726335905647535E-3</v>
      </c>
      <c r="W76" s="2"/>
      <c r="X76" s="7">
        <f t="shared" si="42"/>
        <v>-93.63</v>
      </c>
      <c r="Y76" s="2"/>
      <c r="Z76" s="6">
        <f t="shared" si="43"/>
        <v>-0.80541935483870963</v>
      </c>
    </row>
    <row r="77" spans="1:26" s="24" customFormat="1" hidden="1" outlineLevel="2" x14ac:dyDescent="0.25">
      <c r="A77" s="29"/>
      <c r="B77" s="11" t="str">
        <f>CONCATENATE("          ", "6286", " - ", "LAUNDRY EXPENSE")</f>
        <v xml:space="preserve">          6286 - LAUNDRY EXPENSE</v>
      </c>
      <c r="C77" s="11"/>
      <c r="D77" s="7">
        <v>590.73</v>
      </c>
      <c r="E77" s="2"/>
      <c r="F77" s="6">
        <f t="shared" si="36"/>
        <v>1.0042169188782852E-2</v>
      </c>
      <c r="G77" s="2"/>
      <c r="H77" s="7">
        <v>601.11</v>
      </c>
      <c r="I77" s="2"/>
      <c r="J77" s="6">
        <f t="shared" si="37"/>
        <v>1.0200170130102184E-2</v>
      </c>
      <c r="K77" s="2"/>
      <c r="L77" s="7">
        <f t="shared" si="38"/>
        <v>-10.379999999999995</v>
      </c>
      <c r="M77" s="2"/>
      <c r="N77" s="6">
        <f t="shared" si="39"/>
        <v>-1.7268054099915151E-2</v>
      </c>
      <c r="O77" s="11"/>
      <c r="P77" s="7">
        <v>590.73</v>
      </c>
      <c r="Q77" s="2"/>
      <c r="R77" s="6">
        <f t="shared" si="40"/>
        <v>1.0042169188782852E-2</v>
      </c>
      <c r="S77" s="2"/>
      <c r="T77" s="7">
        <v>601.11</v>
      </c>
      <c r="U77" s="2"/>
      <c r="V77" s="6">
        <f t="shared" si="41"/>
        <v>1.0200170130102184E-2</v>
      </c>
      <c r="W77" s="2"/>
      <c r="X77" s="7">
        <f t="shared" si="42"/>
        <v>-10.379999999999995</v>
      </c>
      <c r="Y77" s="2"/>
      <c r="Z77" s="6">
        <f t="shared" si="43"/>
        <v>-1.7268054099915151E-2</v>
      </c>
    </row>
    <row r="78" spans="1:26" s="28" customFormat="1" outlineLevel="1" collapsed="1" x14ac:dyDescent="0.25">
      <c r="A78" s="27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SUM(OSRRefD22_17x_0)</f>
        <v>176.4</v>
      </c>
      <c r="E78" s="1"/>
      <c r="F78" s="5">
        <f t="shared" ref="F78:F80" si="44">IF(D$12=0,0,D78/D$12)</f>
        <v>2.9987280905003897E-3</v>
      </c>
      <c r="G78" s="1"/>
      <c r="H78" s="1">
        <f>SUM(OSRRefH22_17x_0)</f>
        <v>31.8</v>
      </c>
      <c r="I78" s="1"/>
      <c r="J78" s="5">
        <f t="shared" ref="J78:J80" si="45">IF(H$12=0,0,H78/H$12)</f>
        <v>5.396107370319068E-4</v>
      </c>
      <c r="K78" s="1"/>
      <c r="L78" s="1">
        <f t="shared" ref="L78:L80" si="46">+D78-H78</f>
        <v>144.6</v>
      </c>
      <c r="M78" s="1"/>
      <c r="N78" s="5">
        <f t="shared" ref="N78:N80" si="47">IF(H78=0,0,L78/H78)</f>
        <v>4.5471698113207548</v>
      </c>
      <c r="O78" s="14"/>
      <c r="P78" s="1">
        <f>SUM(OSRRefP22_17x_0)</f>
        <v>176.4</v>
      </c>
      <c r="Q78" s="1"/>
      <c r="R78" s="5">
        <f t="shared" ref="R78:R80" si="48">IF(P$12=0,0,P78/P$12)</f>
        <v>2.9987280905003897E-3</v>
      </c>
      <c r="S78" s="1"/>
      <c r="T78" s="1">
        <f>SUM(OSRRefT22_17x_0)</f>
        <v>31.8</v>
      </c>
      <c r="U78" s="1"/>
      <c r="V78" s="5">
        <f t="shared" ref="V78:V80" si="49">IF(T$12=0,0,T78/T$12)</f>
        <v>5.396107370319068E-4</v>
      </c>
      <c r="W78" s="1"/>
      <c r="X78" s="1">
        <f t="shared" ref="X78:X80" si="50">+P78-T78</f>
        <v>144.6</v>
      </c>
      <c r="Y78" s="1"/>
      <c r="Z78" s="5">
        <f t="shared" ref="Z78:Z80" si="51">IF(T78=0,0,X78/T78)</f>
        <v>4.5471698113207548</v>
      </c>
    </row>
    <row r="79" spans="1:26" s="24" customFormat="1" hidden="1" outlineLevel="2" x14ac:dyDescent="0.25">
      <c r="A79" s="29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>
        <v>31.8</v>
      </c>
      <c r="I79" s="2"/>
      <c r="J79" s="6">
        <f t="shared" si="45"/>
        <v>5.396107370319068E-4</v>
      </c>
      <c r="K79" s="2"/>
      <c r="L79" s="7">
        <f t="shared" si="46"/>
        <v>-31.8</v>
      </c>
      <c r="M79" s="2"/>
      <c r="N79" s="6">
        <f t="shared" si="47"/>
        <v>-1</v>
      </c>
      <c r="O79" s="11"/>
      <c r="P79" s="7"/>
      <c r="Q79" s="2"/>
      <c r="R79" s="6">
        <f t="shared" si="48"/>
        <v>0</v>
      </c>
      <c r="S79" s="2"/>
      <c r="T79" s="7">
        <v>31.8</v>
      </c>
      <c r="U79" s="2"/>
      <c r="V79" s="6">
        <f t="shared" si="49"/>
        <v>5.396107370319068E-4</v>
      </c>
      <c r="W79" s="2"/>
      <c r="X79" s="7">
        <f t="shared" si="50"/>
        <v>-31.8</v>
      </c>
      <c r="Y79" s="2"/>
      <c r="Z79" s="6">
        <f t="shared" si="51"/>
        <v>-1</v>
      </c>
    </row>
    <row r="80" spans="1:26" s="24" customFormat="1" hidden="1" outlineLevel="2" x14ac:dyDescent="0.25">
      <c r="A80" s="29"/>
      <c r="B80" s="11" t="str">
        <f>CONCATENATE("          ", "6275", " - ", "SUBSCRIPTIONS")</f>
        <v xml:space="preserve">          6275 - SUBSCRIPTIONS</v>
      </c>
      <c r="C80" s="11"/>
      <c r="D80" s="7">
        <v>176.4</v>
      </c>
      <c r="E80" s="2"/>
      <c r="F80" s="6">
        <f t="shared" si="44"/>
        <v>2.9987280905003897E-3</v>
      </c>
      <c r="G80" s="2"/>
      <c r="H80" s="7"/>
      <c r="I80" s="2"/>
      <c r="J80" s="6">
        <f t="shared" si="45"/>
        <v>0</v>
      </c>
      <c r="K80" s="2"/>
      <c r="L80" s="7">
        <f t="shared" si="46"/>
        <v>176.4</v>
      </c>
      <c r="M80" s="2"/>
      <c r="N80" s="6">
        <f t="shared" si="47"/>
        <v>0</v>
      </c>
      <c r="O80" s="11"/>
      <c r="P80" s="7">
        <v>176.4</v>
      </c>
      <c r="Q80" s="2"/>
      <c r="R80" s="6">
        <f t="shared" si="48"/>
        <v>2.9987280905003897E-3</v>
      </c>
      <c r="S80" s="2"/>
      <c r="T80" s="7"/>
      <c r="U80" s="2"/>
      <c r="V80" s="6">
        <f t="shared" si="49"/>
        <v>0</v>
      </c>
      <c r="W80" s="2"/>
      <c r="X80" s="7">
        <f t="shared" si="50"/>
        <v>176.4</v>
      </c>
      <c r="Y80" s="2"/>
      <c r="Z80" s="6">
        <f t="shared" si="51"/>
        <v>0</v>
      </c>
    </row>
    <row r="81" spans="1:26" s="28" customFormat="1" outlineLevel="1" collapsed="1" x14ac:dyDescent="0.25">
      <c r="A81" s="27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SUM(OSRRefD22_18x_0)</f>
        <v>7402.15</v>
      </c>
      <c r="E81" s="1"/>
      <c r="F81" s="5">
        <f t="shared" ref="F81:F86" si="52">IF(D$12=0,0,D81/D$12)</f>
        <v>0.12583353251189036</v>
      </c>
      <c r="G81" s="1"/>
      <c r="H81" s="1">
        <f>SUM(OSRRefH22_18x_0)</f>
        <v>2523.2199999999998</v>
      </c>
      <c r="I81" s="1"/>
      <c r="J81" s="5">
        <f t="shared" ref="J81:J86" si="53">IF(H$12=0,0,H81/H$12)</f>
        <v>4.2816245405460619E-2</v>
      </c>
      <c r="K81" s="1"/>
      <c r="L81" s="1">
        <f t="shared" ref="L81:L86" si="54">+D81-H81</f>
        <v>4878.93</v>
      </c>
      <c r="M81" s="1"/>
      <c r="N81" s="5">
        <f t="shared" ref="N81:N86" si="55">IF(H81=0,0,L81/H81)</f>
        <v>1.9336126061144097</v>
      </c>
      <c r="O81" s="14"/>
      <c r="P81" s="1">
        <f>SUM(OSRRefP22_18x_0)</f>
        <v>7402.15</v>
      </c>
      <c r="Q81" s="1"/>
      <c r="R81" s="5">
        <f t="shared" ref="R81:R86" si="56">IF(P$12=0,0,P81/P$12)</f>
        <v>0.12583353251189036</v>
      </c>
      <c r="S81" s="1"/>
      <c r="T81" s="1">
        <f>SUM(OSRRefT22_18x_0)</f>
        <v>2523.2199999999998</v>
      </c>
      <c r="U81" s="1"/>
      <c r="V81" s="5">
        <f t="shared" ref="V81:V86" si="57">IF(T$12=0,0,T81/T$12)</f>
        <v>4.2816245405460619E-2</v>
      </c>
      <c r="W81" s="1"/>
      <c r="X81" s="1">
        <f t="shared" ref="X81:X86" si="58">+P81-T81</f>
        <v>4878.93</v>
      </c>
      <c r="Y81" s="1"/>
      <c r="Z81" s="5">
        <f t="shared" ref="Z81:Z86" si="59">IF(T81=0,0,X81/T81)</f>
        <v>1.9336126061144097</v>
      </c>
    </row>
    <row r="82" spans="1:26" s="24" customFormat="1" hidden="1" outlineLevel="2" x14ac:dyDescent="0.25">
      <c r="A82" s="29"/>
      <c r="B82" s="11" t="str">
        <f>CONCATENATE("          ", "6237", " - ", "JANITORIAL SUPPLIES")</f>
        <v xml:space="preserve">          6237 - JANITORIAL SUPPLIES</v>
      </c>
      <c r="C82" s="11"/>
      <c r="D82" s="7">
        <v>377.32</v>
      </c>
      <c r="E82" s="2"/>
      <c r="F82" s="6">
        <f t="shared" si="52"/>
        <v>6.4142861854172735E-3</v>
      </c>
      <c r="G82" s="2"/>
      <c r="H82" s="7">
        <v>264.87</v>
      </c>
      <c r="I82" s="2"/>
      <c r="J82" s="6">
        <f t="shared" si="53"/>
        <v>4.4945501860893444E-3</v>
      </c>
      <c r="K82" s="2"/>
      <c r="L82" s="7">
        <f t="shared" si="54"/>
        <v>112.44999999999999</v>
      </c>
      <c r="M82" s="2"/>
      <c r="N82" s="6">
        <f t="shared" si="55"/>
        <v>0.42454789141843163</v>
      </c>
      <c r="O82" s="11"/>
      <c r="P82" s="7">
        <v>377.32</v>
      </c>
      <c r="Q82" s="2"/>
      <c r="R82" s="6">
        <f t="shared" si="56"/>
        <v>6.4142861854172735E-3</v>
      </c>
      <c r="S82" s="2"/>
      <c r="T82" s="7">
        <v>264.87</v>
      </c>
      <c r="U82" s="2"/>
      <c r="V82" s="6">
        <f t="shared" si="57"/>
        <v>4.4945501860893444E-3</v>
      </c>
      <c r="W82" s="2"/>
      <c r="X82" s="7">
        <f t="shared" si="58"/>
        <v>112.44999999999999</v>
      </c>
      <c r="Y82" s="2"/>
      <c r="Z82" s="6">
        <f t="shared" si="59"/>
        <v>0.42454789141843163</v>
      </c>
    </row>
    <row r="83" spans="1:26" s="24" customFormat="1" hidden="1" outlineLevel="2" x14ac:dyDescent="0.25">
      <c r="A83" s="29"/>
      <c r="B83" s="11" t="str">
        <f>CONCATENATE("          ", "6241", " - ", "OFFICE EXPENSE")</f>
        <v xml:space="preserve">          6241 - OFFICE EXPENSE</v>
      </c>
      <c r="C83" s="11"/>
      <c r="D83" s="7">
        <v>273.74</v>
      </c>
      <c r="E83" s="2"/>
      <c r="F83" s="6">
        <f t="shared" si="52"/>
        <v>4.6534684098275322E-3</v>
      </c>
      <c r="G83" s="2"/>
      <c r="H83" s="7">
        <v>2079.14</v>
      </c>
      <c r="I83" s="2"/>
      <c r="J83" s="6">
        <f t="shared" si="53"/>
        <v>3.5280700245047751E-2</v>
      </c>
      <c r="K83" s="2"/>
      <c r="L83" s="7">
        <f t="shared" si="54"/>
        <v>-1805.3999999999999</v>
      </c>
      <c r="M83" s="2"/>
      <c r="N83" s="6">
        <f t="shared" si="55"/>
        <v>-0.86833979433804365</v>
      </c>
      <c r="O83" s="11"/>
      <c r="P83" s="7">
        <v>273.74</v>
      </c>
      <c r="Q83" s="2"/>
      <c r="R83" s="6">
        <f t="shared" si="56"/>
        <v>4.6534684098275322E-3</v>
      </c>
      <c r="S83" s="2"/>
      <c r="T83" s="7">
        <v>2079.14</v>
      </c>
      <c r="U83" s="2"/>
      <c r="V83" s="6">
        <f t="shared" si="57"/>
        <v>3.5280700245047751E-2</v>
      </c>
      <c r="W83" s="2"/>
      <c r="X83" s="7">
        <f t="shared" si="58"/>
        <v>-1805.3999999999999</v>
      </c>
      <c r="Y83" s="2"/>
      <c r="Z83" s="6">
        <f t="shared" si="59"/>
        <v>-0.86833979433804365</v>
      </c>
    </row>
    <row r="84" spans="1:26" s="24" customFormat="1" hidden="1" outlineLevel="2" x14ac:dyDescent="0.25">
      <c r="A84" s="29"/>
      <c r="B84" s="11" t="str">
        <f>CONCATENATE("          ", "6243", " - ", "PAPER SUPPLIES")</f>
        <v xml:space="preserve">          6243 - PAPER SUPPLIES</v>
      </c>
      <c r="C84" s="11"/>
      <c r="D84" s="7"/>
      <c r="E84" s="2"/>
      <c r="F84" s="6">
        <f t="shared" si="52"/>
        <v>0</v>
      </c>
      <c r="G84" s="2"/>
      <c r="H84" s="7">
        <v>278.08</v>
      </c>
      <c r="I84" s="2"/>
      <c r="J84" s="6">
        <f t="shared" si="53"/>
        <v>4.718709237541906E-3</v>
      </c>
      <c r="K84" s="2"/>
      <c r="L84" s="7">
        <f t="shared" si="54"/>
        <v>-278.08</v>
      </c>
      <c r="M84" s="2"/>
      <c r="N84" s="6">
        <f t="shared" si="55"/>
        <v>-1</v>
      </c>
      <c r="O84" s="11"/>
      <c r="P84" s="7"/>
      <c r="Q84" s="2"/>
      <c r="R84" s="6">
        <f t="shared" si="56"/>
        <v>0</v>
      </c>
      <c r="S84" s="2"/>
      <c r="T84" s="7">
        <v>278.08</v>
      </c>
      <c r="U84" s="2"/>
      <c r="V84" s="6">
        <f t="shared" si="57"/>
        <v>4.718709237541906E-3</v>
      </c>
      <c r="W84" s="2"/>
      <c r="X84" s="7">
        <f t="shared" si="58"/>
        <v>-278.08</v>
      </c>
      <c r="Y84" s="2"/>
      <c r="Z84" s="6">
        <f t="shared" si="59"/>
        <v>-1</v>
      </c>
    </row>
    <row r="85" spans="1:26" s="24" customFormat="1" hidden="1" outlineLevel="2" x14ac:dyDescent="0.25">
      <c r="A85" s="29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52"/>
        <v>0</v>
      </c>
      <c r="G85" s="2"/>
      <c r="H85" s="7">
        <v>51.82</v>
      </c>
      <c r="I85" s="2"/>
      <c r="J85" s="6">
        <f t="shared" si="53"/>
        <v>8.7932793688658519E-4</v>
      </c>
      <c r="K85" s="2"/>
      <c r="L85" s="7">
        <f t="shared" si="54"/>
        <v>-51.82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51.82</v>
      </c>
      <c r="U85" s="2"/>
      <c r="V85" s="6">
        <f t="shared" si="57"/>
        <v>8.7932793688658519E-4</v>
      </c>
      <c r="W85" s="2"/>
      <c r="X85" s="7">
        <f t="shared" si="58"/>
        <v>-51.82</v>
      </c>
      <c r="Y85" s="2"/>
      <c r="Z85" s="6">
        <f t="shared" si="59"/>
        <v>-1</v>
      </c>
    </row>
    <row r="86" spans="1:26" s="24" customFormat="1" hidden="1" outlineLevel="2" x14ac:dyDescent="0.25">
      <c r="A86" s="29"/>
      <c r="B86" s="11" t="str">
        <f>CONCATENATE("          ", "6247", " - ", "STORE SUPPLIES")</f>
        <v xml:space="preserve">          6247 - STORE SUPPLIES</v>
      </c>
      <c r="C86" s="11"/>
      <c r="D86" s="7">
        <v>6751.09</v>
      </c>
      <c r="E86" s="2"/>
      <c r="F86" s="6">
        <f t="shared" si="52"/>
        <v>0.11476577791664555</v>
      </c>
      <c r="G86" s="2"/>
      <c r="H86" s="7">
        <v>-150.69</v>
      </c>
      <c r="I86" s="2"/>
      <c r="J86" s="6">
        <f t="shared" si="53"/>
        <v>-2.5570422001049693E-3</v>
      </c>
      <c r="K86" s="2"/>
      <c r="L86" s="7">
        <f t="shared" si="54"/>
        <v>6901.78</v>
      </c>
      <c r="M86" s="2"/>
      <c r="N86" s="6">
        <f t="shared" si="55"/>
        <v>-45.801181232994892</v>
      </c>
      <c r="O86" s="11"/>
      <c r="P86" s="7">
        <v>6751.09</v>
      </c>
      <c r="Q86" s="2"/>
      <c r="R86" s="6">
        <f t="shared" si="56"/>
        <v>0.11476577791664555</v>
      </c>
      <c r="S86" s="2"/>
      <c r="T86" s="7">
        <v>-150.69</v>
      </c>
      <c r="U86" s="2"/>
      <c r="V86" s="6">
        <f t="shared" si="57"/>
        <v>-2.5570422001049693E-3</v>
      </c>
      <c r="W86" s="2"/>
      <c r="X86" s="7">
        <f t="shared" si="58"/>
        <v>6901.78</v>
      </c>
      <c r="Y86" s="2"/>
      <c r="Z86" s="6">
        <f t="shared" si="59"/>
        <v>-45.801181232994892</v>
      </c>
    </row>
    <row r="87" spans="1:26" s="28" customFormat="1" outlineLevel="1" collapsed="1" x14ac:dyDescent="0.25">
      <c r="A87" s="27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SUM(OSRRefD22_19x_0)</f>
        <v>236.81</v>
      </c>
      <c r="E87" s="1"/>
      <c r="F87" s="5">
        <f t="shared" ref="F87:F92" si="60">IF(D$12=0,0,D87/D$12)</f>
        <v>4.0256734643503251E-3</v>
      </c>
      <c r="G87" s="1"/>
      <c r="H87" s="1">
        <f>SUM(OSRRefH22_19x_0)</f>
        <v>307.01</v>
      </c>
      <c r="I87" s="1"/>
      <c r="J87" s="5">
        <f t="shared" ref="J87:J92" si="61">IF(H$12=0,0,H87/H$12)</f>
        <v>5.2096192571121289E-3</v>
      </c>
      <c r="K87" s="1"/>
      <c r="L87" s="1">
        <f t="shared" ref="L87:L92" si="62">+D87-H87</f>
        <v>-70.199999999999989</v>
      </c>
      <c r="M87" s="1"/>
      <c r="N87" s="5">
        <f t="shared" ref="N87:N92" si="63">IF(H87=0,0,L87/H87)</f>
        <v>-0.22865704700172629</v>
      </c>
      <c r="O87" s="14"/>
      <c r="P87" s="1">
        <f>SUM(OSRRefP22_19x_0)</f>
        <v>236.81</v>
      </c>
      <c r="Q87" s="1"/>
      <c r="R87" s="5">
        <f t="shared" ref="R87:R92" si="64">IF(P$12=0,0,P87/P$12)</f>
        <v>4.0256734643503251E-3</v>
      </c>
      <c r="S87" s="1"/>
      <c r="T87" s="1">
        <f>SUM(OSRRefT22_19x_0)</f>
        <v>307.01</v>
      </c>
      <c r="U87" s="1"/>
      <c r="V87" s="5">
        <f t="shared" ref="V87:V92" si="65">IF(T$12=0,0,T87/T$12)</f>
        <v>5.2096192571121289E-3</v>
      </c>
      <c r="W87" s="1"/>
      <c r="X87" s="1">
        <f t="shared" ref="X87:X92" si="66">+P87-T87</f>
        <v>-70.199999999999989</v>
      </c>
      <c r="Y87" s="1"/>
      <c r="Z87" s="5">
        <f t="shared" ref="Z87:Z92" si="67">IF(T87=0,0,X87/T87)</f>
        <v>-0.22865704700172629</v>
      </c>
    </row>
    <row r="88" spans="1:26" s="24" customFormat="1" hidden="1" outlineLevel="2" x14ac:dyDescent="0.25">
      <c r="A88" s="29"/>
      <c r="B88" s="11" t="str">
        <f>CONCATENATE("          ", "6309", " - ", "TELEPHONE")</f>
        <v xml:space="preserve">          6309 - TELEPHONE</v>
      </c>
      <c r="C88" s="11"/>
      <c r="D88" s="7">
        <v>236.81</v>
      </c>
      <c r="E88" s="2"/>
      <c r="F88" s="6">
        <f t="shared" si="60"/>
        <v>4.0256734643503251E-3</v>
      </c>
      <c r="G88" s="2"/>
      <c r="H88" s="7">
        <v>307.01</v>
      </c>
      <c r="I88" s="2"/>
      <c r="J88" s="6">
        <f t="shared" si="61"/>
        <v>5.2096192571121289E-3</v>
      </c>
      <c r="K88" s="2"/>
      <c r="L88" s="7">
        <f t="shared" si="62"/>
        <v>-70.199999999999989</v>
      </c>
      <c r="M88" s="2"/>
      <c r="N88" s="6">
        <f t="shared" si="63"/>
        <v>-0.22865704700172629</v>
      </c>
      <c r="O88" s="11"/>
      <c r="P88" s="7">
        <v>236.81</v>
      </c>
      <c r="Q88" s="2"/>
      <c r="R88" s="6">
        <f t="shared" si="64"/>
        <v>4.0256734643503251E-3</v>
      </c>
      <c r="S88" s="2"/>
      <c r="T88" s="7">
        <v>307.01</v>
      </c>
      <c r="U88" s="2"/>
      <c r="V88" s="6">
        <f t="shared" si="65"/>
        <v>5.2096192571121289E-3</v>
      </c>
      <c r="W88" s="2"/>
      <c r="X88" s="7">
        <f t="shared" si="66"/>
        <v>-70.199999999999989</v>
      </c>
      <c r="Y88" s="2"/>
      <c r="Z88" s="6">
        <f t="shared" si="67"/>
        <v>-0.22865704700172629</v>
      </c>
    </row>
    <row r="89" spans="1:26" s="28" customFormat="1" outlineLevel="1" collapsed="1" x14ac:dyDescent="0.25">
      <c r="A89" s="27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SUM(OSRRefD22_20x_0)</f>
        <v>0</v>
      </c>
      <c r="E89" s="1"/>
      <c r="F89" s="5">
        <f t="shared" si="60"/>
        <v>0</v>
      </c>
      <c r="G89" s="1"/>
      <c r="H89" s="1">
        <f>SUM(OSRRefH22_20x_0)</f>
        <v>98.82</v>
      </c>
      <c r="I89" s="1"/>
      <c r="J89" s="5">
        <f t="shared" si="61"/>
        <v>1.6768658186633026E-3</v>
      </c>
      <c r="K89" s="1"/>
      <c r="L89" s="1">
        <f t="shared" si="62"/>
        <v>-98.82</v>
      </c>
      <c r="M89" s="1"/>
      <c r="N89" s="5">
        <f t="shared" si="63"/>
        <v>-1</v>
      </c>
      <c r="O89" s="14"/>
      <c r="P89" s="1">
        <f>SUM(OSRRefP22_20x_0)</f>
        <v>0</v>
      </c>
      <c r="Q89" s="1"/>
      <c r="R89" s="5">
        <f t="shared" si="64"/>
        <v>0</v>
      </c>
      <c r="S89" s="1"/>
      <c r="T89" s="1">
        <f>SUM(OSRRefT22_20x_0)</f>
        <v>98.82</v>
      </c>
      <c r="U89" s="1"/>
      <c r="V89" s="5">
        <f t="shared" si="65"/>
        <v>1.6768658186633026E-3</v>
      </c>
      <c r="W89" s="1"/>
      <c r="X89" s="1">
        <f t="shared" si="66"/>
        <v>-98.82</v>
      </c>
      <c r="Y89" s="1"/>
      <c r="Z89" s="5">
        <f t="shared" si="67"/>
        <v>-1</v>
      </c>
    </row>
    <row r="90" spans="1:26" s="24" customFormat="1" hidden="1" outlineLevel="2" x14ac:dyDescent="0.25">
      <c r="A90" s="29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0"/>
        <v>0</v>
      </c>
      <c r="G90" s="2"/>
      <c r="H90" s="7">
        <v>98.82</v>
      </c>
      <c r="I90" s="2"/>
      <c r="J90" s="6">
        <f t="shared" si="61"/>
        <v>1.6768658186633026E-3</v>
      </c>
      <c r="K90" s="2"/>
      <c r="L90" s="7">
        <f t="shared" si="62"/>
        <v>-98.82</v>
      </c>
      <c r="M90" s="2"/>
      <c r="N90" s="6">
        <f t="shared" si="63"/>
        <v>-1</v>
      </c>
      <c r="O90" s="11"/>
      <c r="P90" s="7"/>
      <c r="Q90" s="2"/>
      <c r="R90" s="6">
        <f t="shared" si="64"/>
        <v>0</v>
      </c>
      <c r="S90" s="2"/>
      <c r="T90" s="7">
        <v>98.82</v>
      </c>
      <c r="U90" s="2"/>
      <c r="V90" s="6">
        <f t="shared" si="65"/>
        <v>1.6768658186633026E-3</v>
      </c>
      <c r="W90" s="2"/>
      <c r="X90" s="7">
        <f t="shared" si="66"/>
        <v>-98.82</v>
      </c>
      <c r="Y90" s="2"/>
      <c r="Z90" s="6">
        <f t="shared" si="67"/>
        <v>-1</v>
      </c>
    </row>
    <row r="91" spans="1:26" s="28" customFormat="1" outlineLevel="1" collapsed="1" x14ac:dyDescent="0.25">
      <c r="A91" s="27"/>
      <c r="B91" s="14" t="str">
        <f>CONCATENATE("     ","Utilities                                         ")</f>
        <v xml:space="preserve">     Utilities                                         </v>
      </c>
      <c r="C91" s="14"/>
      <c r="D91" s="1">
        <f>SUM(OSRRefD22_21x_0)</f>
        <v>959</v>
      </c>
      <c r="E91" s="1"/>
      <c r="F91" s="5">
        <f t="shared" si="60"/>
        <v>1.6302609063434659E-2</v>
      </c>
      <c r="G91" s="1"/>
      <c r="H91" s="1">
        <f>SUM(OSRRefH22_21x_0)</f>
        <v>1074</v>
      </c>
      <c r="I91" s="1"/>
      <c r="J91" s="5">
        <f t="shared" si="61"/>
        <v>1.8224589043153078E-2</v>
      </c>
      <c r="K91" s="1"/>
      <c r="L91" s="1">
        <f t="shared" si="62"/>
        <v>-115</v>
      </c>
      <c r="M91" s="1"/>
      <c r="N91" s="5">
        <f t="shared" si="63"/>
        <v>-0.10707635009310987</v>
      </c>
      <c r="O91" s="14"/>
      <c r="P91" s="1">
        <f>SUM(OSRRefP22_21x_0)</f>
        <v>959</v>
      </c>
      <c r="Q91" s="1"/>
      <c r="R91" s="5">
        <f t="shared" si="64"/>
        <v>1.6302609063434659E-2</v>
      </c>
      <c r="S91" s="1"/>
      <c r="T91" s="1">
        <f>SUM(OSRRefT22_21x_0)</f>
        <v>1074</v>
      </c>
      <c r="U91" s="1"/>
      <c r="V91" s="5">
        <f t="shared" si="65"/>
        <v>1.8224589043153078E-2</v>
      </c>
      <c r="W91" s="1"/>
      <c r="X91" s="1">
        <f t="shared" si="66"/>
        <v>-115</v>
      </c>
      <c r="Y91" s="1"/>
      <c r="Z91" s="5">
        <f t="shared" si="67"/>
        <v>-0.10707635009310987</v>
      </c>
    </row>
    <row r="92" spans="1:26" s="24" customFormat="1" hidden="1" outlineLevel="2" x14ac:dyDescent="0.25">
      <c r="A92" s="29"/>
      <c r="B92" s="11" t="str">
        <f>CONCATENATE("          ", "6274", " - ", "UTILITIES")</f>
        <v xml:space="preserve">          6274 - UTILITIES</v>
      </c>
      <c r="C92" s="11"/>
      <c r="D92" s="7">
        <v>959</v>
      </c>
      <c r="E92" s="2"/>
      <c r="F92" s="6">
        <f t="shared" si="60"/>
        <v>1.6302609063434659E-2</v>
      </c>
      <c r="G92" s="2"/>
      <c r="H92" s="7">
        <v>1074</v>
      </c>
      <c r="I92" s="2"/>
      <c r="J92" s="6">
        <f t="shared" si="61"/>
        <v>1.8224589043153078E-2</v>
      </c>
      <c r="K92" s="2"/>
      <c r="L92" s="7">
        <f t="shared" si="62"/>
        <v>-115</v>
      </c>
      <c r="M92" s="2"/>
      <c r="N92" s="6">
        <f t="shared" si="63"/>
        <v>-0.10707635009310987</v>
      </c>
      <c r="O92" s="11"/>
      <c r="P92" s="7">
        <v>959</v>
      </c>
      <c r="Q92" s="2"/>
      <c r="R92" s="6">
        <f t="shared" si="64"/>
        <v>1.6302609063434659E-2</v>
      </c>
      <c r="S92" s="2"/>
      <c r="T92" s="7">
        <v>1074</v>
      </c>
      <c r="U92" s="2"/>
      <c r="V92" s="6">
        <f t="shared" si="65"/>
        <v>1.8224589043153078E-2</v>
      </c>
      <c r="W92" s="2"/>
      <c r="X92" s="7">
        <f t="shared" si="66"/>
        <v>-115</v>
      </c>
      <c r="Y92" s="2"/>
      <c r="Z92" s="6">
        <f t="shared" si="67"/>
        <v>-0.10707635009310987</v>
      </c>
    </row>
    <row r="93" spans="1:26" s="54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6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5" t="s">
        <v>3</v>
      </c>
      <c r="C96" s="25"/>
      <c r="D96" s="21">
        <f>+D26-D28+D94</f>
        <v>-51165.059999999976</v>
      </c>
      <c r="E96" s="13"/>
      <c r="F96" s="20">
        <f>IF(D$12=0,0,D96/D$12)</f>
        <v>-0.8697851625518016</v>
      </c>
      <c r="G96" s="13"/>
      <c r="H96" s="21">
        <f>+H26-H28+H94</f>
        <v>-24276.940000000017</v>
      </c>
      <c r="I96" s="13"/>
      <c r="J96" s="20">
        <f>IF(H$12=0,0,H96/H$12)</f>
        <v>-0.41195275114086122</v>
      </c>
      <c r="K96" s="16"/>
      <c r="L96" s="21">
        <f>+D96-H96</f>
        <v>-26888.119999999959</v>
      </c>
      <c r="M96" s="16"/>
      <c r="N96" s="20">
        <f>IF(H96=0,0,L96/H96)</f>
        <v>1.1075580365564992</v>
      </c>
      <c r="O96" s="26"/>
      <c r="P96" s="21">
        <f>+P26-P28+P94</f>
        <v>-51165.059999999976</v>
      </c>
      <c r="Q96" s="13"/>
      <c r="R96" s="20">
        <f>IF(P$12=0,0,P96/P$12)</f>
        <v>-0.8697851625518016</v>
      </c>
      <c r="S96" s="13"/>
      <c r="T96" s="21">
        <f>+T26-T28+T94</f>
        <v>-24276.940000000017</v>
      </c>
      <c r="U96" s="13"/>
      <c r="V96" s="20">
        <f>IF(T$12=0,0,T96/T$12)</f>
        <v>-0.41195275114086122</v>
      </c>
      <c r="W96" s="16"/>
      <c r="X96" s="21">
        <f>+P96-T96</f>
        <v>-26888.119999999959</v>
      </c>
      <c r="Y96" s="16"/>
      <c r="Z96" s="20">
        <f>IF(T96=0,0,X96/T96)</f>
        <v>1.1075580365564992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1"/>
      <c r="B98" s="10" t="s">
        <v>13</v>
      </c>
      <c r="C98" s="10"/>
      <c r="D98" s="4">
        <v>12231.43</v>
      </c>
      <c r="E98" s="4"/>
      <c r="F98" s="12">
        <f>IF(D$12=0,0,D98/D$12)</f>
        <v>0.20792932385481397</v>
      </c>
      <c r="G98" s="4"/>
      <c r="H98" s="4">
        <v>12098.65</v>
      </c>
      <c r="I98" s="4"/>
      <c r="J98" s="12">
        <f>IF(H$12=0,0,H98/H$12)</f>
        <v>0.20530067432676347</v>
      </c>
      <c r="K98" s="4"/>
      <c r="L98" s="4">
        <f>+D98-H98</f>
        <v>132.78000000000065</v>
      </c>
      <c r="M98" s="4"/>
      <c r="N98" s="12">
        <f>IF(H98=0,0,L98/H98)</f>
        <v>1.0974778177730628E-2</v>
      </c>
      <c r="O98" s="10"/>
      <c r="P98" s="4">
        <v>12231.43</v>
      </c>
      <c r="Q98" s="4"/>
      <c r="R98" s="12">
        <f>IF(P$12=0,0,P98/P$12)</f>
        <v>0.20792932385481397</v>
      </c>
      <c r="S98" s="4"/>
      <c r="T98" s="4">
        <v>12098.65</v>
      </c>
      <c r="U98" s="4"/>
      <c r="V98" s="12">
        <f>IF(T$12=0,0,T98/T$12)</f>
        <v>0.20530067432676347</v>
      </c>
      <c r="W98" s="4"/>
      <c r="X98" s="4">
        <f>+P98-T98</f>
        <v>132.78000000000065</v>
      </c>
      <c r="Y98" s="4"/>
      <c r="Z98" s="12">
        <f>IF(T98=0,0,X98/T98)</f>
        <v>1.0974778177730628E-2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4</v>
      </c>
      <c r="C100" s="25"/>
      <c r="D100" s="33">
        <f>+D96-D98</f>
        <v>-63396.489999999976</v>
      </c>
      <c r="E100" s="13"/>
      <c r="F100" s="34">
        <f>IF(D$12=0,0,D100/D$12)</f>
        <v>-1.0777144864066155</v>
      </c>
      <c r="G100" s="13"/>
      <c r="H100" s="33">
        <f>+H96-H98</f>
        <v>-36375.590000000018</v>
      </c>
      <c r="I100" s="13"/>
      <c r="J100" s="34">
        <f>IF(H$12=0,0,H100/H$12)</f>
        <v>-0.61725342546762474</v>
      </c>
      <c r="K100" s="16"/>
      <c r="L100" s="33">
        <f>D100-H100</f>
        <v>-27020.899999999958</v>
      </c>
      <c r="M100" s="16"/>
      <c r="N100" s="34">
        <f>IF(H100=0,0,L100/H100)</f>
        <v>0.74283056302316863</v>
      </c>
      <c r="O100" s="26"/>
      <c r="P100" s="33">
        <f>+P96-P98</f>
        <v>-63396.489999999976</v>
      </c>
      <c r="Q100" s="13"/>
      <c r="R100" s="34">
        <f>IF(P$12=0,0,P100/P$12)</f>
        <v>-1.0777144864066155</v>
      </c>
      <c r="S100" s="13"/>
      <c r="T100" s="33">
        <f>+T96-T98</f>
        <v>-36375.590000000018</v>
      </c>
      <c r="U100" s="13"/>
      <c r="V100" s="34">
        <f>IF(T$12=0,0,T100/T$12)</f>
        <v>-0.61725342546762474</v>
      </c>
      <c r="W100" s="16"/>
      <c r="X100" s="33">
        <f>P100-T100</f>
        <v>-27020.899999999958</v>
      </c>
      <c r="Y100" s="16"/>
      <c r="Z100" s="34">
        <f>IF(T100=0,0,X100/T100)</f>
        <v>0.74283056302316863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5</v>
      </c>
      <c r="C103" s="25"/>
      <c r="D103" s="31">
        <f>SUM(D100:D102)</f>
        <v>-63396.489999999976</v>
      </c>
      <c r="E103" s="13"/>
      <c r="F103" s="30">
        <f>IF(D$12=0,0,D103/D$12)</f>
        <v>-1.0777144864066155</v>
      </c>
      <c r="G103" s="13"/>
      <c r="H103" s="31">
        <f>SUM(H100:H102)</f>
        <v>-36375.590000000018</v>
      </c>
      <c r="I103" s="13"/>
      <c r="J103" s="30">
        <f>IF(H$12=0,0,H103/H$12)</f>
        <v>-0.61725342546762474</v>
      </c>
      <c r="K103" s="16"/>
      <c r="L103" s="31">
        <f>+D103-H103</f>
        <v>-27020.899999999958</v>
      </c>
      <c r="M103" s="16"/>
      <c r="N103" s="30">
        <f>IF(H103=0,0,L103/H103)</f>
        <v>0.74283056302316863</v>
      </c>
      <c r="O103" s="26"/>
      <c r="P103" s="31">
        <f>SUM(P100:P102)</f>
        <v>-63396.489999999976</v>
      </c>
      <c r="Q103" s="13"/>
      <c r="R103" s="30">
        <f>IF(P$12=0,0,P103/P$12)</f>
        <v>-1.0777144864066155</v>
      </c>
      <c r="S103" s="13"/>
      <c r="T103" s="31">
        <f>SUM(T100:T102)</f>
        <v>-36375.590000000018</v>
      </c>
      <c r="U103" s="13"/>
      <c r="V103" s="30">
        <f>IF(T$12=0,0,T103/T$12)</f>
        <v>-0.61725342546762474</v>
      </c>
      <c r="W103" s="16"/>
      <c r="X103" s="31">
        <f>+P103-T103</f>
        <v>-27020.899999999958</v>
      </c>
      <c r="Y103" s="16"/>
      <c r="Z103" s="30">
        <f>IF(T103=0,0,X103/T103)</f>
        <v>0.74283056302316863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6">
        <v>43726.681365937497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3" t="s">
        <v>313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4762.9799999999996</v>
      </c>
      <c r="E12" s="4"/>
      <c r="F12" s="12"/>
      <c r="G12" s="4"/>
      <c r="H12" s="4">
        <f>SUM(OSRRefH13x_0)</f>
        <v>5370.33</v>
      </c>
      <c r="I12" s="4"/>
      <c r="J12" s="12"/>
      <c r="K12" s="4"/>
      <c r="L12" s="4">
        <f t="shared" ref="L12:L14" si="0">+D12-H12</f>
        <v>-607.35000000000036</v>
      </c>
      <c r="M12" s="4"/>
      <c r="N12" s="12">
        <f t="shared" ref="N12:N14" si="1">IF(H12=0,0,L12/H12)</f>
        <v>-0.11309360877264532</v>
      </c>
      <c r="O12" s="10"/>
      <c r="P12" s="4">
        <f>SUM(OSRRefP13x_0)</f>
        <v>4762.9799999999996</v>
      </c>
      <c r="Q12" s="4"/>
      <c r="R12" s="12"/>
      <c r="S12" s="4"/>
      <c r="T12" s="4">
        <f>SUM(OSRRefT13x_0)</f>
        <v>5370.33</v>
      </c>
      <c r="U12" s="4"/>
      <c r="V12" s="12"/>
      <c r="W12" s="4"/>
      <c r="X12" s="4">
        <f t="shared" ref="X12:X14" si="2">+P12-T12</f>
        <v>-607.35000000000036</v>
      </c>
      <c r="Y12" s="4"/>
      <c r="Z12" s="12">
        <f t="shared" ref="Z12:Z14" si="3">IF(T12=0,0,X12/T12)</f>
        <v>-0.11309360877264532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--894.03</f>
        <v>894.03</v>
      </c>
      <c r="E13" s="2"/>
      <c r="F13" s="22"/>
      <c r="G13" s="2"/>
      <c r="H13" s="2">
        <f>--1036.58</f>
        <v>1036.58</v>
      </c>
      <c r="I13" s="2"/>
      <c r="J13" s="22"/>
      <c r="K13" s="2"/>
      <c r="L13" s="2">
        <f t="shared" si="0"/>
        <v>-142.54999999999995</v>
      </c>
      <c r="M13" s="2"/>
      <c r="N13" s="22">
        <f t="shared" si="1"/>
        <v>-0.137519535395242</v>
      </c>
      <c r="O13" s="11"/>
      <c r="P13" s="2">
        <f>--894.03</f>
        <v>894.03</v>
      </c>
      <c r="Q13" s="2"/>
      <c r="R13" s="22"/>
      <c r="S13" s="2"/>
      <c r="T13" s="2">
        <f>--1036.58</f>
        <v>1036.58</v>
      </c>
      <c r="U13" s="2"/>
      <c r="V13" s="22"/>
      <c r="W13" s="2"/>
      <c r="X13" s="2">
        <f t="shared" si="2"/>
        <v>-142.54999999999995</v>
      </c>
      <c r="Y13" s="2"/>
      <c r="Z13" s="22">
        <f t="shared" si="3"/>
        <v>-0.137519535395242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--3868.95</f>
        <v>3868.95</v>
      </c>
      <c r="E14" s="2"/>
      <c r="F14" s="22"/>
      <c r="G14" s="2"/>
      <c r="H14" s="2">
        <f>--4333.75</f>
        <v>4333.75</v>
      </c>
      <c r="I14" s="2"/>
      <c r="J14" s="22"/>
      <c r="K14" s="2"/>
      <c r="L14" s="2">
        <f t="shared" si="0"/>
        <v>-464.80000000000018</v>
      </c>
      <c r="M14" s="2"/>
      <c r="N14" s="22">
        <f t="shared" si="1"/>
        <v>-0.10725122584366892</v>
      </c>
      <c r="O14" s="11"/>
      <c r="P14" s="2">
        <f>--3868.95</f>
        <v>3868.95</v>
      </c>
      <c r="Q14" s="2"/>
      <c r="R14" s="22"/>
      <c r="S14" s="2"/>
      <c r="T14" s="2">
        <f>--4333.75</f>
        <v>4333.75</v>
      </c>
      <c r="U14" s="2"/>
      <c r="V14" s="22"/>
      <c r="W14" s="2"/>
      <c r="X14" s="2">
        <f t="shared" si="2"/>
        <v>-464.80000000000018</v>
      </c>
      <c r="Y14" s="2"/>
      <c r="Z14" s="22">
        <f t="shared" si="3"/>
        <v>-0.10725122584366892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2331.6099999999997</v>
      </c>
      <c r="E16" s="4"/>
      <c r="F16" s="12">
        <f t="shared" ref="F16:F18" si="4">IF(D$12=0,0,D16/D$12)</f>
        <v>0.48952756467589614</v>
      </c>
      <c r="G16" s="4"/>
      <c r="H16" s="4">
        <f>SUM(OSRRefH16x_0)</f>
        <v>1191.3200000000002</v>
      </c>
      <c r="I16" s="4"/>
      <c r="J16" s="12">
        <f t="shared" ref="J16:J18" si="5">IF(H$12=0,0,H16/H$12)</f>
        <v>0.22183366757722528</v>
      </c>
      <c r="K16" s="4"/>
      <c r="L16" s="4">
        <f t="shared" ref="L16:L18" si="6">+D16-H16</f>
        <v>1140.2899999999995</v>
      </c>
      <c r="M16" s="4"/>
      <c r="N16" s="12">
        <f t="shared" ref="N16:N18" si="7">IF(H16=0,0,L16/H16)</f>
        <v>0.95716516133364615</v>
      </c>
      <c r="O16" s="10"/>
      <c r="P16" s="4">
        <f>SUM(OSRRefP16x_0)</f>
        <v>2331.6099999999997</v>
      </c>
      <c r="Q16" s="4"/>
      <c r="R16" s="12">
        <f t="shared" ref="R16:R18" si="8">IF(P$12=0,0,P16/P$12)</f>
        <v>0.48952756467589614</v>
      </c>
      <c r="S16" s="4"/>
      <c r="T16" s="4">
        <f>SUM(OSRRefT16x_0)</f>
        <v>1191.3200000000002</v>
      </c>
      <c r="U16" s="4"/>
      <c r="V16" s="12">
        <f t="shared" ref="V16:V18" si="9">IF(T$12=0,0,T16/T$12)</f>
        <v>0.22183366757722528</v>
      </c>
      <c r="W16" s="4"/>
      <c r="X16" s="4">
        <f t="shared" ref="X16:X18" si="10">+P16-T16</f>
        <v>1140.2899999999995</v>
      </c>
      <c r="Y16" s="4"/>
      <c r="Z16" s="12">
        <f t="shared" ref="Z16:Z18" si="11">IF(T16=0,0,X16/T16)</f>
        <v>0.95716516133364615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3083.47</v>
      </c>
      <c r="E17" s="2"/>
      <c r="F17" s="22">
        <f t="shared" si="4"/>
        <v>0.6473825210267522</v>
      </c>
      <c r="G17" s="2"/>
      <c r="H17" s="2">
        <v>3361.19</v>
      </c>
      <c r="I17" s="2"/>
      <c r="J17" s="22">
        <f t="shared" si="5"/>
        <v>0.62588146352272578</v>
      </c>
      <c r="K17" s="2"/>
      <c r="L17" s="2">
        <f t="shared" si="6"/>
        <v>-277.72000000000025</v>
      </c>
      <c r="M17" s="2"/>
      <c r="N17" s="22">
        <f t="shared" si="7"/>
        <v>-8.2625498707303138E-2</v>
      </c>
      <c r="O17" s="11"/>
      <c r="P17" s="2">
        <v>3083.47</v>
      </c>
      <c r="Q17" s="2"/>
      <c r="R17" s="22">
        <f t="shared" si="8"/>
        <v>0.6473825210267522</v>
      </c>
      <c r="S17" s="2"/>
      <c r="T17" s="2">
        <v>3361.19</v>
      </c>
      <c r="U17" s="2"/>
      <c r="V17" s="22">
        <f t="shared" si="9"/>
        <v>0.62588146352272578</v>
      </c>
      <c r="W17" s="2"/>
      <c r="X17" s="2">
        <f t="shared" si="10"/>
        <v>-277.72000000000025</v>
      </c>
      <c r="Y17" s="2"/>
      <c r="Z17" s="22">
        <f t="shared" si="11"/>
        <v>-8.2625498707303138E-2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-751.86</v>
      </c>
      <c r="E18" s="2"/>
      <c r="F18" s="22">
        <f t="shared" si="4"/>
        <v>-0.157854956350856</v>
      </c>
      <c r="G18" s="2"/>
      <c r="H18" s="2">
        <v>-2169.87</v>
      </c>
      <c r="I18" s="2"/>
      <c r="J18" s="22">
        <f t="shared" si="5"/>
        <v>-0.40404779594550055</v>
      </c>
      <c r="K18" s="2"/>
      <c r="L18" s="2">
        <f t="shared" si="6"/>
        <v>1418.0099999999998</v>
      </c>
      <c r="M18" s="2"/>
      <c r="N18" s="22">
        <f t="shared" si="7"/>
        <v>-0.65349997926143033</v>
      </c>
      <c r="O18" s="11"/>
      <c r="P18" s="2">
        <v>-751.86</v>
      </c>
      <c r="Q18" s="2"/>
      <c r="R18" s="22">
        <f t="shared" si="8"/>
        <v>-0.157854956350856</v>
      </c>
      <c r="S18" s="2"/>
      <c r="T18" s="2">
        <v>-2169.87</v>
      </c>
      <c r="U18" s="2"/>
      <c r="V18" s="22">
        <f t="shared" si="9"/>
        <v>-0.40404779594550055</v>
      </c>
      <c r="W18" s="2"/>
      <c r="X18" s="2">
        <f t="shared" si="10"/>
        <v>1418.0099999999998</v>
      </c>
      <c r="Y18" s="2"/>
      <c r="Z18" s="22">
        <f t="shared" si="11"/>
        <v>-0.65349997926143033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2431.37</v>
      </c>
      <c r="E20" s="13"/>
      <c r="F20" s="20">
        <f>IF(D$12=0,0,D20/D$12)</f>
        <v>0.5104724353241038</v>
      </c>
      <c r="G20" s="13"/>
      <c r="H20" s="21">
        <f>H12-H16</f>
        <v>4179.01</v>
      </c>
      <c r="I20" s="13"/>
      <c r="J20" s="20">
        <f>IF(H$12=0,0,H20/H$12)</f>
        <v>0.77816633242277478</v>
      </c>
      <c r="K20" s="16"/>
      <c r="L20" s="21">
        <f>+D20-H20</f>
        <v>-1747.6400000000003</v>
      </c>
      <c r="M20" s="16"/>
      <c r="N20" s="20">
        <f>IF(H20=0,0,L20/H20)</f>
        <v>-0.41819473990251288</v>
      </c>
      <c r="O20" s="26"/>
      <c r="P20" s="21">
        <f>P12-P16</f>
        <v>2431.37</v>
      </c>
      <c r="Q20" s="13"/>
      <c r="R20" s="20">
        <f>IF(P$12=0,0,P20/P$12)</f>
        <v>0.5104724353241038</v>
      </c>
      <c r="S20" s="13"/>
      <c r="T20" s="21">
        <f>T12-T16</f>
        <v>4179.01</v>
      </c>
      <c r="U20" s="13"/>
      <c r="V20" s="20">
        <f>IF(T$12=0,0,T20/T$12)</f>
        <v>0.77816633242277478</v>
      </c>
      <c r="W20" s="16"/>
      <c r="X20" s="21">
        <f>+P20-T20</f>
        <v>-1747.6400000000003</v>
      </c>
      <c r="Y20" s="16"/>
      <c r="Z20" s="20">
        <f>IF(T20=0,0,X20/T20)</f>
        <v>-0.41819473990251288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14234.230000000001</v>
      </c>
      <c r="E22" s="19"/>
      <c r="F22" s="35">
        <f t="shared" ref="F22:F31" si="12">IF(D$12=0,0,D22/D$12)</f>
        <v>2.9885134936531337</v>
      </c>
      <c r="G22" s="19"/>
      <c r="H22" s="19">
        <f>SUM(OSRRefH22x_0)</f>
        <v>9768.59</v>
      </c>
      <c r="I22" s="19"/>
      <c r="J22" s="35">
        <f t="shared" ref="J22:J31" si="13">IF(H$12=0,0,H22/H$12)</f>
        <v>1.818992501391907</v>
      </c>
      <c r="K22" s="4"/>
      <c r="L22" s="19">
        <f t="shared" ref="L22:L31" si="14">+D22-H22</f>
        <v>4465.6400000000012</v>
      </c>
      <c r="M22" s="4"/>
      <c r="N22" s="35">
        <f t="shared" ref="N22:N31" si="15">IF(H22=0,0,L22/H22)</f>
        <v>0.45714274014980677</v>
      </c>
      <c r="O22" s="10"/>
      <c r="P22" s="19">
        <f>SUM(OSRRefP22x_0)</f>
        <v>14234.230000000001</v>
      </c>
      <c r="Q22" s="19"/>
      <c r="R22" s="35">
        <f t="shared" ref="R22:R31" si="16">IF(P$12=0,0,P22/P$12)</f>
        <v>2.9885134936531337</v>
      </c>
      <c r="S22" s="19"/>
      <c r="T22" s="19">
        <f>SUM(OSRRefT22x_0)</f>
        <v>9768.59</v>
      </c>
      <c r="U22" s="19"/>
      <c r="V22" s="35">
        <f t="shared" ref="V22:V31" si="17">IF(T$12=0,0,T22/T$12)</f>
        <v>1.818992501391907</v>
      </c>
      <c r="W22" s="4"/>
      <c r="X22" s="19">
        <f t="shared" ref="X22:X31" si="18">+P22-T22</f>
        <v>4465.6400000000012</v>
      </c>
      <c r="Y22" s="4"/>
      <c r="Z22" s="35">
        <f t="shared" ref="Z22:Z31" si="19">IF(T22=0,0,X22/T22)</f>
        <v>0.45714274014980677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2062.08</v>
      </c>
      <c r="E23" s="1"/>
      <c r="F23" s="5">
        <f t="shared" si="12"/>
        <v>0.43293904236423419</v>
      </c>
      <c r="G23" s="1"/>
      <c r="H23" s="1">
        <f>SUM(OSRRefH22_0x_0)</f>
        <v>2035.2300000000002</v>
      </c>
      <c r="I23" s="1"/>
      <c r="J23" s="5">
        <f t="shared" si="13"/>
        <v>0.37897671092837876</v>
      </c>
      <c r="K23" s="1"/>
      <c r="L23" s="1">
        <f t="shared" si="14"/>
        <v>26.849999999999682</v>
      </c>
      <c r="M23" s="1"/>
      <c r="N23" s="5">
        <f t="shared" si="15"/>
        <v>1.3192612137203009E-2</v>
      </c>
      <c r="O23" s="14"/>
      <c r="P23" s="1">
        <f>SUM(OSRRefP22_0x_0)</f>
        <v>2062.08</v>
      </c>
      <c r="Q23" s="1"/>
      <c r="R23" s="5">
        <f t="shared" si="16"/>
        <v>0.43293904236423419</v>
      </c>
      <c r="S23" s="1"/>
      <c r="T23" s="1">
        <f>SUM(OSRRefT22_0x_0)</f>
        <v>2035.2300000000002</v>
      </c>
      <c r="U23" s="1"/>
      <c r="V23" s="5">
        <f t="shared" si="17"/>
        <v>0.37897671092837876</v>
      </c>
      <c r="W23" s="1"/>
      <c r="X23" s="1">
        <f t="shared" si="18"/>
        <v>26.849999999999682</v>
      </c>
      <c r="Y23" s="1"/>
      <c r="Z23" s="5">
        <f t="shared" si="19"/>
        <v>1.3192612137203009E-2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305.08</v>
      </c>
      <c r="E24" s="2"/>
      <c r="F24" s="6">
        <f t="shared" si="12"/>
        <v>6.4052336982309402E-2</v>
      </c>
      <c r="G24" s="2"/>
      <c r="H24" s="7">
        <v>299.02999999999997</v>
      </c>
      <c r="I24" s="2"/>
      <c r="J24" s="6">
        <f t="shared" si="13"/>
        <v>5.5681866849895623E-2</v>
      </c>
      <c r="K24" s="2"/>
      <c r="L24" s="7">
        <f t="shared" si="14"/>
        <v>6.0500000000000114</v>
      </c>
      <c r="M24" s="2"/>
      <c r="N24" s="6">
        <f t="shared" si="15"/>
        <v>2.0232083737417691E-2</v>
      </c>
      <c r="O24" s="11"/>
      <c r="P24" s="7">
        <v>305.08</v>
      </c>
      <c r="Q24" s="2"/>
      <c r="R24" s="6">
        <f t="shared" si="16"/>
        <v>6.4052336982309402E-2</v>
      </c>
      <c r="S24" s="2"/>
      <c r="T24" s="7">
        <v>299.02999999999997</v>
      </c>
      <c r="U24" s="2"/>
      <c r="V24" s="6">
        <f t="shared" si="17"/>
        <v>5.5681866849895623E-2</v>
      </c>
      <c r="W24" s="2"/>
      <c r="X24" s="7">
        <f t="shared" si="18"/>
        <v>6.0500000000000114</v>
      </c>
      <c r="Y24" s="2"/>
      <c r="Z24" s="6">
        <f t="shared" si="19"/>
        <v>2.0232083737417691E-2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167.75</v>
      </c>
      <c r="E25" s="2"/>
      <c r="F25" s="6">
        <f t="shared" si="12"/>
        <v>3.521954742619117E-2</v>
      </c>
      <c r="G25" s="2"/>
      <c r="H25" s="7">
        <v>88.89</v>
      </c>
      <c r="I25" s="2"/>
      <c r="J25" s="6">
        <f t="shared" si="13"/>
        <v>1.6552055460278978E-2</v>
      </c>
      <c r="K25" s="2"/>
      <c r="L25" s="7">
        <f t="shared" si="14"/>
        <v>78.86</v>
      </c>
      <c r="M25" s="2"/>
      <c r="N25" s="6">
        <f t="shared" si="15"/>
        <v>0.88716391045111931</v>
      </c>
      <c r="O25" s="11"/>
      <c r="P25" s="7">
        <v>167.75</v>
      </c>
      <c r="Q25" s="2"/>
      <c r="R25" s="6">
        <f t="shared" si="16"/>
        <v>3.521954742619117E-2</v>
      </c>
      <c r="S25" s="2"/>
      <c r="T25" s="7">
        <v>88.89</v>
      </c>
      <c r="U25" s="2"/>
      <c r="V25" s="6">
        <f t="shared" si="17"/>
        <v>1.6552055460278978E-2</v>
      </c>
      <c r="W25" s="2"/>
      <c r="X25" s="7">
        <f t="shared" si="18"/>
        <v>78.86</v>
      </c>
      <c r="Y25" s="2"/>
      <c r="Z25" s="6">
        <f t="shared" si="19"/>
        <v>0.88716391045111931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965.94</v>
      </c>
      <c r="E26" s="2"/>
      <c r="F26" s="6">
        <f t="shared" si="12"/>
        <v>0.20280160739704978</v>
      </c>
      <c r="G26" s="2"/>
      <c r="H26" s="7">
        <v>735.71</v>
      </c>
      <c r="I26" s="2"/>
      <c r="J26" s="6">
        <f t="shared" si="13"/>
        <v>0.13699530568884968</v>
      </c>
      <c r="K26" s="2"/>
      <c r="L26" s="7">
        <f t="shared" si="14"/>
        <v>230.23000000000002</v>
      </c>
      <c r="M26" s="2"/>
      <c r="N26" s="6">
        <f t="shared" si="15"/>
        <v>0.31293580350953504</v>
      </c>
      <c r="O26" s="11"/>
      <c r="P26" s="7">
        <v>965.94</v>
      </c>
      <c r="Q26" s="2"/>
      <c r="R26" s="6">
        <f t="shared" si="16"/>
        <v>0.20280160739704978</v>
      </c>
      <c r="S26" s="2"/>
      <c r="T26" s="7">
        <v>735.71</v>
      </c>
      <c r="U26" s="2"/>
      <c r="V26" s="6">
        <f t="shared" si="17"/>
        <v>0.13699530568884968</v>
      </c>
      <c r="W26" s="2"/>
      <c r="X26" s="7">
        <f t="shared" si="18"/>
        <v>230.23000000000002</v>
      </c>
      <c r="Y26" s="2"/>
      <c r="Z26" s="6">
        <f t="shared" si="19"/>
        <v>0.31293580350953504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16.34</v>
      </c>
      <c r="E27" s="2"/>
      <c r="F27" s="6">
        <f t="shared" si="12"/>
        <v>3.4306253647926302E-3</v>
      </c>
      <c r="G27" s="2"/>
      <c r="H27" s="7">
        <v>19.420000000000002</v>
      </c>
      <c r="I27" s="2"/>
      <c r="J27" s="6">
        <f t="shared" si="13"/>
        <v>3.6161651146205172E-3</v>
      </c>
      <c r="K27" s="2"/>
      <c r="L27" s="7">
        <f t="shared" si="14"/>
        <v>-3.0800000000000018</v>
      </c>
      <c r="M27" s="2"/>
      <c r="N27" s="6">
        <f t="shared" si="15"/>
        <v>-0.15859938208032964</v>
      </c>
      <c r="O27" s="11"/>
      <c r="P27" s="7">
        <v>16.34</v>
      </c>
      <c r="Q27" s="2"/>
      <c r="R27" s="6">
        <f t="shared" si="16"/>
        <v>3.4306253647926302E-3</v>
      </c>
      <c r="S27" s="2"/>
      <c r="T27" s="7">
        <v>19.420000000000002</v>
      </c>
      <c r="U27" s="2"/>
      <c r="V27" s="6">
        <f t="shared" si="17"/>
        <v>3.6161651146205172E-3</v>
      </c>
      <c r="W27" s="2"/>
      <c r="X27" s="7">
        <f t="shared" si="18"/>
        <v>-3.0800000000000018</v>
      </c>
      <c r="Y27" s="2"/>
      <c r="Z27" s="6">
        <f t="shared" si="19"/>
        <v>-0.15859938208032964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134.11000000000001</v>
      </c>
      <c r="E28" s="2"/>
      <c r="F28" s="6">
        <f t="shared" si="12"/>
        <v>2.8156742207609529E-2</v>
      </c>
      <c r="G28" s="2"/>
      <c r="H28" s="7">
        <v>368.48</v>
      </c>
      <c r="I28" s="2"/>
      <c r="J28" s="6">
        <f t="shared" si="13"/>
        <v>6.8614033029627611E-2</v>
      </c>
      <c r="K28" s="2"/>
      <c r="L28" s="7">
        <f t="shared" si="14"/>
        <v>-234.37</v>
      </c>
      <c r="M28" s="2"/>
      <c r="N28" s="6">
        <f t="shared" si="15"/>
        <v>-0.63604537559704732</v>
      </c>
      <c r="O28" s="11"/>
      <c r="P28" s="7">
        <v>134.11000000000001</v>
      </c>
      <c r="Q28" s="2"/>
      <c r="R28" s="6">
        <f t="shared" si="16"/>
        <v>2.8156742207609529E-2</v>
      </c>
      <c r="S28" s="2"/>
      <c r="T28" s="7">
        <v>368.48</v>
      </c>
      <c r="U28" s="2"/>
      <c r="V28" s="6">
        <f t="shared" si="17"/>
        <v>6.8614033029627611E-2</v>
      </c>
      <c r="W28" s="2"/>
      <c r="X28" s="7">
        <f t="shared" si="18"/>
        <v>-234.37</v>
      </c>
      <c r="Y28" s="2"/>
      <c r="Z28" s="6">
        <f t="shared" si="19"/>
        <v>-0.63604537559704732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147.84</v>
      </c>
      <c r="E29" s="2"/>
      <c r="F29" s="6">
        <f t="shared" si="12"/>
        <v>3.1039391305443236E-2</v>
      </c>
      <c r="G29" s="2"/>
      <c r="H29" s="7">
        <v>148.16</v>
      </c>
      <c r="I29" s="2"/>
      <c r="J29" s="6">
        <f t="shared" si="13"/>
        <v>2.7588621183428207E-2</v>
      </c>
      <c r="K29" s="2"/>
      <c r="L29" s="7">
        <f t="shared" si="14"/>
        <v>-0.31999999999999318</v>
      </c>
      <c r="M29" s="2"/>
      <c r="N29" s="6">
        <f t="shared" si="15"/>
        <v>-2.1598272138228483E-3</v>
      </c>
      <c r="O29" s="11"/>
      <c r="P29" s="7">
        <v>147.84</v>
      </c>
      <c r="Q29" s="2"/>
      <c r="R29" s="6">
        <f t="shared" si="16"/>
        <v>3.1039391305443236E-2</v>
      </c>
      <c r="S29" s="2"/>
      <c r="T29" s="7">
        <v>148.16</v>
      </c>
      <c r="U29" s="2"/>
      <c r="V29" s="6">
        <f t="shared" si="17"/>
        <v>2.7588621183428207E-2</v>
      </c>
      <c r="W29" s="2"/>
      <c r="X29" s="7">
        <f t="shared" si="18"/>
        <v>-0.31999999999999318</v>
      </c>
      <c r="Y29" s="2"/>
      <c r="Z29" s="6">
        <f t="shared" si="19"/>
        <v>-2.1598272138228483E-3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177.12</v>
      </c>
      <c r="E30" s="2"/>
      <c r="F30" s="6">
        <f t="shared" si="12"/>
        <v>3.7186803219832969E-2</v>
      </c>
      <c r="G30" s="2"/>
      <c r="H30" s="7">
        <v>228.79</v>
      </c>
      <c r="I30" s="2"/>
      <c r="J30" s="6">
        <f t="shared" si="13"/>
        <v>4.2602596116067357E-2</v>
      </c>
      <c r="K30" s="2"/>
      <c r="L30" s="7">
        <f t="shared" si="14"/>
        <v>-51.669999999999987</v>
      </c>
      <c r="M30" s="2"/>
      <c r="N30" s="6">
        <f t="shared" si="15"/>
        <v>-0.2258402902224747</v>
      </c>
      <c r="O30" s="11"/>
      <c r="P30" s="7">
        <v>177.12</v>
      </c>
      <c r="Q30" s="2"/>
      <c r="R30" s="6">
        <f t="shared" si="16"/>
        <v>3.7186803219832969E-2</v>
      </c>
      <c r="S30" s="2"/>
      <c r="T30" s="7">
        <v>228.79</v>
      </c>
      <c r="U30" s="2"/>
      <c r="V30" s="6">
        <f t="shared" si="17"/>
        <v>4.2602596116067357E-2</v>
      </c>
      <c r="W30" s="2"/>
      <c r="X30" s="7">
        <f t="shared" si="18"/>
        <v>-51.669999999999987</v>
      </c>
      <c r="Y30" s="2"/>
      <c r="Z30" s="6">
        <f t="shared" si="19"/>
        <v>-0.2258402902224747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147.9</v>
      </c>
      <c r="E31" s="2"/>
      <c r="F31" s="6">
        <f t="shared" si="12"/>
        <v>3.1051988461005511E-2</v>
      </c>
      <c r="G31" s="2"/>
      <c r="H31" s="7">
        <v>146.75</v>
      </c>
      <c r="I31" s="2"/>
      <c r="J31" s="6">
        <f t="shared" si="13"/>
        <v>2.7326067485610755E-2</v>
      </c>
      <c r="K31" s="2"/>
      <c r="L31" s="7">
        <f t="shared" si="14"/>
        <v>1.1500000000000057</v>
      </c>
      <c r="M31" s="2"/>
      <c r="N31" s="6">
        <f t="shared" si="15"/>
        <v>7.8364565587734636E-3</v>
      </c>
      <c r="O31" s="11"/>
      <c r="P31" s="7">
        <v>147.9</v>
      </c>
      <c r="Q31" s="2"/>
      <c r="R31" s="6">
        <f t="shared" si="16"/>
        <v>3.1051988461005511E-2</v>
      </c>
      <c r="S31" s="2"/>
      <c r="T31" s="7">
        <v>146.75</v>
      </c>
      <c r="U31" s="2"/>
      <c r="V31" s="6">
        <f t="shared" si="17"/>
        <v>2.7326067485610755E-2</v>
      </c>
      <c r="W31" s="2"/>
      <c r="X31" s="7">
        <f t="shared" si="18"/>
        <v>1.1500000000000057</v>
      </c>
      <c r="Y31" s="2"/>
      <c r="Z31" s="6">
        <f t="shared" si="19"/>
        <v>7.8364565587734636E-3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5108.6900000000005</v>
      </c>
      <c r="E32" s="1"/>
      <c r="F32" s="5">
        <f t="shared" ref="F32:F37" si="20">IF(D$12=0,0,D32/D$12)</f>
        <v>1.0725827108238961</v>
      </c>
      <c r="G32" s="1"/>
      <c r="H32" s="1">
        <f>SUM(OSRRefH22_1x_0)</f>
        <v>4807.67</v>
      </c>
      <c r="I32" s="1"/>
      <c r="J32" s="5">
        <f t="shared" ref="J32:J37" si="21">IF(H$12=0,0,H32/H$12)</f>
        <v>0.8952280399900937</v>
      </c>
      <c r="K32" s="1"/>
      <c r="L32" s="1">
        <f t="shared" ref="L32:L37" si="22">+D32-H32</f>
        <v>301.02000000000044</v>
      </c>
      <c r="M32" s="1"/>
      <c r="N32" s="5">
        <f t="shared" ref="N32:N37" si="23">IF(H32=0,0,L32/H32)</f>
        <v>6.2612450521770516E-2</v>
      </c>
      <c r="O32" s="14"/>
      <c r="P32" s="1">
        <f>SUM(OSRRefP22_1x_0)</f>
        <v>5108.6900000000005</v>
      </c>
      <c r="Q32" s="1"/>
      <c r="R32" s="5">
        <f t="shared" ref="R32:R37" si="24">IF(P$12=0,0,P32/P$12)</f>
        <v>1.0725827108238961</v>
      </c>
      <c r="S32" s="1"/>
      <c r="T32" s="1">
        <f>SUM(OSRRefT22_1x_0)</f>
        <v>4807.67</v>
      </c>
      <c r="U32" s="1"/>
      <c r="V32" s="5">
        <f t="shared" ref="V32:V37" si="25">IF(T$12=0,0,T32/T$12)</f>
        <v>0.8952280399900937</v>
      </c>
      <c r="W32" s="1"/>
      <c r="X32" s="1">
        <f t="shared" ref="X32:X37" si="26">+P32-T32</f>
        <v>301.02000000000044</v>
      </c>
      <c r="Y32" s="1"/>
      <c r="Z32" s="5">
        <f t="shared" ref="Z32:Z37" si="27">IF(T32=0,0,X32/T32)</f>
        <v>6.2612450521770516E-2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2208</v>
      </c>
      <c r="E33" s="2"/>
      <c r="F33" s="6">
        <f t="shared" si="20"/>
        <v>0.46357532469168466</v>
      </c>
      <c r="G33" s="2"/>
      <c r="H33" s="7">
        <v>3443.92</v>
      </c>
      <c r="I33" s="2"/>
      <c r="J33" s="6">
        <f t="shared" si="21"/>
        <v>0.64128647587764631</v>
      </c>
      <c r="K33" s="2"/>
      <c r="L33" s="7">
        <f t="shared" si="22"/>
        <v>-1235.92</v>
      </c>
      <c r="M33" s="2"/>
      <c r="N33" s="6">
        <f t="shared" si="23"/>
        <v>-0.35887012474157359</v>
      </c>
      <c r="O33" s="11"/>
      <c r="P33" s="7">
        <v>2208</v>
      </c>
      <c r="Q33" s="2"/>
      <c r="R33" s="6">
        <f t="shared" si="24"/>
        <v>0.46357532469168466</v>
      </c>
      <c r="S33" s="2"/>
      <c r="T33" s="7">
        <v>3443.92</v>
      </c>
      <c r="U33" s="2"/>
      <c r="V33" s="6">
        <f t="shared" si="25"/>
        <v>0.64128647587764631</v>
      </c>
      <c r="W33" s="2"/>
      <c r="X33" s="7">
        <f t="shared" si="26"/>
        <v>-1235.92</v>
      </c>
      <c r="Y33" s="2"/>
      <c r="Z33" s="6">
        <f t="shared" si="27"/>
        <v>-0.35887012474157359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1631</v>
      </c>
      <c r="E34" s="2"/>
      <c r="F34" s="6">
        <f t="shared" si="20"/>
        <v>0.3424326787011493</v>
      </c>
      <c r="G34" s="2"/>
      <c r="H34" s="7"/>
      <c r="I34" s="2"/>
      <c r="J34" s="6">
        <f t="shared" si="21"/>
        <v>0</v>
      </c>
      <c r="K34" s="2"/>
      <c r="L34" s="7">
        <f t="shared" si="22"/>
        <v>1631</v>
      </c>
      <c r="M34" s="2"/>
      <c r="N34" s="6">
        <f t="shared" si="23"/>
        <v>0</v>
      </c>
      <c r="O34" s="11"/>
      <c r="P34" s="7">
        <v>1631</v>
      </c>
      <c r="Q34" s="2"/>
      <c r="R34" s="6">
        <f t="shared" si="24"/>
        <v>0.3424326787011493</v>
      </c>
      <c r="S34" s="2"/>
      <c r="T34" s="7"/>
      <c r="U34" s="2"/>
      <c r="V34" s="6">
        <f t="shared" si="25"/>
        <v>0</v>
      </c>
      <c r="W34" s="2"/>
      <c r="X34" s="7">
        <f t="shared" si="26"/>
        <v>1631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44.63</v>
      </c>
      <c r="E35" s="2"/>
      <c r="F35" s="6">
        <f t="shared" si="20"/>
        <v>9.3701842124048404E-3</v>
      </c>
      <c r="G35" s="2"/>
      <c r="H35" s="7">
        <v>68.75</v>
      </c>
      <c r="I35" s="2"/>
      <c r="J35" s="6">
        <f t="shared" si="21"/>
        <v>1.2801820372304868E-2</v>
      </c>
      <c r="K35" s="2"/>
      <c r="L35" s="7">
        <f t="shared" si="22"/>
        <v>-24.119999999999997</v>
      </c>
      <c r="M35" s="2"/>
      <c r="N35" s="6">
        <f t="shared" si="23"/>
        <v>-0.35083636363636361</v>
      </c>
      <c r="O35" s="11"/>
      <c r="P35" s="7">
        <v>44.63</v>
      </c>
      <c r="Q35" s="2"/>
      <c r="R35" s="6">
        <f t="shared" si="24"/>
        <v>9.3701842124048404E-3</v>
      </c>
      <c r="S35" s="2"/>
      <c r="T35" s="7">
        <v>68.75</v>
      </c>
      <c r="U35" s="2"/>
      <c r="V35" s="6">
        <f t="shared" si="25"/>
        <v>1.2801820372304868E-2</v>
      </c>
      <c r="W35" s="2"/>
      <c r="X35" s="7">
        <f t="shared" si="26"/>
        <v>-24.119999999999997</v>
      </c>
      <c r="Y35" s="2"/>
      <c r="Z35" s="6">
        <f t="shared" si="27"/>
        <v>-0.35083636363636361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1225.06</v>
      </c>
      <c r="E36" s="2"/>
      <c r="F36" s="6">
        <f t="shared" si="20"/>
        <v>0.25720452321865722</v>
      </c>
      <c r="G36" s="2"/>
      <c r="H36" s="7">
        <v>530.5</v>
      </c>
      <c r="I36" s="2"/>
      <c r="J36" s="6">
        <f t="shared" si="21"/>
        <v>9.8783501200112478E-2</v>
      </c>
      <c r="K36" s="2"/>
      <c r="L36" s="7">
        <f t="shared" si="22"/>
        <v>694.56</v>
      </c>
      <c r="M36" s="2"/>
      <c r="N36" s="6">
        <f t="shared" si="23"/>
        <v>1.3092554194156456</v>
      </c>
      <c r="O36" s="11"/>
      <c r="P36" s="7">
        <v>1225.06</v>
      </c>
      <c r="Q36" s="2"/>
      <c r="R36" s="6">
        <f t="shared" si="24"/>
        <v>0.25720452321865722</v>
      </c>
      <c r="S36" s="2"/>
      <c r="T36" s="7">
        <v>530.5</v>
      </c>
      <c r="U36" s="2"/>
      <c r="V36" s="6">
        <f t="shared" si="25"/>
        <v>9.8783501200112478E-2</v>
      </c>
      <c r="W36" s="2"/>
      <c r="X36" s="7">
        <f t="shared" si="26"/>
        <v>694.56</v>
      </c>
      <c r="Y36" s="2"/>
      <c r="Z36" s="6">
        <f t="shared" si="27"/>
        <v>1.3092554194156456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764.5</v>
      </c>
      <c r="I37" s="2"/>
      <c r="J37" s="6">
        <f t="shared" si="21"/>
        <v>0.14235624254003013</v>
      </c>
      <c r="K37" s="2"/>
      <c r="L37" s="7">
        <f t="shared" si="22"/>
        <v>-764.5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764.5</v>
      </c>
      <c r="U37" s="2"/>
      <c r="V37" s="6">
        <f t="shared" si="25"/>
        <v>0.14235624254003013</v>
      </c>
      <c r="W37" s="2"/>
      <c r="X37" s="7">
        <f t="shared" si="26"/>
        <v>-764.5</v>
      </c>
      <c r="Y37" s="2"/>
      <c r="Z37" s="6">
        <f t="shared" si="27"/>
        <v>-1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305</v>
      </c>
      <c r="E38" s="1"/>
      <c r="F38" s="5">
        <f t="shared" ref="F38:F52" si="28">IF(D$12=0,0,D38/D$12)</f>
        <v>6.4035540774893041E-2</v>
      </c>
      <c r="G38" s="1"/>
      <c r="H38" s="1">
        <f>SUM(OSRRefH22_2x_0)</f>
        <v>236.5</v>
      </c>
      <c r="I38" s="1"/>
      <c r="J38" s="5">
        <f t="shared" ref="J38:J52" si="29">IF(H$12=0,0,H38/H$12)</f>
        <v>4.4038262080728745E-2</v>
      </c>
      <c r="K38" s="1"/>
      <c r="L38" s="1">
        <f t="shared" ref="L38:L52" si="30">+D38-H38</f>
        <v>68.5</v>
      </c>
      <c r="M38" s="1"/>
      <c r="N38" s="5">
        <f t="shared" ref="N38:N52" si="31">IF(H38=0,0,L38/H38)</f>
        <v>0.28964059196617337</v>
      </c>
      <c r="O38" s="14"/>
      <c r="P38" s="1">
        <f>SUM(OSRRefP22_2x_0)</f>
        <v>305</v>
      </c>
      <c r="Q38" s="1"/>
      <c r="R38" s="5">
        <f t="shared" ref="R38:R52" si="32">IF(P$12=0,0,P38/P$12)</f>
        <v>6.4035540774893041E-2</v>
      </c>
      <c r="S38" s="1"/>
      <c r="T38" s="1">
        <f>SUM(OSRRefT22_2x_0)</f>
        <v>236.5</v>
      </c>
      <c r="U38" s="1"/>
      <c r="V38" s="5">
        <f t="shared" ref="V38:V52" si="33">IF(T$12=0,0,T38/T$12)</f>
        <v>4.4038262080728745E-2</v>
      </c>
      <c r="W38" s="1"/>
      <c r="X38" s="1">
        <f t="shared" ref="X38:X52" si="34">+P38-T38</f>
        <v>68.5</v>
      </c>
      <c r="Y38" s="1"/>
      <c r="Z38" s="5">
        <f t="shared" ref="Z38:Z52" si="35">IF(T38=0,0,X38/T38)</f>
        <v>0.28964059196617337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305</v>
      </c>
      <c r="E39" s="2"/>
      <c r="F39" s="6">
        <f t="shared" si="28"/>
        <v>6.4035540774893041E-2</v>
      </c>
      <c r="G39" s="2"/>
      <c r="H39" s="7">
        <v>236.5</v>
      </c>
      <c r="I39" s="2"/>
      <c r="J39" s="6">
        <f t="shared" si="29"/>
        <v>4.4038262080728745E-2</v>
      </c>
      <c r="K39" s="2"/>
      <c r="L39" s="7">
        <f t="shared" si="30"/>
        <v>68.5</v>
      </c>
      <c r="M39" s="2"/>
      <c r="N39" s="6">
        <f t="shared" si="31"/>
        <v>0.28964059196617337</v>
      </c>
      <c r="O39" s="11"/>
      <c r="P39" s="7">
        <v>305</v>
      </c>
      <c r="Q39" s="2"/>
      <c r="R39" s="6">
        <f t="shared" si="32"/>
        <v>6.4035540774893041E-2</v>
      </c>
      <c r="S39" s="2"/>
      <c r="T39" s="7">
        <v>236.5</v>
      </c>
      <c r="U39" s="2"/>
      <c r="V39" s="6">
        <f t="shared" si="33"/>
        <v>4.4038262080728745E-2</v>
      </c>
      <c r="W39" s="2"/>
      <c r="X39" s="7">
        <f t="shared" si="34"/>
        <v>68.5</v>
      </c>
      <c r="Y39" s="2"/>
      <c r="Z39" s="6">
        <f t="shared" si="35"/>
        <v>0.28964059196617337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-2.61</v>
      </c>
      <c r="E40" s="1"/>
      <c r="F40" s="5">
        <f t="shared" si="28"/>
        <v>-5.4797626695892072E-4</v>
      </c>
      <c r="G40" s="1"/>
      <c r="H40" s="1">
        <f>SUM(OSRRefH22_3x_0)</f>
        <v>-40.840000000000003</v>
      </c>
      <c r="I40" s="1"/>
      <c r="J40" s="5">
        <f t="shared" si="29"/>
        <v>-7.6047468218899033E-3</v>
      </c>
      <c r="K40" s="1"/>
      <c r="L40" s="1">
        <f t="shared" si="30"/>
        <v>38.230000000000004</v>
      </c>
      <c r="M40" s="1"/>
      <c r="N40" s="5">
        <f t="shared" si="31"/>
        <v>-0.93609206660137123</v>
      </c>
      <c r="O40" s="14"/>
      <c r="P40" s="1">
        <f>SUM(OSRRefP22_3x_0)</f>
        <v>-2.61</v>
      </c>
      <c r="Q40" s="1"/>
      <c r="R40" s="5">
        <f t="shared" si="32"/>
        <v>-5.4797626695892072E-4</v>
      </c>
      <c r="S40" s="1"/>
      <c r="T40" s="1">
        <f>SUM(OSRRefT22_3x_0)</f>
        <v>-40.840000000000003</v>
      </c>
      <c r="U40" s="1"/>
      <c r="V40" s="5">
        <f t="shared" si="33"/>
        <v>-7.6047468218899033E-3</v>
      </c>
      <c r="W40" s="1"/>
      <c r="X40" s="1">
        <f t="shared" si="34"/>
        <v>38.230000000000004</v>
      </c>
      <c r="Y40" s="1"/>
      <c r="Z40" s="5">
        <f t="shared" si="35"/>
        <v>-0.93609206660137123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-2.61</v>
      </c>
      <c r="E41" s="2"/>
      <c r="F41" s="6">
        <f t="shared" si="28"/>
        <v>-5.4797626695892072E-4</v>
      </c>
      <c r="G41" s="2"/>
      <c r="H41" s="7">
        <v>-40.840000000000003</v>
      </c>
      <c r="I41" s="2"/>
      <c r="J41" s="6">
        <f t="shared" si="29"/>
        <v>-7.6047468218899033E-3</v>
      </c>
      <c r="K41" s="2"/>
      <c r="L41" s="7">
        <f t="shared" si="30"/>
        <v>38.230000000000004</v>
      </c>
      <c r="M41" s="2"/>
      <c r="N41" s="6">
        <f t="shared" si="31"/>
        <v>-0.93609206660137123</v>
      </c>
      <c r="O41" s="11"/>
      <c r="P41" s="7">
        <v>-2.61</v>
      </c>
      <c r="Q41" s="2"/>
      <c r="R41" s="6">
        <f t="shared" si="32"/>
        <v>-5.4797626695892072E-4</v>
      </c>
      <c r="S41" s="2"/>
      <c r="T41" s="7">
        <v>-40.840000000000003</v>
      </c>
      <c r="U41" s="2"/>
      <c r="V41" s="6">
        <f t="shared" si="33"/>
        <v>-7.6047468218899033E-3</v>
      </c>
      <c r="W41" s="2"/>
      <c r="X41" s="7">
        <f t="shared" si="34"/>
        <v>38.230000000000004</v>
      </c>
      <c r="Y41" s="2"/>
      <c r="Z41" s="6">
        <f t="shared" si="35"/>
        <v>-0.93609206660137123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127.64</v>
      </c>
      <c r="E42" s="1"/>
      <c r="F42" s="5">
        <f t="shared" si="28"/>
        <v>2.6798348932810974E-2</v>
      </c>
      <c r="G42" s="1"/>
      <c r="H42" s="1">
        <f>SUM(OSRRefH22_4x_0)</f>
        <v>91.64</v>
      </c>
      <c r="I42" s="1"/>
      <c r="J42" s="5">
        <f t="shared" si="29"/>
        <v>1.7064128275171172E-2</v>
      </c>
      <c r="K42" s="1"/>
      <c r="L42" s="1">
        <f t="shared" si="30"/>
        <v>36</v>
      </c>
      <c r="M42" s="1"/>
      <c r="N42" s="5">
        <f t="shared" si="31"/>
        <v>0.39284155390659098</v>
      </c>
      <c r="O42" s="14"/>
      <c r="P42" s="1">
        <f>SUM(OSRRefP22_4x_0)</f>
        <v>127.64</v>
      </c>
      <c r="Q42" s="1"/>
      <c r="R42" s="5">
        <f t="shared" si="32"/>
        <v>2.6798348932810974E-2</v>
      </c>
      <c r="S42" s="1"/>
      <c r="T42" s="1">
        <f>SUM(OSRRefT22_4x_0)</f>
        <v>91.64</v>
      </c>
      <c r="U42" s="1"/>
      <c r="V42" s="5">
        <f t="shared" si="33"/>
        <v>1.7064128275171172E-2</v>
      </c>
      <c r="W42" s="1"/>
      <c r="X42" s="1">
        <f t="shared" si="34"/>
        <v>36</v>
      </c>
      <c r="Y42" s="1"/>
      <c r="Z42" s="5">
        <f t="shared" si="35"/>
        <v>0.39284155390659098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127.64</v>
      </c>
      <c r="E43" s="2"/>
      <c r="F43" s="6">
        <f t="shared" si="28"/>
        <v>2.6798348932810974E-2</v>
      </c>
      <c r="G43" s="2"/>
      <c r="H43" s="7">
        <v>91.64</v>
      </c>
      <c r="I43" s="2"/>
      <c r="J43" s="6">
        <f t="shared" si="29"/>
        <v>1.7064128275171172E-2</v>
      </c>
      <c r="K43" s="2"/>
      <c r="L43" s="7">
        <f t="shared" si="30"/>
        <v>36</v>
      </c>
      <c r="M43" s="2"/>
      <c r="N43" s="6">
        <f t="shared" si="31"/>
        <v>0.39284155390659098</v>
      </c>
      <c r="O43" s="11"/>
      <c r="P43" s="7">
        <v>127.64</v>
      </c>
      <c r="Q43" s="2"/>
      <c r="R43" s="6">
        <f t="shared" si="32"/>
        <v>2.6798348932810974E-2</v>
      </c>
      <c r="S43" s="2"/>
      <c r="T43" s="7">
        <v>91.64</v>
      </c>
      <c r="U43" s="2"/>
      <c r="V43" s="6">
        <f t="shared" si="33"/>
        <v>1.7064128275171172E-2</v>
      </c>
      <c r="W43" s="2"/>
      <c r="X43" s="7">
        <f t="shared" si="34"/>
        <v>36</v>
      </c>
      <c r="Y43" s="2"/>
      <c r="Z43" s="6">
        <f t="shared" si="35"/>
        <v>0.39284155390659098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155.66999999999999</v>
      </c>
      <c r="E44" s="1"/>
      <c r="F44" s="5">
        <f t="shared" si="28"/>
        <v>3.2683320106319996E-2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4"/>
      <c r="P44" s="1">
        <f>SUM(OSRRefP22_5x_0)</f>
        <v>155.66999999999999</v>
      </c>
      <c r="Q44" s="1"/>
      <c r="R44" s="5">
        <f t="shared" si="32"/>
        <v>3.2683320106319996E-2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155.66999999999999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155.66999999999999</v>
      </c>
      <c r="E45" s="2"/>
      <c r="F45" s="6">
        <f t="shared" si="28"/>
        <v>3.2683320106319996E-2</v>
      </c>
      <c r="G45" s="2"/>
      <c r="H45" s="7"/>
      <c r="I45" s="2"/>
      <c r="J45" s="6">
        <f t="shared" si="29"/>
        <v>0</v>
      </c>
      <c r="K45" s="2"/>
      <c r="L45" s="7">
        <f t="shared" si="30"/>
        <v>155.66999999999999</v>
      </c>
      <c r="M45" s="2"/>
      <c r="N45" s="6">
        <f t="shared" si="31"/>
        <v>0</v>
      </c>
      <c r="O45" s="11"/>
      <c r="P45" s="7">
        <v>155.66999999999999</v>
      </c>
      <c r="Q45" s="2"/>
      <c r="R45" s="6">
        <f t="shared" si="32"/>
        <v>3.2683320106319996E-2</v>
      </c>
      <c r="S45" s="2"/>
      <c r="T45" s="7"/>
      <c r="U45" s="2"/>
      <c r="V45" s="6">
        <f t="shared" si="33"/>
        <v>0</v>
      </c>
      <c r="W45" s="2"/>
      <c r="X45" s="7">
        <f t="shared" si="34"/>
        <v>155.66999999999999</v>
      </c>
      <c r="Y45" s="2"/>
      <c r="Z45" s="6">
        <f t="shared" si="35"/>
        <v>0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1458.9</v>
      </c>
      <c r="E46" s="1"/>
      <c r="F46" s="5">
        <f t="shared" si="28"/>
        <v>0.30629983749669332</v>
      </c>
      <c r="G46" s="1"/>
      <c r="H46" s="1">
        <f>SUM(OSRRefH22_6x_0)</f>
        <v>1867.6</v>
      </c>
      <c r="I46" s="1"/>
      <c r="J46" s="5">
        <f t="shared" si="29"/>
        <v>0.34776261421551374</v>
      </c>
      <c r="K46" s="1"/>
      <c r="L46" s="1">
        <f t="shared" si="30"/>
        <v>-408.69999999999982</v>
      </c>
      <c r="M46" s="1"/>
      <c r="N46" s="5">
        <f t="shared" si="31"/>
        <v>-0.21883701006639528</v>
      </c>
      <c r="O46" s="14"/>
      <c r="P46" s="1">
        <f>SUM(OSRRefP22_6x_0)</f>
        <v>1458.9</v>
      </c>
      <c r="Q46" s="1"/>
      <c r="R46" s="5">
        <f t="shared" si="32"/>
        <v>0.30629983749669332</v>
      </c>
      <c r="S46" s="1"/>
      <c r="T46" s="1">
        <f>SUM(OSRRefT22_6x_0)</f>
        <v>1867.6</v>
      </c>
      <c r="U46" s="1"/>
      <c r="V46" s="5">
        <f t="shared" si="33"/>
        <v>0.34776261421551374</v>
      </c>
      <c r="W46" s="1"/>
      <c r="X46" s="1">
        <f t="shared" si="34"/>
        <v>-408.69999999999982</v>
      </c>
      <c r="Y46" s="1"/>
      <c r="Z46" s="5">
        <f t="shared" si="35"/>
        <v>-0.21883701006639528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1458.9</v>
      </c>
      <c r="E47" s="2"/>
      <c r="F47" s="6">
        <f t="shared" si="28"/>
        <v>0.30629983749669332</v>
      </c>
      <c r="G47" s="2"/>
      <c r="H47" s="7">
        <v>1867.6</v>
      </c>
      <c r="I47" s="2"/>
      <c r="J47" s="6">
        <f t="shared" si="29"/>
        <v>0.34776261421551374</v>
      </c>
      <c r="K47" s="2"/>
      <c r="L47" s="7">
        <f t="shared" si="30"/>
        <v>-408.69999999999982</v>
      </c>
      <c r="M47" s="2"/>
      <c r="N47" s="6">
        <f t="shared" si="31"/>
        <v>-0.21883701006639528</v>
      </c>
      <c r="O47" s="11"/>
      <c r="P47" s="7">
        <v>1458.9</v>
      </c>
      <c r="Q47" s="2"/>
      <c r="R47" s="6">
        <f t="shared" si="32"/>
        <v>0.30629983749669332</v>
      </c>
      <c r="S47" s="2"/>
      <c r="T47" s="7">
        <v>1867.6</v>
      </c>
      <c r="U47" s="2"/>
      <c r="V47" s="6">
        <f t="shared" si="33"/>
        <v>0.34776261421551374</v>
      </c>
      <c r="W47" s="2"/>
      <c r="X47" s="7">
        <f t="shared" si="34"/>
        <v>-408.69999999999982</v>
      </c>
      <c r="Y47" s="2"/>
      <c r="Z47" s="6">
        <f t="shared" si="35"/>
        <v>-0.21883701006639528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843.16</v>
      </c>
      <c r="E48" s="1"/>
      <c r="F48" s="5">
        <f t="shared" si="28"/>
        <v>0.17702362806478297</v>
      </c>
      <c r="G48" s="1"/>
      <c r="H48" s="1">
        <f>SUM(OSRRefH22_7x_0)</f>
        <v>221.03</v>
      </c>
      <c r="I48" s="1"/>
      <c r="J48" s="5">
        <f t="shared" si="29"/>
        <v>4.1157619736589747E-2</v>
      </c>
      <c r="K48" s="1"/>
      <c r="L48" s="1">
        <f t="shared" si="30"/>
        <v>622.13</v>
      </c>
      <c r="M48" s="1"/>
      <c r="N48" s="5">
        <f t="shared" si="31"/>
        <v>2.8146857892593764</v>
      </c>
      <c r="O48" s="14"/>
      <c r="P48" s="1">
        <f>SUM(OSRRefP22_7x_0)</f>
        <v>843.16</v>
      </c>
      <c r="Q48" s="1"/>
      <c r="R48" s="5">
        <f t="shared" si="32"/>
        <v>0.17702362806478297</v>
      </c>
      <c r="S48" s="1"/>
      <c r="T48" s="1">
        <f>SUM(OSRRefT22_7x_0)</f>
        <v>221.03</v>
      </c>
      <c r="U48" s="1"/>
      <c r="V48" s="5">
        <f t="shared" si="33"/>
        <v>4.1157619736589747E-2</v>
      </c>
      <c r="W48" s="1"/>
      <c r="X48" s="1">
        <f t="shared" si="34"/>
        <v>622.13</v>
      </c>
      <c r="Y48" s="1"/>
      <c r="Z48" s="5">
        <f t="shared" si="35"/>
        <v>2.8146857892593764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843.16</v>
      </c>
      <c r="E49" s="2"/>
      <c r="F49" s="6">
        <f t="shared" si="28"/>
        <v>0.17702362806478297</v>
      </c>
      <c r="G49" s="2"/>
      <c r="H49" s="7">
        <v>221.03</v>
      </c>
      <c r="I49" s="2"/>
      <c r="J49" s="6">
        <f t="shared" si="29"/>
        <v>4.1157619736589747E-2</v>
      </c>
      <c r="K49" s="2"/>
      <c r="L49" s="7">
        <f t="shared" si="30"/>
        <v>622.13</v>
      </c>
      <c r="M49" s="2"/>
      <c r="N49" s="6">
        <f t="shared" si="31"/>
        <v>2.8146857892593764</v>
      </c>
      <c r="O49" s="11"/>
      <c r="P49" s="7">
        <v>843.16</v>
      </c>
      <c r="Q49" s="2"/>
      <c r="R49" s="6">
        <f t="shared" si="32"/>
        <v>0.17702362806478297</v>
      </c>
      <c r="S49" s="2"/>
      <c r="T49" s="7">
        <v>221.03</v>
      </c>
      <c r="U49" s="2"/>
      <c r="V49" s="6">
        <f t="shared" si="33"/>
        <v>4.1157619736589747E-2</v>
      </c>
      <c r="W49" s="2"/>
      <c r="X49" s="7">
        <f t="shared" si="34"/>
        <v>622.13</v>
      </c>
      <c r="Y49" s="2"/>
      <c r="Z49" s="6">
        <f t="shared" si="35"/>
        <v>2.8146857892593764</v>
      </c>
    </row>
    <row r="50" spans="1:26" s="28" customFormat="1" outlineLevel="1" collapsed="1" x14ac:dyDescent="0.25">
      <c r="A50" s="27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327.93</v>
      </c>
      <c r="E50" s="1"/>
      <c r="F50" s="5">
        <f t="shared" si="28"/>
        <v>6.8849753725608767E-2</v>
      </c>
      <c r="G50" s="1"/>
      <c r="H50" s="1">
        <f>SUM(OSRRefH22_8x_0)</f>
        <v>352.93</v>
      </c>
      <c r="I50" s="1"/>
      <c r="J50" s="5">
        <f t="shared" si="29"/>
        <v>6.5718494021782647E-2</v>
      </c>
      <c r="K50" s="1"/>
      <c r="L50" s="1">
        <f t="shared" si="30"/>
        <v>-25</v>
      </c>
      <c r="M50" s="1"/>
      <c r="N50" s="5">
        <f t="shared" si="31"/>
        <v>-7.0835576459921223E-2</v>
      </c>
      <c r="O50" s="14"/>
      <c r="P50" s="1">
        <f>SUM(OSRRefP22_8x_0)</f>
        <v>327.93</v>
      </c>
      <c r="Q50" s="1"/>
      <c r="R50" s="5">
        <f t="shared" si="32"/>
        <v>6.8849753725608767E-2</v>
      </c>
      <c r="S50" s="1"/>
      <c r="T50" s="1">
        <f>SUM(OSRRefT22_8x_0)</f>
        <v>352.93</v>
      </c>
      <c r="U50" s="1"/>
      <c r="V50" s="5">
        <f t="shared" si="33"/>
        <v>6.5718494021782647E-2</v>
      </c>
      <c r="W50" s="1"/>
      <c r="X50" s="1">
        <f t="shared" si="34"/>
        <v>-25</v>
      </c>
      <c r="Y50" s="1"/>
      <c r="Z50" s="5">
        <f t="shared" si="35"/>
        <v>-7.0835576459921223E-2</v>
      </c>
    </row>
    <row r="51" spans="1:26" s="24" customFormat="1" hidden="1" outlineLevel="2" x14ac:dyDescent="0.25">
      <c r="A51" s="29"/>
      <c r="B51" s="11" t="str">
        <f>CONCATENATE("          ", "6282", " - ", "JANITORIAL/EXTERMINATOR EXPENS")</f>
        <v xml:space="preserve">          6282 - JANITORIAL/EXTERMINATOR EXPENS</v>
      </c>
      <c r="C51" s="11"/>
      <c r="D51" s="7">
        <v>327.93</v>
      </c>
      <c r="E51" s="2"/>
      <c r="F51" s="6">
        <f t="shared" si="28"/>
        <v>6.8849753725608767E-2</v>
      </c>
      <c r="G51" s="2"/>
      <c r="H51" s="7">
        <v>327.93</v>
      </c>
      <c r="I51" s="2"/>
      <c r="J51" s="6">
        <f t="shared" si="29"/>
        <v>6.1063286613671788E-2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>
        <v>327.93</v>
      </c>
      <c r="Q51" s="2"/>
      <c r="R51" s="6">
        <f t="shared" si="32"/>
        <v>6.8849753725608767E-2</v>
      </c>
      <c r="S51" s="2"/>
      <c r="T51" s="7">
        <v>327.93</v>
      </c>
      <c r="U51" s="2"/>
      <c r="V51" s="6">
        <f t="shared" si="33"/>
        <v>6.1063286613671788E-2</v>
      </c>
      <c r="W51" s="2"/>
      <c r="X51" s="7">
        <f t="shared" si="34"/>
        <v>0</v>
      </c>
      <c r="Y51" s="2"/>
      <c r="Z51" s="6">
        <f t="shared" si="35"/>
        <v>0</v>
      </c>
    </row>
    <row r="52" spans="1:26" s="24" customFormat="1" hidden="1" outlineLevel="2" x14ac:dyDescent="0.25">
      <c r="A52" s="29"/>
      <c r="B52" s="11" t="str">
        <f>CONCATENATE("          ", "6285", " - ", "JANITORIAL SERVICES")</f>
        <v xml:space="preserve">          6285 - JANITORIAL SERVICES</v>
      </c>
      <c r="C52" s="11"/>
      <c r="D52" s="7"/>
      <c r="E52" s="2"/>
      <c r="F52" s="6">
        <f t="shared" si="28"/>
        <v>0</v>
      </c>
      <c r="G52" s="2"/>
      <c r="H52" s="7">
        <v>25</v>
      </c>
      <c r="I52" s="2"/>
      <c r="J52" s="6">
        <f t="shared" si="29"/>
        <v>4.6552074081108608E-3</v>
      </c>
      <c r="K52" s="2"/>
      <c r="L52" s="7">
        <f t="shared" si="30"/>
        <v>-25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25</v>
      </c>
      <c r="U52" s="2"/>
      <c r="V52" s="6">
        <f t="shared" si="33"/>
        <v>4.6552074081108608E-3</v>
      </c>
      <c r="W52" s="2"/>
      <c r="X52" s="7">
        <f t="shared" si="34"/>
        <v>-25</v>
      </c>
      <c r="Y52" s="2"/>
      <c r="Z52" s="6">
        <f t="shared" si="35"/>
        <v>-1</v>
      </c>
    </row>
    <row r="53" spans="1:26" s="28" customFormat="1" outlineLevel="1" collapsed="1" x14ac:dyDescent="0.25">
      <c r="A53" s="27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1">
        <f>SUM(OSRRefD22_9x_0)</f>
        <v>0</v>
      </c>
      <c r="E53" s="1"/>
      <c r="F53" s="5">
        <f t="shared" ref="F53:F59" si="36">IF(D$12=0,0,D53/D$12)</f>
        <v>0</v>
      </c>
      <c r="G53" s="1"/>
      <c r="H53" s="1">
        <f>SUM(OSRRefH22_9x_0)</f>
        <v>31.8</v>
      </c>
      <c r="I53" s="1"/>
      <c r="J53" s="5">
        <f t="shared" ref="J53:J59" si="37">IF(H$12=0,0,H53/H$12)</f>
        <v>5.921423823117015E-3</v>
      </c>
      <c r="K53" s="1"/>
      <c r="L53" s="1">
        <f t="shared" ref="L53:L59" si="38">+D53-H53</f>
        <v>-31.8</v>
      </c>
      <c r="M53" s="1"/>
      <c r="N53" s="5">
        <f t="shared" ref="N53:N59" si="39">IF(H53=0,0,L53/H53)</f>
        <v>-1</v>
      </c>
      <c r="O53" s="14"/>
      <c r="P53" s="1">
        <f>SUM(OSRRefP22_9x_0)</f>
        <v>0</v>
      </c>
      <c r="Q53" s="1"/>
      <c r="R53" s="5">
        <f t="shared" ref="R53:R59" si="40">IF(P$12=0,0,P53/P$12)</f>
        <v>0</v>
      </c>
      <c r="S53" s="1"/>
      <c r="T53" s="1">
        <f>SUM(OSRRefT22_9x_0)</f>
        <v>31.8</v>
      </c>
      <c r="U53" s="1"/>
      <c r="V53" s="5">
        <f t="shared" ref="V53:V59" si="41">IF(T$12=0,0,T53/T$12)</f>
        <v>5.921423823117015E-3</v>
      </c>
      <c r="W53" s="1"/>
      <c r="X53" s="1">
        <f t="shared" ref="X53:X59" si="42">+P53-T53</f>
        <v>-31.8</v>
      </c>
      <c r="Y53" s="1"/>
      <c r="Z53" s="5">
        <f t="shared" ref="Z53:Z59" si="43">IF(T53=0,0,X53/T53)</f>
        <v>-1</v>
      </c>
    </row>
    <row r="54" spans="1:26" s="24" customFormat="1" hidden="1" outlineLevel="2" x14ac:dyDescent="0.25">
      <c r="A54" s="29"/>
      <c r="B54" s="11" t="str">
        <f>CONCATENATE("          ", "6258", " - ", "MEMBERSHIP DUES")</f>
        <v xml:space="preserve">          6258 - MEMBERSHIP DUES</v>
      </c>
      <c r="C54" s="11"/>
      <c r="D54" s="7"/>
      <c r="E54" s="2"/>
      <c r="F54" s="6">
        <f t="shared" si="36"/>
        <v>0</v>
      </c>
      <c r="G54" s="2"/>
      <c r="H54" s="7">
        <v>31.8</v>
      </c>
      <c r="I54" s="2"/>
      <c r="J54" s="6">
        <f t="shared" si="37"/>
        <v>5.921423823117015E-3</v>
      </c>
      <c r="K54" s="2"/>
      <c r="L54" s="7">
        <f t="shared" si="38"/>
        <v>-31.8</v>
      </c>
      <c r="M54" s="2"/>
      <c r="N54" s="6">
        <f t="shared" si="39"/>
        <v>-1</v>
      </c>
      <c r="O54" s="11"/>
      <c r="P54" s="7"/>
      <c r="Q54" s="2"/>
      <c r="R54" s="6">
        <f t="shared" si="40"/>
        <v>0</v>
      </c>
      <c r="S54" s="2"/>
      <c r="T54" s="7">
        <v>31.8</v>
      </c>
      <c r="U54" s="2"/>
      <c r="V54" s="6">
        <f t="shared" si="41"/>
        <v>5.921423823117015E-3</v>
      </c>
      <c r="W54" s="2"/>
      <c r="X54" s="7">
        <f t="shared" si="42"/>
        <v>-31.8</v>
      </c>
      <c r="Y54" s="2"/>
      <c r="Z54" s="6">
        <f t="shared" si="43"/>
        <v>-1</v>
      </c>
    </row>
    <row r="55" spans="1:26" s="28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3778.7599999999998</v>
      </c>
      <c r="E55" s="1"/>
      <c r="F55" s="5">
        <f t="shared" si="36"/>
        <v>0.79336045920831078</v>
      </c>
      <c r="G55" s="1"/>
      <c r="H55" s="1">
        <f>SUM(OSRRefH22_10x_0)</f>
        <v>96.02</v>
      </c>
      <c r="I55" s="1"/>
      <c r="J55" s="5">
        <f t="shared" si="37"/>
        <v>1.7879720613072195E-2</v>
      </c>
      <c r="K55" s="1"/>
      <c r="L55" s="1">
        <f t="shared" si="38"/>
        <v>3682.74</v>
      </c>
      <c r="M55" s="1"/>
      <c r="N55" s="5">
        <f t="shared" si="39"/>
        <v>38.353884607373466</v>
      </c>
      <c r="O55" s="14"/>
      <c r="P55" s="1">
        <f>SUM(OSRRefP22_10x_0)</f>
        <v>3778.7599999999998</v>
      </c>
      <c r="Q55" s="1"/>
      <c r="R55" s="5">
        <f t="shared" si="40"/>
        <v>0.79336045920831078</v>
      </c>
      <c r="S55" s="1"/>
      <c r="T55" s="1">
        <f>SUM(OSRRefT22_10x_0)</f>
        <v>96.02</v>
      </c>
      <c r="U55" s="1"/>
      <c r="V55" s="5">
        <f t="shared" si="41"/>
        <v>1.7879720613072195E-2</v>
      </c>
      <c r="W55" s="1"/>
      <c r="X55" s="1">
        <f t="shared" si="42"/>
        <v>3682.74</v>
      </c>
      <c r="Y55" s="1"/>
      <c r="Z55" s="5">
        <f t="shared" si="43"/>
        <v>38.353884607373466</v>
      </c>
    </row>
    <row r="56" spans="1:26" s="24" customFormat="1" hidden="1" outlineLevel="2" x14ac:dyDescent="0.25">
      <c r="A56" s="29"/>
      <c r="B56" s="11" t="str">
        <f>CONCATENATE("          ", "6237", " - ", "JANITORIAL SUPPLIES")</f>
        <v xml:space="preserve">          6237 - JANITORIAL SUPPLIES</v>
      </c>
      <c r="C56" s="11"/>
      <c r="D56" s="7">
        <v>220.87</v>
      </c>
      <c r="E56" s="2"/>
      <c r="F56" s="6">
        <f t="shared" si="36"/>
        <v>4.6372229150657786E-2</v>
      </c>
      <c r="G56" s="2"/>
      <c r="H56" s="7">
        <v>70.64</v>
      </c>
      <c r="I56" s="2"/>
      <c r="J56" s="6">
        <f t="shared" si="37"/>
        <v>1.3153754052358049E-2</v>
      </c>
      <c r="K56" s="2"/>
      <c r="L56" s="7">
        <f t="shared" si="38"/>
        <v>150.23000000000002</v>
      </c>
      <c r="M56" s="2"/>
      <c r="N56" s="6">
        <f t="shared" si="39"/>
        <v>2.126698754246886</v>
      </c>
      <c r="O56" s="11"/>
      <c r="P56" s="7">
        <v>220.87</v>
      </c>
      <c r="Q56" s="2"/>
      <c r="R56" s="6">
        <f t="shared" si="40"/>
        <v>4.6372229150657786E-2</v>
      </c>
      <c r="S56" s="2"/>
      <c r="T56" s="7">
        <v>70.64</v>
      </c>
      <c r="U56" s="2"/>
      <c r="V56" s="6">
        <f t="shared" si="41"/>
        <v>1.3153754052358049E-2</v>
      </c>
      <c r="W56" s="2"/>
      <c r="X56" s="7">
        <f t="shared" si="42"/>
        <v>150.23000000000002</v>
      </c>
      <c r="Y56" s="2"/>
      <c r="Z56" s="6">
        <f t="shared" si="43"/>
        <v>2.126698754246886</v>
      </c>
    </row>
    <row r="57" spans="1:26" s="24" customFormat="1" hidden="1" outlineLevel="2" x14ac:dyDescent="0.25">
      <c r="A57" s="29"/>
      <c r="B57" s="11" t="str">
        <f>CONCATENATE("          ", "6243", " - ", "PAPER SUPPLIES")</f>
        <v xml:space="preserve">          6243 - PAPER SUPPLIES</v>
      </c>
      <c r="C57" s="11"/>
      <c r="D57" s="7"/>
      <c r="E57" s="2"/>
      <c r="F57" s="6">
        <f t="shared" si="36"/>
        <v>0</v>
      </c>
      <c r="G57" s="2"/>
      <c r="H57" s="7">
        <v>45.85</v>
      </c>
      <c r="I57" s="2"/>
      <c r="J57" s="6">
        <f t="shared" si="37"/>
        <v>8.5376503864753196E-3</v>
      </c>
      <c r="K57" s="2"/>
      <c r="L57" s="7">
        <f t="shared" si="38"/>
        <v>-45.85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45.85</v>
      </c>
      <c r="U57" s="2"/>
      <c r="V57" s="6">
        <f t="shared" si="41"/>
        <v>8.5376503864753196E-3</v>
      </c>
      <c r="W57" s="2"/>
      <c r="X57" s="7">
        <f t="shared" si="42"/>
        <v>-45.85</v>
      </c>
      <c r="Y57" s="2"/>
      <c r="Z57" s="6">
        <f t="shared" si="43"/>
        <v>-1</v>
      </c>
    </row>
    <row r="58" spans="1:26" s="24" customFormat="1" hidden="1" outlineLevel="2" x14ac:dyDescent="0.25">
      <c r="A58" s="29"/>
      <c r="B58" s="11" t="str">
        <f>CONCATENATE("          ", "6245", " - ", "PRINTING")</f>
        <v xml:space="preserve">          6245 - PRINTING</v>
      </c>
      <c r="C58" s="11"/>
      <c r="D58" s="7"/>
      <c r="E58" s="2"/>
      <c r="F58" s="6">
        <f t="shared" si="36"/>
        <v>0</v>
      </c>
      <c r="G58" s="2"/>
      <c r="H58" s="7">
        <v>51.82</v>
      </c>
      <c r="I58" s="2"/>
      <c r="J58" s="6">
        <f t="shared" si="37"/>
        <v>9.6493139155321931E-3</v>
      </c>
      <c r="K58" s="2"/>
      <c r="L58" s="7">
        <f t="shared" si="38"/>
        <v>-51.82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51.82</v>
      </c>
      <c r="U58" s="2"/>
      <c r="V58" s="6">
        <f t="shared" si="41"/>
        <v>9.6493139155321931E-3</v>
      </c>
      <c r="W58" s="2"/>
      <c r="X58" s="7">
        <f t="shared" si="42"/>
        <v>-51.82</v>
      </c>
      <c r="Y58" s="2"/>
      <c r="Z58" s="6">
        <f t="shared" si="43"/>
        <v>-1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7">
        <v>3557.89</v>
      </c>
      <c r="E59" s="2"/>
      <c r="F59" s="6">
        <f t="shared" si="36"/>
        <v>0.74698823005765302</v>
      </c>
      <c r="G59" s="2"/>
      <c r="H59" s="7">
        <v>-72.290000000000006</v>
      </c>
      <c r="I59" s="2"/>
      <c r="J59" s="6">
        <f t="shared" si="37"/>
        <v>-1.3460997741293368E-2</v>
      </c>
      <c r="K59" s="2"/>
      <c r="L59" s="7">
        <f t="shared" si="38"/>
        <v>3630.18</v>
      </c>
      <c r="M59" s="2"/>
      <c r="N59" s="6">
        <f t="shared" si="39"/>
        <v>-50.216904136118409</v>
      </c>
      <c r="O59" s="11"/>
      <c r="P59" s="7">
        <v>3557.89</v>
      </c>
      <c r="Q59" s="2"/>
      <c r="R59" s="6">
        <f t="shared" si="40"/>
        <v>0.74698823005765302</v>
      </c>
      <c r="S59" s="2"/>
      <c r="T59" s="7">
        <v>-72.290000000000006</v>
      </c>
      <c r="U59" s="2"/>
      <c r="V59" s="6">
        <f t="shared" si="41"/>
        <v>-1.3460997741293368E-2</v>
      </c>
      <c r="W59" s="2"/>
      <c r="X59" s="7">
        <f t="shared" si="42"/>
        <v>3630.18</v>
      </c>
      <c r="Y59" s="2"/>
      <c r="Z59" s="6">
        <f t="shared" si="43"/>
        <v>-50.216904136118409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SUM(OSRRefD22_11x_0)</f>
        <v>69.010000000000005</v>
      </c>
      <c r="E60" s="1"/>
      <c r="F60" s="5">
        <f t="shared" ref="F60:F61" si="44">IF(D$12=0,0,D60/D$12)</f>
        <v>1.4488828422542193E-2</v>
      </c>
      <c r="G60" s="1"/>
      <c r="H60" s="1">
        <f>SUM(OSRRefH22_11x_0)</f>
        <v>69.010000000000005</v>
      </c>
      <c r="I60" s="1"/>
      <c r="J60" s="5">
        <f t="shared" ref="J60:J61" si="45">IF(H$12=0,0,H60/H$12)</f>
        <v>1.2850234529349221E-2</v>
      </c>
      <c r="K60" s="1"/>
      <c r="L60" s="1">
        <f t="shared" ref="L60:L61" si="46">+D60-H60</f>
        <v>0</v>
      </c>
      <c r="M60" s="1"/>
      <c r="N60" s="5">
        <f t="shared" ref="N60:N61" si="47">IF(H60=0,0,L60/H60)</f>
        <v>0</v>
      </c>
      <c r="O60" s="14"/>
      <c r="P60" s="1">
        <f>SUM(OSRRefP22_11x_0)</f>
        <v>69.010000000000005</v>
      </c>
      <c r="Q60" s="1"/>
      <c r="R60" s="5">
        <f t="shared" ref="R60:R61" si="48">IF(P$12=0,0,P60/P$12)</f>
        <v>1.4488828422542193E-2</v>
      </c>
      <c r="S60" s="1"/>
      <c r="T60" s="1">
        <f>SUM(OSRRefT22_11x_0)</f>
        <v>69.010000000000005</v>
      </c>
      <c r="U60" s="1"/>
      <c r="V60" s="5">
        <f t="shared" ref="V60:V61" si="49">IF(T$12=0,0,T60/T$12)</f>
        <v>1.2850234529349221E-2</v>
      </c>
      <c r="W60" s="1"/>
      <c r="X60" s="1">
        <f t="shared" ref="X60:X61" si="50">+P60-T60</f>
        <v>0</v>
      </c>
      <c r="Y60" s="1"/>
      <c r="Z60" s="5">
        <f t="shared" ref="Z60:Z61" si="51">IF(T60=0,0,X60/T60)</f>
        <v>0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7">
        <v>69.010000000000005</v>
      </c>
      <c r="E61" s="2"/>
      <c r="F61" s="6">
        <f t="shared" si="44"/>
        <v>1.4488828422542193E-2</v>
      </c>
      <c r="G61" s="2"/>
      <c r="H61" s="7">
        <v>69.010000000000005</v>
      </c>
      <c r="I61" s="2"/>
      <c r="J61" s="6">
        <f t="shared" si="45"/>
        <v>1.2850234529349221E-2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>
        <v>69.010000000000005</v>
      </c>
      <c r="Q61" s="2"/>
      <c r="R61" s="6">
        <f t="shared" si="48"/>
        <v>1.4488828422542193E-2</v>
      </c>
      <c r="S61" s="2"/>
      <c r="T61" s="7">
        <v>69.010000000000005</v>
      </c>
      <c r="U61" s="2"/>
      <c r="V61" s="6">
        <f t="shared" si="49"/>
        <v>1.2850234529349221E-2</v>
      </c>
      <c r="W61" s="2"/>
      <c r="X61" s="7">
        <f t="shared" si="50"/>
        <v>0</v>
      </c>
      <c r="Y61" s="2"/>
      <c r="Z61" s="6">
        <f t="shared" si="51"/>
        <v>0</v>
      </c>
    </row>
    <row r="62" spans="1:26" s="54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5" t="s">
        <v>3</v>
      </c>
      <c r="C65" s="25"/>
      <c r="D65" s="21">
        <f>+D20-D22+D63</f>
        <v>-11802.86</v>
      </c>
      <c r="E65" s="13"/>
      <c r="F65" s="20">
        <f>IF(D$12=0,0,D65/D$12)</f>
        <v>-2.4780410583290298</v>
      </c>
      <c r="G65" s="13"/>
      <c r="H65" s="21">
        <f>+H20-H22+H63</f>
        <v>-5589.58</v>
      </c>
      <c r="I65" s="13"/>
      <c r="J65" s="20">
        <f>IF(H$12=0,0,H65/H$12)</f>
        <v>-1.0408261689691323</v>
      </c>
      <c r="K65" s="16"/>
      <c r="L65" s="21">
        <f>+D65-H65</f>
        <v>-6213.2800000000007</v>
      </c>
      <c r="M65" s="16"/>
      <c r="N65" s="20">
        <f>IF(H65=0,0,L65/H65)</f>
        <v>1.1115826233813633</v>
      </c>
      <c r="O65" s="26"/>
      <c r="P65" s="21">
        <f>+P20-P22+P63</f>
        <v>-11802.86</v>
      </c>
      <c r="Q65" s="13"/>
      <c r="R65" s="20">
        <f>IF(P$12=0,0,P65/P$12)</f>
        <v>-2.4780410583290298</v>
      </c>
      <c r="S65" s="13"/>
      <c r="T65" s="21">
        <f>+T20-T22+T63</f>
        <v>-5589.58</v>
      </c>
      <c r="U65" s="13"/>
      <c r="V65" s="20">
        <f>IF(T$12=0,0,T65/T$12)</f>
        <v>-1.0408261689691323</v>
      </c>
      <c r="W65" s="16"/>
      <c r="X65" s="21">
        <f>+P65-T65</f>
        <v>-6213.2800000000007</v>
      </c>
      <c r="Y65" s="16"/>
      <c r="Z65" s="20">
        <f>IF(T65=0,0,X65/T65)</f>
        <v>1.1115826233813633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>
        <v>990.36</v>
      </c>
      <c r="E67" s="4"/>
      <c r="F67" s="12">
        <f>IF(D$12=0,0,D67/D$12)</f>
        <v>0.20792864971089531</v>
      </c>
      <c r="G67" s="4"/>
      <c r="H67" s="4">
        <v>1102.53</v>
      </c>
      <c r="I67" s="4"/>
      <c r="J67" s="12">
        <f>IF(H$12=0,0,H67/H$12)</f>
        <v>0.2053002329465787</v>
      </c>
      <c r="K67" s="4"/>
      <c r="L67" s="4">
        <f>+D67-H67</f>
        <v>-112.16999999999996</v>
      </c>
      <c r="M67" s="4"/>
      <c r="N67" s="12">
        <f>IF(H67=0,0,L67/H67)</f>
        <v>-0.10173872819787214</v>
      </c>
      <c r="O67" s="10"/>
      <c r="P67" s="4">
        <v>990.36</v>
      </c>
      <c r="Q67" s="4"/>
      <c r="R67" s="12">
        <f>IF(P$12=0,0,P67/P$12)</f>
        <v>0.20792864971089531</v>
      </c>
      <c r="S67" s="4"/>
      <c r="T67" s="4">
        <v>1102.53</v>
      </c>
      <c r="U67" s="4"/>
      <c r="V67" s="12">
        <f>IF(T$12=0,0,T67/T$12)</f>
        <v>0.2053002329465787</v>
      </c>
      <c r="W67" s="4"/>
      <c r="X67" s="4">
        <f>+P67-T67</f>
        <v>-112.16999999999996</v>
      </c>
      <c r="Y67" s="4"/>
      <c r="Z67" s="12">
        <f>IF(T67=0,0,X67/T67)</f>
        <v>-0.10173872819787214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4</v>
      </c>
      <c r="C69" s="25"/>
      <c r="D69" s="33">
        <f>+D65-D67</f>
        <v>-12793.220000000001</v>
      </c>
      <c r="E69" s="13"/>
      <c r="F69" s="34">
        <f>IF(D$12=0,0,D69/D$12)</f>
        <v>-2.685969708039925</v>
      </c>
      <c r="G69" s="13"/>
      <c r="H69" s="33">
        <f>+H65-H67</f>
        <v>-6692.11</v>
      </c>
      <c r="I69" s="13"/>
      <c r="J69" s="34">
        <f>IF(H$12=0,0,H69/H$12)</f>
        <v>-1.246126401915711</v>
      </c>
      <c r="K69" s="16"/>
      <c r="L69" s="33">
        <f>D69-H69</f>
        <v>-6101.1100000000015</v>
      </c>
      <c r="M69" s="16"/>
      <c r="N69" s="34">
        <f>IF(H69=0,0,L69/H69)</f>
        <v>0.91168704638746256</v>
      </c>
      <c r="O69" s="26"/>
      <c r="P69" s="33">
        <f>+P65-P67</f>
        <v>-12793.220000000001</v>
      </c>
      <c r="Q69" s="13"/>
      <c r="R69" s="34">
        <f>IF(P$12=0,0,P69/P$12)</f>
        <v>-2.685969708039925</v>
      </c>
      <c r="S69" s="13"/>
      <c r="T69" s="33">
        <f>+T65-T67</f>
        <v>-6692.11</v>
      </c>
      <c r="U69" s="13"/>
      <c r="V69" s="34">
        <f>IF(T$12=0,0,T69/T$12)</f>
        <v>-1.246126401915711</v>
      </c>
      <c r="W69" s="16"/>
      <c r="X69" s="33">
        <f>P69-T69</f>
        <v>-6101.1100000000015</v>
      </c>
      <c r="Y69" s="16"/>
      <c r="Z69" s="34">
        <f>IF(T69=0,0,X69/T69)</f>
        <v>0.91168704638746256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5</v>
      </c>
      <c r="C72" s="25"/>
      <c r="D72" s="31">
        <f>SUM(D69:D71)</f>
        <v>-12793.220000000001</v>
      </c>
      <c r="E72" s="13"/>
      <c r="F72" s="30">
        <f>IF(D$12=0,0,D72/D$12)</f>
        <v>-2.685969708039925</v>
      </c>
      <c r="G72" s="13"/>
      <c r="H72" s="31">
        <f>SUM(H69:H71)</f>
        <v>-6692.11</v>
      </c>
      <c r="I72" s="13"/>
      <c r="J72" s="30">
        <f>IF(H$12=0,0,H72/H$12)</f>
        <v>-1.246126401915711</v>
      </c>
      <c r="K72" s="16"/>
      <c r="L72" s="31">
        <f>+D72-H72</f>
        <v>-6101.1100000000015</v>
      </c>
      <c r="M72" s="16"/>
      <c r="N72" s="30">
        <f>IF(H72=0,0,L72/H72)</f>
        <v>0.91168704638746256</v>
      </c>
      <c r="O72" s="26"/>
      <c r="P72" s="31">
        <f>SUM(P69:P71)</f>
        <v>-12793.220000000001</v>
      </c>
      <c r="Q72" s="13"/>
      <c r="R72" s="30">
        <f>IF(P$12=0,0,P72/P$12)</f>
        <v>-2.685969708039925</v>
      </c>
      <c r="S72" s="13"/>
      <c r="T72" s="31">
        <f>SUM(T69:T71)</f>
        <v>-6692.11</v>
      </c>
      <c r="U72" s="13"/>
      <c r="V72" s="30">
        <f>IF(T$12=0,0,T72/T$12)</f>
        <v>-1.246126401915711</v>
      </c>
      <c r="W72" s="16"/>
      <c r="X72" s="31">
        <f>+P72-T72</f>
        <v>-6101.1100000000015</v>
      </c>
      <c r="Y72" s="16"/>
      <c r="Z72" s="30">
        <f>IF(T72=0,0,X72/T72)</f>
        <v>0.91168704638746256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6">
        <v>43726.681838576391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3" t="s">
        <v>313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19570.3</v>
      </c>
      <c r="E12" s="4"/>
      <c r="F12" s="12"/>
      <c r="G12" s="4"/>
      <c r="H12" s="4">
        <f>SUM(OSRRefH13x_0)</f>
        <v>16866.43</v>
      </c>
      <c r="I12" s="4"/>
      <c r="J12" s="12"/>
      <c r="K12" s="4"/>
      <c r="L12" s="4">
        <f t="shared" ref="L12:L17" si="0">+D12-H12</f>
        <v>2703.869999999999</v>
      </c>
      <c r="M12" s="4"/>
      <c r="N12" s="12">
        <f t="shared" ref="N12:N17" si="1">IF(H12=0,0,L12/H12)</f>
        <v>0.1603107474432941</v>
      </c>
      <c r="O12" s="10"/>
      <c r="P12" s="4">
        <f>SUM(OSRRefP13x_0)</f>
        <v>19570.3</v>
      </c>
      <c r="Q12" s="4"/>
      <c r="R12" s="12"/>
      <c r="S12" s="4"/>
      <c r="T12" s="4">
        <f>SUM(OSRRefT13x_0)</f>
        <v>16866.43</v>
      </c>
      <c r="U12" s="4"/>
      <c r="V12" s="12"/>
      <c r="W12" s="4"/>
      <c r="X12" s="4">
        <f t="shared" ref="X12:X17" si="2">+P12-T12</f>
        <v>2703.869999999999</v>
      </c>
      <c r="Y12" s="4"/>
      <c r="Z12" s="12">
        <f t="shared" ref="Z12:Z17" si="3">IF(T12=0,0,X12/T12)</f>
        <v>0.1603107474432941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--3694.52</f>
        <v>3694.52</v>
      </c>
      <c r="E13" s="2"/>
      <c r="F13" s="22"/>
      <c r="G13" s="2"/>
      <c r="H13" s="2">
        <f>--3140.37</f>
        <v>3140.37</v>
      </c>
      <c r="I13" s="2"/>
      <c r="J13" s="22"/>
      <c r="K13" s="2"/>
      <c r="L13" s="2">
        <f t="shared" si="0"/>
        <v>554.15000000000009</v>
      </c>
      <c r="M13" s="2"/>
      <c r="N13" s="22">
        <f t="shared" si="1"/>
        <v>0.17646009865079595</v>
      </c>
      <c r="O13" s="11"/>
      <c r="P13" s="2">
        <f>--3694.52</f>
        <v>3694.52</v>
      </c>
      <c r="Q13" s="2"/>
      <c r="R13" s="22"/>
      <c r="S13" s="2"/>
      <c r="T13" s="2">
        <f>--3140.37</f>
        <v>3140.37</v>
      </c>
      <c r="U13" s="2"/>
      <c r="V13" s="22"/>
      <c r="W13" s="2"/>
      <c r="X13" s="2">
        <f t="shared" si="2"/>
        <v>554.15000000000009</v>
      </c>
      <c r="Y13" s="2"/>
      <c r="Z13" s="22">
        <f t="shared" si="3"/>
        <v>0.17646009865079595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2">
        <f>--288.75</f>
        <v>288.75</v>
      </c>
      <c r="E14" s="2"/>
      <c r="F14" s="22"/>
      <c r="G14" s="2"/>
      <c r="H14" s="2">
        <f>--200.55</f>
        <v>200.55</v>
      </c>
      <c r="I14" s="2"/>
      <c r="J14" s="22"/>
      <c r="K14" s="2"/>
      <c r="L14" s="2">
        <f t="shared" si="0"/>
        <v>88.199999999999989</v>
      </c>
      <c r="M14" s="2"/>
      <c r="N14" s="22">
        <f t="shared" si="1"/>
        <v>0.43979057591623028</v>
      </c>
      <c r="O14" s="11"/>
      <c r="P14" s="2">
        <f>--288.75</f>
        <v>288.75</v>
      </c>
      <c r="Q14" s="2"/>
      <c r="R14" s="22"/>
      <c r="S14" s="2"/>
      <c r="T14" s="2">
        <f>--200.55</f>
        <v>200.55</v>
      </c>
      <c r="U14" s="2"/>
      <c r="V14" s="22"/>
      <c r="W14" s="2"/>
      <c r="X14" s="2">
        <f t="shared" si="2"/>
        <v>88.199999999999989</v>
      </c>
      <c r="Y14" s="2"/>
      <c r="Z14" s="22">
        <f t="shared" si="3"/>
        <v>0.43979057591623028</v>
      </c>
    </row>
    <row r="15" spans="1:26" s="24" customFormat="1" hidden="1" outlineLevel="1" x14ac:dyDescent="0.25">
      <c r="A15" s="50"/>
      <c r="B15" s="11" t="str">
        <f>CONCATENATE("          ", "4132", " - ", "NON-TAXABLE SALES-JUICE")</f>
        <v xml:space="preserve">          4132 - NON-TAXABLE SALES-JUICE</v>
      </c>
      <c r="C15" s="11"/>
      <c r="D15" s="2">
        <f>--15379.92</f>
        <v>15379.92</v>
      </c>
      <c r="E15" s="2"/>
      <c r="F15" s="22"/>
      <c r="G15" s="2"/>
      <c r="H15" s="2">
        <f>--13321.33</f>
        <v>13321.33</v>
      </c>
      <c r="I15" s="2"/>
      <c r="J15" s="22"/>
      <c r="K15" s="2"/>
      <c r="L15" s="2">
        <f t="shared" si="0"/>
        <v>2058.59</v>
      </c>
      <c r="M15" s="2"/>
      <c r="N15" s="22">
        <f t="shared" si="1"/>
        <v>0.15453336866514081</v>
      </c>
      <c r="O15" s="11"/>
      <c r="P15" s="2">
        <f>--15379.92</f>
        <v>15379.92</v>
      </c>
      <c r="Q15" s="2"/>
      <c r="R15" s="22"/>
      <c r="S15" s="2"/>
      <c r="T15" s="2">
        <f>--13321.33</f>
        <v>13321.33</v>
      </c>
      <c r="U15" s="2"/>
      <c r="V15" s="22"/>
      <c r="W15" s="2"/>
      <c r="X15" s="2">
        <f t="shared" si="2"/>
        <v>2058.59</v>
      </c>
      <c r="Y15" s="2"/>
      <c r="Z15" s="22">
        <f t="shared" si="3"/>
        <v>0.15453336866514081</v>
      </c>
    </row>
    <row r="16" spans="1:26" s="24" customFormat="1" hidden="1" outlineLevel="1" x14ac:dyDescent="0.25">
      <c r="A16" s="50"/>
      <c r="B16" s="11" t="str">
        <f>CONCATENATE("          ", "4134", " - ", "NON-TAXABLE SALES-SODA")</f>
        <v xml:space="preserve">          4134 - NON-TAXABLE SALES-SODA</v>
      </c>
      <c r="C16" s="11"/>
      <c r="D16" s="2">
        <f>-3.39</f>
        <v>-3.39</v>
      </c>
      <c r="E16" s="2"/>
      <c r="F16" s="22"/>
      <c r="G16" s="2"/>
      <c r="H16" s="2">
        <f>--17.5</f>
        <v>17.5</v>
      </c>
      <c r="I16" s="2"/>
      <c r="J16" s="22"/>
      <c r="K16" s="2"/>
      <c r="L16" s="2">
        <f t="shared" si="0"/>
        <v>-20.89</v>
      </c>
      <c r="M16" s="2"/>
      <c r="N16" s="22">
        <f t="shared" si="1"/>
        <v>-1.1937142857142857</v>
      </c>
      <c r="O16" s="11"/>
      <c r="P16" s="2">
        <f>-3.39</f>
        <v>-3.39</v>
      </c>
      <c r="Q16" s="2"/>
      <c r="R16" s="22"/>
      <c r="S16" s="2"/>
      <c r="T16" s="2">
        <f>--17.5</f>
        <v>17.5</v>
      </c>
      <c r="U16" s="2"/>
      <c r="V16" s="22"/>
      <c r="W16" s="2"/>
      <c r="X16" s="2">
        <f t="shared" si="2"/>
        <v>-20.89</v>
      </c>
      <c r="Y16" s="2"/>
      <c r="Z16" s="22">
        <f t="shared" si="3"/>
        <v>-1.1937142857142857</v>
      </c>
    </row>
    <row r="17" spans="1:26" s="24" customFormat="1" hidden="1" outlineLevel="1" x14ac:dyDescent="0.25">
      <c r="A17" s="50"/>
      <c r="B17" s="11" t="str">
        <f>CONCATENATE("          ", "4137", " - ", "NON-TAXABLE SALES-WATER")</f>
        <v xml:space="preserve">          4137 - NON-TAXABLE SALES-WATER</v>
      </c>
      <c r="C17" s="11"/>
      <c r="D17" s="2">
        <f>--210.5</f>
        <v>210.5</v>
      </c>
      <c r="E17" s="2"/>
      <c r="F17" s="22"/>
      <c r="G17" s="2"/>
      <c r="H17" s="2">
        <f>--186.68</f>
        <v>186.68</v>
      </c>
      <c r="I17" s="2"/>
      <c r="J17" s="22"/>
      <c r="K17" s="2"/>
      <c r="L17" s="2">
        <f t="shared" si="0"/>
        <v>23.819999999999993</v>
      </c>
      <c r="M17" s="2"/>
      <c r="N17" s="22">
        <f t="shared" si="1"/>
        <v>0.1275980287122348</v>
      </c>
      <c r="O17" s="11"/>
      <c r="P17" s="2">
        <f>--210.5</f>
        <v>210.5</v>
      </c>
      <c r="Q17" s="2"/>
      <c r="R17" s="22"/>
      <c r="S17" s="2"/>
      <c r="T17" s="2">
        <f>--186.68</f>
        <v>186.68</v>
      </c>
      <c r="U17" s="2"/>
      <c r="V17" s="22"/>
      <c r="W17" s="2"/>
      <c r="X17" s="2">
        <f t="shared" si="2"/>
        <v>23.819999999999993</v>
      </c>
      <c r="Y17" s="2"/>
      <c r="Z17" s="22">
        <f t="shared" si="3"/>
        <v>0.1275980287122348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9068.3100000000013</v>
      </c>
      <c r="E19" s="4"/>
      <c r="F19" s="12">
        <f t="shared" ref="F19:F21" si="4">IF(D$12=0,0,D19/D$12)</f>
        <v>0.46337102650444817</v>
      </c>
      <c r="G19" s="4"/>
      <c r="H19" s="4">
        <f>SUM(OSRRefH16x_0)</f>
        <v>-446.64000000000033</v>
      </c>
      <c r="I19" s="4"/>
      <c r="J19" s="12">
        <f t="shared" ref="J19:J21" si="5">IF(H$12=0,0,H19/H$12)</f>
        <v>-2.6481003982466965E-2</v>
      </c>
      <c r="K19" s="4"/>
      <c r="L19" s="4">
        <f t="shared" ref="L19:L21" si="6">+D19-H19</f>
        <v>9514.9500000000007</v>
      </c>
      <c r="M19" s="4"/>
      <c r="N19" s="12">
        <f t="shared" ref="N19:N21" si="7">IF(H19=0,0,L19/H19)</f>
        <v>-21.303398710370754</v>
      </c>
      <c r="O19" s="10"/>
      <c r="P19" s="4">
        <f>SUM(OSRRefP16x_0)</f>
        <v>9068.3100000000013</v>
      </c>
      <c r="Q19" s="4"/>
      <c r="R19" s="12">
        <f t="shared" ref="R19:R21" si="8">IF(P$12=0,0,P19/P$12)</f>
        <v>0.46337102650444817</v>
      </c>
      <c r="S19" s="4"/>
      <c r="T19" s="4">
        <f>SUM(OSRRefT16x_0)</f>
        <v>-446.64000000000033</v>
      </c>
      <c r="U19" s="4"/>
      <c r="V19" s="12">
        <f t="shared" ref="V19:V21" si="9">IF(T$12=0,0,T19/T$12)</f>
        <v>-2.6481003982466965E-2</v>
      </c>
      <c r="W19" s="4"/>
      <c r="X19" s="4">
        <f t="shared" ref="X19:X21" si="10">+P19-T19</f>
        <v>9514.9500000000007</v>
      </c>
      <c r="Y19" s="4"/>
      <c r="Z19" s="12">
        <f t="shared" ref="Z19:Z21" si="11">IF(T19=0,0,X19/T19)</f>
        <v>-21.303398710370754</v>
      </c>
    </row>
    <row r="20" spans="1:26" s="24" customFormat="1" hidden="1" outlineLevel="1" x14ac:dyDescent="0.25">
      <c r="A20" s="50"/>
      <c r="B20" s="11" t="str">
        <f>CONCATENATE("          ", "5053", " - ", "PURCHASES @ COST-FOOD")</f>
        <v xml:space="preserve">          5053 - PURCHASES @ COST-FOOD</v>
      </c>
      <c r="C20" s="11"/>
      <c r="D20" s="2">
        <v>14156.79</v>
      </c>
      <c r="E20" s="2"/>
      <c r="F20" s="22">
        <f t="shared" si="4"/>
        <v>0.72338134826752787</v>
      </c>
      <c r="G20" s="2"/>
      <c r="H20" s="2">
        <v>7579.4</v>
      </c>
      <c r="I20" s="2"/>
      <c r="J20" s="22">
        <f t="shared" si="5"/>
        <v>0.44937784700141048</v>
      </c>
      <c r="K20" s="2"/>
      <c r="L20" s="2">
        <f t="shared" si="6"/>
        <v>6577.3900000000012</v>
      </c>
      <c r="M20" s="2"/>
      <c r="N20" s="22">
        <f t="shared" si="7"/>
        <v>0.86779824260495575</v>
      </c>
      <c r="O20" s="11"/>
      <c r="P20" s="2">
        <v>14156.79</v>
      </c>
      <c r="Q20" s="2"/>
      <c r="R20" s="22">
        <f t="shared" si="8"/>
        <v>0.72338134826752787</v>
      </c>
      <c r="S20" s="2"/>
      <c r="T20" s="2">
        <v>7579.4</v>
      </c>
      <c r="U20" s="2"/>
      <c r="V20" s="22">
        <f t="shared" si="9"/>
        <v>0.44937784700141048</v>
      </c>
      <c r="W20" s="2"/>
      <c r="X20" s="2">
        <f t="shared" si="10"/>
        <v>6577.3900000000012</v>
      </c>
      <c r="Y20" s="2"/>
      <c r="Z20" s="22">
        <f t="shared" si="11"/>
        <v>0.86779824260495575</v>
      </c>
    </row>
    <row r="21" spans="1:26" s="24" customFormat="1" hidden="1" outlineLevel="1" x14ac:dyDescent="0.25">
      <c r="A21" s="50"/>
      <c r="B21" s="11" t="str">
        <f>CONCATENATE("          ", "5059", " - ", "PURCHASES @ COST-FOOD")</f>
        <v xml:space="preserve">          5059 - PURCHASES @ COST-FOOD</v>
      </c>
      <c r="C21" s="11"/>
      <c r="D21" s="2">
        <v>-5088.4799999999996</v>
      </c>
      <c r="E21" s="2"/>
      <c r="F21" s="22">
        <f t="shared" si="4"/>
        <v>-0.26001032176307975</v>
      </c>
      <c r="G21" s="2"/>
      <c r="H21" s="2">
        <v>-8026.04</v>
      </c>
      <c r="I21" s="2"/>
      <c r="J21" s="22">
        <f t="shared" si="5"/>
        <v>-0.47585885098387742</v>
      </c>
      <c r="K21" s="2"/>
      <c r="L21" s="2">
        <f t="shared" si="6"/>
        <v>2937.5600000000004</v>
      </c>
      <c r="M21" s="2"/>
      <c r="N21" s="22">
        <f t="shared" si="7"/>
        <v>-0.36600365809290764</v>
      </c>
      <c r="O21" s="11"/>
      <c r="P21" s="2">
        <v>-5088.4799999999996</v>
      </c>
      <c r="Q21" s="2"/>
      <c r="R21" s="22">
        <f t="shared" si="8"/>
        <v>-0.26001032176307975</v>
      </c>
      <c r="S21" s="2"/>
      <c r="T21" s="2">
        <v>-8026.04</v>
      </c>
      <c r="U21" s="2"/>
      <c r="V21" s="22">
        <f t="shared" si="9"/>
        <v>-0.47585885098387742</v>
      </c>
      <c r="W21" s="2"/>
      <c r="X21" s="2">
        <f t="shared" si="10"/>
        <v>2937.5600000000004</v>
      </c>
      <c r="Y21" s="2"/>
      <c r="Z21" s="22">
        <f t="shared" si="11"/>
        <v>-0.36600365809290764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D12-D19</f>
        <v>10501.989999999998</v>
      </c>
      <c r="E23" s="13"/>
      <c r="F23" s="20">
        <f>IF(D$12=0,0,D23/D$12)</f>
        <v>0.53662897349555183</v>
      </c>
      <c r="G23" s="13"/>
      <c r="H23" s="21">
        <f>H12-H19</f>
        <v>17313.07</v>
      </c>
      <c r="I23" s="13"/>
      <c r="J23" s="20">
        <f>IF(H$12=0,0,H23/H$12)</f>
        <v>1.026481003982467</v>
      </c>
      <c r="K23" s="16"/>
      <c r="L23" s="21">
        <f>+D23-H23</f>
        <v>-6811.0800000000017</v>
      </c>
      <c r="M23" s="16"/>
      <c r="N23" s="20">
        <f>IF(H23=0,0,L23/H23)</f>
        <v>-0.39340683079315231</v>
      </c>
      <c r="O23" s="26"/>
      <c r="P23" s="21">
        <f>P12-P19</f>
        <v>10501.989999999998</v>
      </c>
      <c r="Q23" s="13"/>
      <c r="R23" s="20">
        <f>IF(P$12=0,0,P23/P$12)</f>
        <v>0.53662897349555183</v>
      </c>
      <c r="S23" s="13"/>
      <c r="T23" s="21">
        <f>T12-T19</f>
        <v>17313.07</v>
      </c>
      <c r="U23" s="13"/>
      <c r="V23" s="20">
        <f>IF(T$12=0,0,T23/T$12)</f>
        <v>1.026481003982467</v>
      </c>
      <c r="W23" s="16"/>
      <c r="X23" s="21">
        <f>+P23-T23</f>
        <v>-6811.0800000000017</v>
      </c>
      <c r="Y23" s="16"/>
      <c r="Z23" s="20">
        <f>IF(T23=0,0,X23/T23)</f>
        <v>-0.39340683079315231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19">
        <f>SUM(OSRRefD22x_0)</f>
        <v>16689.240000000002</v>
      </c>
      <c r="E25" s="19"/>
      <c r="F25" s="35">
        <f t="shared" ref="F25:F34" si="12">IF(D$12=0,0,D25/D$12)</f>
        <v>0.85278406565050113</v>
      </c>
      <c r="G25" s="19"/>
      <c r="H25" s="19">
        <f>SUM(OSRRefH22x_0)</f>
        <v>17955.020000000004</v>
      </c>
      <c r="I25" s="19"/>
      <c r="J25" s="35">
        <f t="shared" ref="J25:J34" si="13">IF(H$12=0,0,H25/H$12)</f>
        <v>1.0645418147171632</v>
      </c>
      <c r="K25" s="4"/>
      <c r="L25" s="19">
        <f t="shared" ref="L25:L34" si="14">+D25-H25</f>
        <v>-1265.7800000000025</v>
      </c>
      <c r="M25" s="4"/>
      <c r="N25" s="35">
        <f t="shared" ref="N25:N34" si="15">IF(H25=0,0,L25/H25)</f>
        <v>-7.0497275970731424E-2</v>
      </c>
      <c r="O25" s="10"/>
      <c r="P25" s="19">
        <f>SUM(OSRRefP22x_0)</f>
        <v>16689.240000000002</v>
      </c>
      <c r="Q25" s="19"/>
      <c r="R25" s="35">
        <f t="shared" ref="R25:R34" si="16">IF(P$12=0,0,P25/P$12)</f>
        <v>0.85278406565050113</v>
      </c>
      <c r="S25" s="19"/>
      <c r="T25" s="19">
        <f>SUM(OSRRefT22x_0)</f>
        <v>17955.020000000004</v>
      </c>
      <c r="U25" s="19"/>
      <c r="V25" s="35">
        <f t="shared" ref="V25:V34" si="17">IF(T$12=0,0,T25/T$12)</f>
        <v>1.0645418147171632</v>
      </c>
      <c r="W25" s="4"/>
      <c r="X25" s="19">
        <f t="shared" ref="X25:X34" si="18">+P25-T25</f>
        <v>-1265.7800000000025</v>
      </c>
      <c r="Y25" s="4"/>
      <c r="Z25" s="35">
        <f t="shared" ref="Z25:Z34" si="19">IF(T25=0,0,X25/T25)</f>
        <v>-7.0497275970731424E-2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4667.33</v>
      </c>
      <c r="E26" s="1"/>
      <c r="F26" s="5">
        <f t="shared" si="12"/>
        <v>0.23849046769850232</v>
      </c>
      <c r="G26" s="1"/>
      <c r="H26" s="1">
        <f>SUM(OSRRefH22_0x_0)</f>
        <v>3748.4399999999996</v>
      </c>
      <c r="I26" s="1"/>
      <c r="J26" s="5">
        <f t="shared" si="13"/>
        <v>0.22224264411615258</v>
      </c>
      <c r="K26" s="1"/>
      <c r="L26" s="1">
        <f t="shared" si="14"/>
        <v>918.89000000000033</v>
      </c>
      <c r="M26" s="1"/>
      <c r="N26" s="5">
        <f t="shared" si="15"/>
        <v>0.24513931128682875</v>
      </c>
      <c r="O26" s="14"/>
      <c r="P26" s="1">
        <f>SUM(OSRRefP22_0x_0)</f>
        <v>4667.33</v>
      </c>
      <c r="Q26" s="1"/>
      <c r="R26" s="5">
        <f t="shared" si="16"/>
        <v>0.23849046769850232</v>
      </c>
      <c r="S26" s="1"/>
      <c r="T26" s="1">
        <f>SUM(OSRRefT22_0x_0)</f>
        <v>3748.4399999999996</v>
      </c>
      <c r="U26" s="1"/>
      <c r="V26" s="5">
        <f t="shared" si="17"/>
        <v>0.22224264411615258</v>
      </c>
      <c r="W26" s="1"/>
      <c r="X26" s="1">
        <f t="shared" si="18"/>
        <v>918.89000000000033</v>
      </c>
      <c r="Y26" s="1"/>
      <c r="Z26" s="5">
        <f t="shared" si="19"/>
        <v>0.24513931128682875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396.06</v>
      </c>
      <c r="E27" s="2"/>
      <c r="F27" s="6">
        <f t="shared" si="12"/>
        <v>2.0237809333530914E-2</v>
      </c>
      <c r="G27" s="2"/>
      <c r="H27" s="7">
        <v>699.93</v>
      </c>
      <c r="I27" s="2"/>
      <c r="J27" s="6">
        <f t="shared" si="13"/>
        <v>4.1498408376876433E-2</v>
      </c>
      <c r="K27" s="2"/>
      <c r="L27" s="7">
        <f t="shared" si="14"/>
        <v>-303.86999999999995</v>
      </c>
      <c r="M27" s="2"/>
      <c r="N27" s="6">
        <f t="shared" si="15"/>
        <v>-0.43414341434143411</v>
      </c>
      <c r="O27" s="11"/>
      <c r="P27" s="7">
        <v>396.06</v>
      </c>
      <c r="Q27" s="2"/>
      <c r="R27" s="6">
        <f t="shared" si="16"/>
        <v>2.0237809333530914E-2</v>
      </c>
      <c r="S27" s="2"/>
      <c r="T27" s="7">
        <v>699.93</v>
      </c>
      <c r="U27" s="2"/>
      <c r="V27" s="6">
        <f t="shared" si="17"/>
        <v>4.1498408376876433E-2</v>
      </c>
      <c r="W27" s="2"/>
      <c r="X27" s="7">
        <f t="shared" si="18"/>
        <v>-303.86999999999995</v>
      </c>
      <c r="Y27" s="2"/>
      <c r="Z27" s="6">
        <f t="shared" si="19"/>
        <v>-0.43414341434143411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136.52000000000001</v>
      </c>
      <c r="E28" s="2"/>
      <c r="F28" s="6">
        <f t="shared" si="12"/>
        <v>6.9758767111388186E-3</v>
      </c>
      <c r="G28" s="2"/>
      <c r="H28" s="7">
        <v>139.19</v>
      </c>
      <c r="I28" s="2"/>
      <c r="J28" s="6">
        <f t="shared" si="13"/>
        <v>8.2524873372729138E-3</v>
      </c>
      <c r="K28" s="2"/>
      <c r="L28" s="7">
        <f t="shared" si="14"/>
        <v>-2.6699999999999875</v>
      </c>
      <c r="M28" s="2"/>
      <c r="N28" s="6">
        <f t="shared" si="15"/>
        <v>-1.9182412529635661E-2</v>
      </c>
      <c r="O28" s="11"/>
      <c r="P28" s="7">
        <v>136.52000000000001</v>
      </c>
      <c r="Q28" s="2"/>
      <c r="R28" s="6">
        <f t="shared" si="16"/>
        <v>6.9758767111388186E-3</v>
      </c>
      <c r="S28" s="2"/>
      <c r="T28" s="7">
        <v>139.19</v>
      </c>
      <c r="U28" s="2"/>
      <c r="V28" s="6">
        <f t="shared" si="17"/>
        <v>8.2524873372729138E-3</v>
      </c>
      <c r="W28" s="2"/>
      <c r="X28" s="7">
        <f t="shared" si="18"/>
        <v>-2.6699999999999875</v>
      </c>
      <c r="Y28" s="2"/>
      <c r="Z28" s="6">
        <f t="shared" si="19"/>
        <v>-1.9182412529635661E-2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2019.97</v>
      </c>
      <c r="E29" s="2"/>
      <c r="F29" s="6">
        <f t="shared" si="12"/>
        <v>0.10321609786257749</v>
      </c>
      <c r="G29" s="2"/>
      <c r="H29" s="7">
        <v>749.44</v>
      </c>
      <c r="I29" s="2"/>
      <c r="J29" s="6">
        <f t="shared" si="13"/>
        <v>4.443382505960064E-2</v>
      </c>
      <c r="K29" s="2"/>
      <c r="L29" s="7">
        <f t="shared" si="14"/>
        <v>1270.53</v>
      </c>
      <c r="M29" s="2"/>
      <c r="N29" s="6">
        <f t="shared" si="15"/>
        <v>1.6953058283518359</v>
      </c>
      <c r="O29" s="11"/>
      <c r="P29" s="7">
        <v>2019.97</v>
      </c>
      <c r="Q29" s="2"/>
      <c r="R29" s="6">
        <f t="shared" si="16"/>
        <v>0.10321609786257749</v>
      </c>
      <c r="S29" s="2"/>
      <c r="T29" s="7">
        <v>749.44</v>
      </c>
      <c r="U29" s="2"/>
      <c r="V29" s="6">
        <f t="shared" si="17"/>
        <v>4.443382505960064E-2</v>
      </c>
      <c r="W29" s="2"/>
      <c r="X29" s="7">
        <f t="shared" si="18"/>
        <v>1270.53</v>
      </c>
      <c r="Y29" s="2"/>
      <c r="Z29" s="6">
        <f t="shared" si="19"/>
        <v>1.6953058283518359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18.68</v>
      </c>
      <c r="E30" s="2"/>
      <c r="F30" s="6">
        <f t="shared" si="12"/>
        <v>9.5450759569347431E-4</v>
      </c>
      <c r="G30" s="2"/>
      <c r="H30" s="7">
        <v>40.53</v>
      </c>
      <c r="I30" s="2"/>
      <c r="J30" s="6">
        <f t="shared" si="13"/>
        <v>2.4029981448356291E-3</v>
      </c>
      <c r="K30" s="2"/>
      <c r="L30" s="7">
        <f t="shared" si="14"/>
        <v>-21.85</v>
      </c>
      <c r="M30" s="2"/>
      <c r="N30" s="6">
        <f t="shared" si="15"/>
        <v>-0.53910683444362206</v>
      </c>
      <c r="O30" s="11"/>
      <c r="P30" s="7">
        <v>18.68</v>
      </c>
      <c r="Q30" s="2"/>
      <c r="R30" s="6">
        <f t="shared" si="16"/>
        <v>9.5450759569347431E-4</v>
      </c>
      <c r="S30" s="2"/>
      <c r="T30" s="7">
        <v>40.53</v>
      </c>
      <c r="U30" s="2"/>
      <c r="V30" s="6">
        <f t="shared" si="17"/>
        <v>2.4029981448356291E-3</v>
      </c>
      <c r="W30" s="2"/>
      <c r="X30" s="7">
        <f t="shared" si="18"/>
        <v>-21.85</v>
      </c>
      <c r="Y30" s="2"/>
      <c r="Z30" s="6">
        <f t="shared" si="19"/>
        <v>-0.53910683444362206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568.97</v>
      </c>
      <c r="E31" s="2"/>
      <c r="F31" s="6">
        <f t="shared" si="12"/>
        <v>2.907313633413898E-2</v>
      </c>
      <c r="G31" s="2"/>
      <c r="H31" s="7">
        <v>755.36</v>
      </c>
      <c r="I31" s="2"/>
      <c r="J31" s="6">
        <f t="shared" si="13"/>
        <v>4.4784818126894665E-2</v>
      </c>
      <c r="K31" s="2"/>
      <c r="L31" s="7">
        <f t="shared" si="14"/>
        <v>-186.39</v>
      </c>
      <c r="M31" s="2"/>
      <c r="N31" s="6">
        <f t="shared" si="15"/>
        <v>-0.24675651345054012</v>
      </c>
      <c r="O31" s="11"/>
      <c r="P31" s="7">
        <v>568.97</v>
      </c>
      <c r="Q31" s="2"/>
      <c r="R31" s="6">
        <f t="shared" si="16"/>
        <v>2.907313633413898E-2</v>
      </c>
      <c r="S31" s="2"/>
      <c r="T31" s="7">
        <v>755.36</v>
      </c>
      <c r="U31" s="2"/>
      <c r="V31" s="6">
        <f t="shared" si="17"/>
        <v>4.4784818126894665E-2</v>
      </c>
      <c r="W31" s="2"/>
      <c r="X31" s="7">
        <f t="shared" si="18"/>
        <v>-186.39</v>
      </c>
      <c r="Y31" s="2"/>
      <c r="Z31" s="6">
        <f t="shared" si="19"/>
        <v>-0.24675651345054012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715.95</v>
      </c>
      <c r="E32" s="2"/>
      <c r="F32" s="6">
        <f t="shared" si="12"/>
        <v>3.6583496420596523E-2</v>
      </c>
      <c r="G32" s="2"/>
      <c r="H32" s="7">
        <v>634.98</v>
      </c>
      <c r="I32" s="2"/>
      <c r="J32" s="6">
        <f t="shared" si="13"/>
        <v>3.7647563829452946E-2</v>
      </c>
      <c r="K32" s="2"/>
      <c r="L32" s="7">
        <f t="shared" si="14"/>
        <v>80.970000000000027</v>
      </c>
      <c r="M32" s="2"/>
      <c r="N32" s="6">
        <f t="shared" si="15"/>
        <v>0.12751582727015029</v>
      </c>
      <c r="O32" s="11"/>
      <c r="P32" s="7">
        <v>715.95</v>
      </c>
      <c r="Q32" s="2"/>
      <c r="R32" s="6">
        <f t="shared" si="16"/>
        <v>3.6583496420596523E-2</v>
      </c>
      <c r="S32" s="2"/>
      <c r="T32" s="7">
        <v>634.98</v>
      </c>
      <c r="U32" s="2"/>
      <c r="V32" s="6">
        <f t="shared" si="17"/>
        <v>3.7647563829452946E-2</v>
      </c>
      <c r="W32" s="2"/>
      <c r="X32" s="7">
        <f t="shared" si="18"/>
        <v>80.970000000000027</v>
      </c>
      <c r="Y32" s="2"/>
      <c r="Z32" s="6">
        <f t="shared" si="19"/>
        <v>0.12751582727015029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661.18</v>
      </c>
      <c r="E33" s="2"/>
      <c r="F33" s="6">
        <f t="shared" si="12"/>
        <v>3.3784867886542364E-2</v>
      </c>
      <c r="G33" s="2"/>
      <c r="H33" s="7">
        <v>579.01</v>
      </c>
      <c r="I33" s="2"/>
      <c r="J33" s="6">
        <f t="shared" si="13"/>
        <v>3.4329137819918025E-2</v>
      </c>
      <c r="K33" s="2"/>
      <c r="L33" s="7">
        <f t="shared" si="14"/>
        <v>82.169999999999959</v>
      </c>
      <c r="M33" s="2"/>
      <c r="N33" s="6">
        <f t="shared" si="15"/>
        <v>0.1419146474154159</v>
      </c>
      <c r="O33" s="11"/>
      <c r="P33" s="7">
        <v>661.18</v>
      </c>
      <c r="Q33" s="2"/>
      <c r="R33" s="6">
        <f t="shared" si="16"/>
        <v>3.3784867886542364E-2</v>
      </c>
      <c r="S33" s="2"/>
      <c r="T33" s="7">
        <v>579.01</v>
      </c>
      <c r="U33" s="2"/>
      <c r="V33" s="6">
        <f t="shared" si="17"/>
        <v>3.4329137819918025E-2</v>
      </c>
      <c r="W33" s="2"/>
      <c r="X33" s="7">
        <f t="shared" si="18"/>
        <v>82.169999999999959</v>
      </c>
      <c r="Y33" s="2"/>
      <c r="Z33" s="6">
        <f t="shared" si="19"/>
        <v>0.1419146474154159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150</v>
      </c>
      <c r="E34" s="2"/>
      <c r="F34" s="6">
        <f t="shared" si="12"/>
        <v>7.6646755542837874E-3</v>
      </c>
      <c r="G34" s="2"/>
      <c r="H34" s="7">
        <v>150</v>
      </c>
      <c r="I34" s="2"/>
      <c r="J34" s="6">
        <f t="shared" si="13"/>
        <v>8.8934054213013654E-3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>
        <v>150</v>
      </c>
      <c r="Q34" s="2"/>
      <c r="R34" s="6">
        <f t="shared" si="16"/>
        <v>7.6646755542837874E-3</v>
      </c>
      <c r="S34" s="2"/>
      <c r="T34" s="7">
        <v>150</v>
      </c>
      <c r="U34" s="2"/>
      <c r="V34" s="6">
        <f t="shared" si="17"/>
        <v>8.8934054213013654E-3</v>
      </c>
      <c r="W34" s="2"/>
      <c r="X34" s="7">
        <f t="shared" si="18"/>
        <v>0</v>
      </c>
      <c r="Y34" s="2"/>
      <c r="Z34" s="6">
        <f t="shared" si="19"/>
        <v>0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9005.7000000000007</v>
      </c>
      <c r="E35" s="1"/>
      <c r="F35" s="5">
        <f t="shared" ref="F35:F39" si="20">IF(D$12=0,0,D35/D$12)</f>
        <v>0.46017179092809007</v>
      </c>
      <c r="G35" s="1"/>
      <c r="H35" s="1">
        <f>SUM(OSRRefH22_1x_0)</f>
        <v>13125.59</v>
      </c>
      <c r="I35" s="1"/>
      <c r="J35" s="5">
        <f t="shared" ref="J35:J39" si="21">IF(H$12=0,0,H35/H$12)</f>
        <v>0.77820795509186003</v>
      </c>
      <c r="K35" s="1"/>
      <c r="L35" s="1">
        <f t="shared" ref="L35:L39" si="22">+D35-H35</f>
        <v>-4119.8899999999994</v>
      </c>
      <c r="M35" s="1"/>
      <c r="N35" s="5">
        <f t="shared" ref="N35:N39" si="23">IF(H35=0,0,L35/H35)</f>
        <v>-0.31388227119695183</v>
      </c>
      <c r="O35" s="14"/>
      <c r="P35" s="1">
        <f>SUM(OSRRefP22_1x_0)</f>
        <v>9005.7000000000007</v>
      </c>
      <c r="Q35" s="1"/>
      <c r="R35" s="5">
        <f t="shared" ref="R35:R39" si="24">IF(P$12=0,0,P35/P$12)</f>
        <v>0.46017179092809007</v>
      </c>
      <c r="S35" s="1"/>
      <c r="T35" s="1">
        <f>SUM(OSRRefT22_1x_0)</f>
        <v>13125.59</v>
      </c>
      <c r="U35" s="1"/>
      <c r="V35" s="5">
        <f t="shared" ref="V35:V39" si="25">IF(T$12=0,0,T35/T$12)</f>
        <v>0.77820795509186003</v>
      </c>
      <c r="W35" s="1"/>
      <c r="X35" s="1">
        <f t="shared" ref="X35:X39" si="26">+P35-T35</f>
        <v>-4119.8899999999994</v>
      </c>
      <c r="Y35" s="1"/>
      <c r="Z35" s="5">
        <f t="shared" ref="Z35:Z39" si="27">IF(T35=0,0,X35/T35)</f>
        <v>-0.31388227119695183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6228.04</v>
      </c>
      <c r="E36" s="2"/>
      <c r="F36" s="6">
        <f t="shared" si="20"/>
        <v>0.318239372927344</v>
      </c>
      <c r="G36" s="2"/>
      <c r="H36" s="7">
        <v>6215.06</v>
      </c>
      <c r="I36" s="2"/>
      <c r="J36" s="6">
        <f t="shared" si="21"/>
        <v>0.36848698865142182</v>
      </c>
      <c r="K36" s="2"/>
      <c r="L36" s="7">
        <f t="shared" si="22"/>
        <v>12.979999999999563</v>
      </c>
      <c r="M36" s="2"/>
      <c r="N36" s="6">
        <f t="shared" si="23"/>
        <v>2.0884754129484773E-3</v>
      </c>
      <c r="O36" s="11"/>
      <c r="P36" s="7">
        <v>6228.04</v>
      </c>
      <c r="Q36" s="2"/>
      <c r="R36" s="6">
        <f t="shared" si="24"/>
        <v>0.318239372927344</v>
      </c>
      <c r="S36" s="2"/>
      <c r="T36" s="7">
        <v>6215.06</v>
      </c>
      <c r="U36" s="2"/>
      <c r="V36" s="6">
        <f t="shared" si="25"/>
        <v>0.36848698865142182</v>
      </c>
      <c r="W36" s="2"/>
      <c r="X36" s="7">
        <f t="shared" si="26"/>
        <v>12.979999999999563</v>
      </c>
      <c r="Y36" s="2"/>
      <c r="Z36" s="6">
        <f t="shared" si="27"/>
        <v>2.0884754129484773E-3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4635.03</v>
      </c>
      <c r="I37" s="2"/>
      <c r="J37" s="6">
        <f t="shared" si="21"/>
        <v>0.27480800619929646</v>
      </c>
      <c r="K37" s="2"/>
      <c r="L37" s="7">
        <f t="shared" si="22"/>
        <v>-4635.03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4635.03</v>
      </c>
      <c r="U37" s="2"/>
      <c r="V37" s="6">
        <f t="shared" si="25"/>
        <v>0.27480800619929646</v>
      </c>
      <c r="W37" s="2"/>
      <c r="X37" s="7">
        <f t="shared" si="26"/>
        <v>-4635.03</v>
      </c>
      <c r="Y37" s="2"/>
      <c r="Z37" s="6">
        <f t="shared" si="27"/>
        <v>-1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1093.06</v>
      </c>
      <c r="E38" s="2"/>
      <c r="F38" s="6">
        <f t="shared" si="20"/>
        <v>5.5853001742436244E-2</v>
      </c>
      <c r="G38" s="2"/>
      <c r="H38" s="7">
        <v>1453</v>
      </c>
      <c r="I38" s="2"/>
      <c r="J38" s="6">
        <f t="shared" si="21"/>
        <v>8.614745384767257E-2</v>
      </c>
      <c r="K38" s="2"/>
      <c r="L38" s="7">
        <f t="shared" si="22"/>
        <v>-359.94000000000005</v>
      </c>
      <c r="M38" s="2"/>
      <c r="N38" s="6">
        <f t="shared" si="23"/>
        <v>-0.24772195457673782</v>
      </c>
      <c r="O38" s="11"/>
      <c r="P38" s="7">
        <v>1093.06</v>
      </c>
      <c r="Q38" s="2"/>
      <c r="R38" s="6">
        <f t="shared" si="24"/>
        <v>5.5853001742436244E-2</v>
      </c>
      <c r="S38" s="2"/>
      <c r="T38" s="7">
        <v>1453</v>
      </c>
      <c r="U38" s="2"/>
      <c r="V38" s="6">
        <f t="shared" si="25"/>
        <v>8.614745384767257E-2</v>
      </c>
      <c r="W38" s="2"/>
      <c r="X38" s="7">
        <f t="shared" si="26"/>
        <v>-359.94000000000005</v>
      </c>
      <c r="Y38" s="2"/>
      <c r="Z38" s="6">
        <f t="shared" si="27"/>
        <v>-0.24772195457673782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1684.6</v>
      </c>
      <c r="E39" s="2"/>
      <c r="F39" s="6">
        <f t="shared" si="20"/>
        <v>8.6079416258309782E-2</v>
      </c>
      <c r="G39" s="2"/>
      <c r="H39" s="7">
        <v>822.5</v>
      </c>
      <c r="I39" s="2"/>
      <c r="J39" s="6">
        <f t="shared" si="21"/>
        <v>4.8765506393469153E-2</v>
      </c>
      <c r="K39" s="2"/>
      <c r="L39" s="7">
        <f t="shared" si="22"/>
        <v>862.09999999999991</v>
      </c>
      <c r="M39" s="2"/>
      <c r="N39" s="6">
        <f t="shared" si="23"/>
        <v>1.0481458966565349</v>
      </c>
      <c r="O39" s="11"/>
      <c r="P39" s="7">
        <v>1684.6</v>
      </c>
      <c r="Q39" s="2"/>
      <c r="R39" s="6">
        <f t="shared" si="24"/>
        <v>8.6079416258309782E-2</v>
      </c>
      <c r="S39" s="2"/>
      <c r="T39" s="7">
        <v>822.5</v>
      </c>
      <c r="U39" s="2"/>
      <c r="V39" s="6">
        <f t="shared" si="25"/>
        <v>4.8765506393469153E-2</v>
      </c>
      <c r="W39" s="2"/>
      <c r="X39" s="7">
        <f t="shared" si="26"/>
        <v>862.09999999999991</v>
      </c>
      <c r="Y39" s="2"/>
      <c r="Z39" s="6">
        <f t="shared" si="27"/>
        <v>1.0481458966565349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94.62</v>
      </c>
      <c r="E40" s="1"/>
      <c r="F40" s="5">
        <f t="shared" ref="F40:F59" si="28">IF(D$12=0,0,D40/D$12)</f>
        <v>4.8348773396422132E-3</v>
      </c>
      <c r="G40" s="1"/>
      <c r="H40" s="1">
        <f>SUM(OSRRefH22_2x_0)</f>
        <v>12</v>
      </c>
      <c r="I40" s="1"/>
      <c r="J40" s="5">
        <f t="shared" ref="J40:J59" si="29">IF(H$12=0,0,H40/H$12)</f>
        <v>7.114724337041093E-4</v>
      </c>
      <c r="K40" s="1"/>
      <c r="L40" s="1">
        <f t="shared" ref="L40:L59" si="30">+D40-H40</f>
        <v>82.62</v>
      </c>
      <c r="M40" s="1"/>
      <c r="N40" s="5">
        <f t="shared" ref="N40:N59" si="31">IF(H40=0,0,L40/H40)</f>
        <v>6.8850000000000007</v>
      </c>
      <c r="O40" s="14"/>
      <c r="P40" s="1">
        <f>SUM(OSRRefP22_2x_0)</f>
        <v>94.62</v>
      </c>
      <c r="Q40" s="1"/>
      <c r="R40" s="5">
        <f t="shared" ref="R40:R59" si="32">IF(P$12=0,0,P40/P$12)</f>
        <v>4.8348773396422132E-3</v>
      </c>
      <c r="S40" s="1"/>
      <c r="T40" s="1">
        <f>SUM(OSRRefT22_2x_0)</f>
        <v>12</v>
      </c>
      <c r="U40" s="1"/>
      <c r="V40" s="5">
        <f t="shared" ref="V40:V59" si="33">IF(T$12=0,0,T40/T$12)</f>
        <v>7.114724337041093E-4</v>
      </c>
      <c r="W40" s="1"/>
      <c r="X40" s="1">
        <f t="shared" ref="X40:X59" si="34">+P40-T40</f>
        <v>82.62</v>
      </c>
      <c r="Y40" s="1"/>
      <c r="Z40" s="5">
        <f t="shared" ref="Z40:Z59" si="35">IF(T40=0,0,X40/T40)</f>
        <v>6.8850000000000007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94.62</v>
      </c>
      <c r="E41" s="2"/>
      <c r="F41" s="6">
        <f t="shared" si="28"/>
        <v>4.8348773396422132E-3</v>
      </c>
      <c r="G41" s="2"/>
      <c r="H41" s="7">
        <v>12</v>
      </c>
      <c r="I41" s="2"/>
      <c r="J41" s="6">
        <f t="shared" si="29"/>
        <v>7.114724337041093E-4</v>
      </c>
      <c r="K41" s="2"/>
      <c r="L41" s="7">
        <f t="shared" si="30"/>
        <v>82.62</v>
      </c>
      <c r="M41" s="2"/>
      <c r="N41" s="6">
        <f t="shared" si="31"/>
        <v>6.8850000000000007</v>
      </c>
      <c r="O41" s="11"/>
      <c r="P41" s="7">
        <v>94.62</v>
      </c>
      <c r="Q41" s="2"/>
      <c r="R41" s="6">
        <f t="shared" si="32"/>
        <v>4.8348773396422132E-3</v>
      </c>
      <c r="S41" s="2"/>
      <c r="T41" s="7">
        <v>12</v>
      </c>
      <c r="U41" s="2"/>
      <c r="V41" s="6">
        <f t="shared" si="33"/>
        <v>7.114724337041093E-4</v>
      </c>
      <c r="W41" s="2"/>
      <c r="X41" s="7">
        <f t="shared" si="34"/>
        <v>82.62</v>
      </c>
      <c r="Y41" s="2"/>
      <c r="Z41" s="6">
        <f t="shared" si="35"/>
        <v>6.8850000000000007</v>
      </c>
    </row>
    <row r="42" spans="1:26" s="28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15.11</v>
      </c>
      <c r="E42" s="1"/>
      <c r="F42" s="5">
        <f t="shared" si="28"/>
        <v>7.7208831750152018E-4</v>
      </c>
      <c r="G42" s="1"/>
      <c r="H42" s="1">
        <f>SUM(OSRRefH22_3x_0)</f>
        <v>-6.96</v>
      </c>
      <c r="I42" s="1"/>
      <c r="J42" s="5">
        <f t="shared" si="29"/>
        <v>-4.1265401154838338E-4</v>
      </c>
      <c r="K42" s="1"/>
      <c r="L42" s="1">
        <f t="shared" si="30"/>
        <v>22.07</v>
      </c>
      <c r="M42" s="1"/>
      <c r="N42" s="5">
        <f t="shared" si="31"/>
        <v>-3.1709770114942528</v>
      </c>
      <c r="O42" s="14"/>
      <c r="P42" s="1">
        <f>SUM(OSRRefP22_3x_0)</f>
        <v>15.11</v>
      </c>
      <c r="Q42" s="1"/>
      <c r="R42" s="5">
        <f t="shared" si="32"/>
        <v>7.7208831750152018E-4</v>
      </c>
      <c r="S42" s="1"/>
      <c r="T42" s="1">
        <f>SUM(OSRRefT22_3x_0)</f>
        <v>-6.96</v>
      </c>
      <c r="U42" s="1"/>
      <c r="V42" s="5">
        <f t="shared" si="33"/>
        <v>-4.1265401154838338E-4</v>
      </c>
      <c r="W42" s="1"/>
      <c r="X42" s="1">
        <f t="shared" si="34"/>
        <v>22.07</v>
      </c>
      <c r="Y42" s="1"/>
      <c r="Z42" s="5">
        <f t="shared" si="35"/>
        <v>-3.1709770114942528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7">
        <v>15.11</v>
      </c>
      <c r="E43" s="2"/>
      <c r="F43" s="6">
        <f t="shared" si="28"/>
        <v>7.7208831750152018E-4</v>
      </c>
      <c r="G43" s="2"/>
      <c r="H43" s="7">
        <v>-6.96</v>
      </c>
      <c r="I43" s="2"/>
      <c r="J43" s="6">
        <f t="shared" si="29"/>
        <v>-4.1265401154838338E-4</v>
      </c>
      <c r="K43" s="2"/>
      <c r="L43" s="7">
        <f t="shared" si="30"/>
        <v>22.07</v>
      </c>
      <c r="M43" s="2"/>
      <c r="N43" s="6">
        <f t="shared" si="31"/>
        <v>-3.1709770114942528</v>
      </c>
      <c r="O43" s="11"/>
      <c r="P43" s="7">
        <v>15.11</v>
      </c>
      <c r="Q43" s="2"/>
      <c r="R43" s="6">
        <f t="shared" si="32"/>
        <v>7.7208831750152018E-4</v>
      </c>
      <c r="S43" s="2"/>
      <c r="T43" s="7">
        <v>-6.96</v>
      </c>
      <c r="U43" s="2"/>
      <c r="V43" s="6">
        <f t="shared" si="33"/>
        <v>-4.1265401154838338E-4</v>
      </c>
      <c r="W43" s="2"/>
      <c r="X43" s="7">
        <f t="shared" si="34"/>
        <v>22.07</v>
      </c>
      <c r="Y43" s="2"/>
      <c r="Z43" s="6">
        <f t="shared" si="35"/>
        <v>-3.1709770114942528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471.09</v>
      </c>
      <c r="E44" s="1"/>
      <c r="F44" s="5">
        <f t="shared" si="28"/>
        <v>2.4071680045783663E-2</v>
      </c>
      <c r="G44" s="1"/>
      <c r="H44" s="1">
        <f>SUM(OSRRefH22_4x_0)</f>
        <v>372.24</v>
      </c>
      <c r="I44" s="1"/>
      <c r="J44" s="5">
        <f t="shared" si="29"/>
        <v>2.206987489350147E-2</v>
      </c>
      <c r="K44" s="1"/>
      <c r="L44" s="1">
        <f t="shared" si="30"/>
        <v>98.849999999999966</v>
      </c>
      <c r="M44" s="1"/>
      <c r="N44" s="5">
        <f t="shared" si="31"/>
        <v>0.26555448098001277</v>
      </c>
      <c r="O44" s="14"/>
      <c r="P44" s="1">
        <f>SUM(OSRRefP22_4x_0)</f>
        <v>471.09</v>
      </c>
      <c r="Q44" s="1"/>
      <c r="R44" s="5">
        <f t="shared" si="32"/>
        <v>2.4071680045783663E-2</v>
      </c>
      <c r="S44" s="1"/>
      <c r="T44" s="1">
        <f>SUM(OSRRefT22_4x_0)</f>
        <v>372.24</v>
      </c>
      <c r="U44" s="1"/>
      <c r="V44" s="5">
        <f t="shared" si="33"/>
        <v>2.206987489350147E-2</v>
      </c>
      <c r="W44" s="1"/>
      <c r="X44" s="1">
        <f t="shared" si="34"/>
        <v>98.849999999999966</v>
      </c>
      <c r="Y44" s="1"/>
      <c r="Z44" s="5">
        <f t="shared" si="35"/>
        <v>0.26555448098001277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471.09</v>
      </c>
      <c r="E45" s="2"/>
      <c r="F45" s="6">
        <f t="shared" si="28"/>
        <v>2.4071680045783663E-2</v>
      </c>
      <c r="G45" s="2"/>
      <c r="H45" s="7">
        <v>372.24</v>
      </c>
      <c r="I45" s="2"/>
      <c r="J45" s="6">
        <f t="shared" si="29"/>
        <v>2.206987489350147E-2</v>
      </c>
      <c r="K45" s="2"/>
      <c r="L45" s="7">
        <f t="shared" si="30"/>
        <v>98.849999999999966</v>
      </c>
      <c r="M45" s="2"/>
      <c r="N45" s="6">
        <f t="shared" si="31"/>
        <v>0.26555448098001277</v>
      </c>
      <c r="O45" s="11"/>
      <c r="P45" s="7">
        <v>471.09</v>
      </c>
      <c r="Q45" s="2"/>
      <c r="R45" s="6">
        <f t="shared" si="32"/>
        <v>2.4071680045783663E-2</v>
      </c>
      <c r="S45" s="2"/>
      <c r="T45" s="7">
        <v>372.24</v>
      </c>
      <c r="U45" s="2"/>
      <c r="V45" s="6">
        <f t="shared" si="33"/>
        <v>2.206987489350147E-2</v>
      </c>
      <c r="W45" s="2"/>
      <c r="X45" s="7">
        <f t="shared" si="34"/>
        <v>98.849999999999966</v>
      </c>
      <c r="Y45" s="2"/>
      <c r="Z45" s="6">
        <f t="shared" si="35"/>
        <v>0.26555448098001277</v>
      </c>
    </row>
    <row r="46" spans="1:26" s="28" customFormat="1" outlineLevel="1" collapsed="1" x14ac:dyDescent="0.25">
      <c r="A46" s="27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SUM(OSRRefD22_5x_0)</f>
        <v>13.91</v>
      </c>
      <c r="E46" s="1"/>
      <c r="F46" s="5">
        <f t="shared" si="28"/>
        <v>7.1077091306724985E-4</v>
      </c>
      <c r="G46" s="1"/>
      <c r="H46" s="1">
        <f>SUM(OSRRefH22_5x_0)</f>
        <v>10.050000000000001</v>
      </c>
      <c r="I46" s="1"/>
      <c r="J46" s="5">
        <f t="shared" si="29"/>
        <v>5.9585816322719153E-4</v>
      </c>
      <c r="K46" s="1"/>
      <c r="L46" s="1">
        <f t="shared" si="30"/>
        <v>3.8599999999999994</v>
      </c>
      <c r="M46" s="1"/>
      <c r="N46" s="5">
        <f t="shared" si="31"/>
        <v>0.38407960199004965</v>
      </c>
      <c r="O46" s="14"/>
      <c r="P46" s="1">
        <f>SUM(OSRRefP22_5x_0)</f>
        <v>13.91</v>
      </c>
      <c r="Q46" s="1"/>
      <c r="R46" s="5">
        <f t="shared" si="32"/>
        <v>7.1077091306724985E-4</v>
      </c>
      <c r="S46" s="1"/>
      <c r="T46" s="1">
        <f>SUM(OSRRefT22_5x_0)</f>
        <v>10.050000000000001</v>
      </c>
      <c r="U46" s="1"/>
      <c r="V46" s="5">
        <f t="shared" si="33"/>
        <v>5.9585816322719153E-4</v>
      </c>
      <c r="W46" s="1"/>
      <c r="X46" s="1">
        <f t="shared" si="34"/>
        <v>3.8599999999999994</v>
      </c>
      <c r="Y46" s="1"/>
      <c r="Z46" s="5">
        <f t="shared" si="35"/>
        <v>0.38407960199004965</v>
      </c>
    </row>
    <row r="47" spans="1:26" s="24" customFormat="1" hidden="1" outlineLevel="2" x14ac:dyDescent="0.25">
      <c r="A47" s="29"/>
      <c r="B47" s="11" t="str">
        <f>CONCATENATE("          ", "6382", " - ", "DISCOUNTS/MARK DOWNS")</f>
        <v xml:space="preserve">          6382 - DISCOUNTS/MARK DOWNS</v>
      </c>
      <c r="C47" s="11"/>
      <c r="D47" s="7">
        <v>13.91</v>
      </c>
      <c r="E47" s="2"/>
      <c r="F47" s="6">
        <f t="shared" si="28"/>
        <v>7.1077091306724985E-4</v>
      </c>
      <c r="G47" s="2"/>
      <c r="H47" s="7">
        <v>10.050000000000001</v>
      </c>
      <c r="I47" s="2"/>
      <c r="J47" s="6">
        <f t="shared" si="29"/>
        <v>5.9585816322719153E-4</v>
      </c>
      <c r="K47" s="2"/>
      <c r="L47" s="7">
        <f t="shared" si="30"/>
        <v>3.8599999999999994</v>
      </c>
      <c r="M47" s="2"/>
      <c r="N47" s="6">
        <f t="shared" si="31"/>
        <v>0.38407960199004965</v>
      </c>
      <c r="O47" s="11"/>
      <c r="P47" s="7">
        <v>13.91</v>
      </c>
      <c r="Q47" s="2"/>
      <c r="R47" s="6">
        <f t="shared" si="32"/>
        <v>7.1077091306724985E-4</v>
      </c>
      <c r="S47" s="2"/>
      <c r="T47" s="7">
        <v>10.050000000000001</v>
      </c>
      <c r="U47" s="2"/>
      <c r="V47" s="6">
        <f t="shared" si="33"/>
        <v>5.9585816322719153E-4</v>
      </c>
      <c r="W47" s="2"/>
      <c r="X47" s="7">
        <f t="shared" si="34"/>
        <v>3.8599999999999994</v>
      </c>
      <c r="Y47" s="2"/>
      <c r="Z47" s="6">
        <f t="shared" si="35"/>
        <v>0.38407960199004965</v>
      </c>
    </row>
    <row r="48" spans="1:26" s="28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SUM(OSRRefD22_6x_0)</f>
        <v>71.69</v>
      </c>
      <c r="E48" s="1"/>
      <c r="F48" s="5">
        <f t="shared" si="28"/>
        <v>3.6632039365773646E-3</v>
      </c>
      <c r="G48" s="1"/>
      <c r="H48" s="1">
        <f>SUM(OSRRefH22_6x_0)</f>
        <v>65.52</v>
      </c>
      <c r="I48" s="1"/>
      <c r="J48" s="5">
        <f t="shared" si="29"/>
        <v>3.8846394880244365E-3</v>
      </c>
      <c r="K48" s="1"/>
      <c r="L48" s="1">
        <f t="shared" si="30"/>
        <v>6.1700000000000017</v>
      </c>
      <c r="M48" s="1"/>
      <c r="N48" s="5">
        <f t="shared" si="31"/>
        <v>9.4169719169719196E-2</v>
      </c>
      <c r="O48" s="14"/>
      <c r="P48" s="1">
        <f>SUM(OSRRefP22_6x_0)</f>
        <v>71.69</v>
      </c>
      <c r="Q48" s="1"/>
      <c r="R48" s="5">
        <f t="shared" si="32"/>
        <v>3.6632039365773646E-3</v>
      </c>
      <c r="S48" s="1"/>
      <c r="T48" s="1">
        <f>SUM(OSRRefT22_6x_0)</f>
        <v>65.52</v>
      </c>
      <c r="U48" s="1"/>
      <c r="V48" s="5">
        <f t="shared" si="33"/>
        <v>3.8846394880244365E-3</v>
      </c>
      <c r="W48" s="1"/>
      <c r="X48" s="1">
        <f t="shared" si="34"/>
        <v>6.1700000000000017</v>
      </c>
      <c r="Y48" s="1"/>
      <c r="Z48" s="5">
        <f t="shared" si="35"/>
        <v>9.4169719169719196E-2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7">
        <v>71.69</v>
      </c>
      <c r="E49" s="2"/>
      <c r="F49" s="6">
        <f t="shared" si="28"/>
        <v>3.6632039365773646E-3</v>
      </c>
      <c r="G49" s="2"/>
      <c r="H49" s="7">
        <v>65.52</v>
      </c>
      <c r="I49" s="2"/>
      <c r="J49" s="6">
        <f t="shared" si="29"/>
        <v>3.8846394880244365E-3</v>
      </c>
      <c r="K49" s="2"/>
      <c r="L49" s="7">
        <f t="shared" si="30"/>
        <v>6.1700000000000017</v>
      </c>
      <c r="M49" s="2"/>
      <c r="N49" s="6">
        <f t="shared" si="31"/>
        <v>9.4169719169719196E-2</v>
      </c>
      <c r="O49" s="11"/>
      <c r="P49" s="7">
        <v>71.69</v>
      </c>
      <c r="Q49" s="2"/>
      <c r="R49" s="6">
        <f t="shared" si="32"/>
        <v>3.6632039365773646E-3</v>
      </c>
      <c r="S49" s="2"/>
      <c r="T49" s="7">
        <v>65.52</v>
      </c>
      <c r="U49" s="2"/>
      <c r="V49" s="6">
        <f t="shared" si="33"/>
        <v>3.8846394880244365E-3</v>
      </c>
      <c r="W49" s="2"/>
      <c r="X49" s="7">
        <f t="shared" si="34"/>
        <v>6.1700000000000017</v>
      </c>
      <c r="Y49" s="2"/>
      <c r="Z49" s="6">
        <f t="shared" si="35"/>
        <v>9.4169719169719196E-2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SUM(OSRRefD22_7x_0)</f>
        <v>750.75</v>
      </c>
      <c r="E50" s="1"/>
      <c r="F50" s="5">
        <f t="shared" si="28"/>
        <v>3.836170114919036E-2</v>
      </c>
      <c r="G50" s="1"/>
      <c r="H50" s="1">
        <f>SUM(OSRRefH22_7x_0)</f>
        <v>713.15</v>
      </c>
      <c r="I50" s="1"/>
      <c r="J50" s="5">
        <f t="shared" si="29"/>
        <v>4.2282213841340462E-2</v>
      </c>
      <c r="K50" s="1"/>
      <c r="L50" s="1">
        <f t="shared" si="30"/>
        <v>37.600000000000023</v>
      </c>
      <c r="M50" s="1"/>
      <c r="N50" s="5">
        <f t="shared" si="31"/>
        <v>5.2723830891116909E-2</v>
      </c>
      <c r="O50" s="14"/>
      <c r="P50" s="1">
        <f>SUM(OSRRefP22_7x_0)</f>
        <v>750.75</v>
      </c>
      <c r="Q50" s="1"/>
      <c r="R50" s="5">
        <f t="shared" si="32"/>
        <v>3.836170114919036E-2</v>
      </c>
      <c r="S50" s="1"/>
      <c r="T50" s="1">
        <f>SUM(OSRRefT22_7x_0)</f>
        <v>713.15</v>
      </c>
      <c r="U50" s="1"/>
      <c r="V50" s="5">
        <f t="shared" si="33"/>
        <v>4.2282213841340462E-2</v>
      </c>
      <c r="W50" s="1"/>
      <c r="X50" s="1">
        <f t="shared" si="34"/>
        <v>37.600000000000023</v>
      </c>
      <c r="Y50" s="1"/>
      <c r="Z50" s="5">
        <f t="shared" si="35"/>
        <v>5.2723830891116909E-2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>
        <v>750.75</v>
      </c>
      <c r="E51" s="2"/>
      <c r="F51" s="6">
        <f t="shared" si="28"/>
        <v>3.836170114919036E-2</v>
      </c>
      <c r="G51" s="2"/>
      <c r="H51" s="7">
        <v>713.15</v>
      </c>
      <c r="I51" s="2"/>
      <c r="J51" s="6">
        <f t="shared" si="29"/>
        <v>4.2282213841340462E-2</v>
      </c>
      <c r="K51" s="2"/>
      <c r="L51" s="7">
        <f t="shared" si="30"/>
        <v>37.600000000000023</v>
      </c>
      <c r="M51" s="2"/>
      <c r="N51" s="6">
        <f t="shared" si="31"/>
        <v>5.2723830891116909E-2</v>
      </c>
      <c r="O51" s="11"/>
      <c r="P51" s="7">
        <v>750.75</v>
      </c>
      <c r="Q51" s="2"/>
      <c r="R51" s="6">
        <f t="shared" si="32"/>
        <v>3.836170114919036E-2</v>
      </c>
      <c r="S51" s="2"/>
      <c r="T51" s="7">
        <v>713.15</v>
      </c>
      <c r="U51" s="2"/>
      <c r="V51" s="6">
        <f t="shared" si="33"/>
        <v>4.2282213841340462E-2</v>
      </c>
      <c r="W51" s="2"/>
      <c r="X51" s="7">
        <f t="shared" si="34"/>
        <v>37.600000000000023</v>
      </c>
      <c r="Y51" s="2"/>
      <c r="Z51" s="6">
        <f t="shared" si="35"/>
        <v>5.2723830891116909E-2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SUM(OSRRefD22_8x_0)</f>
        <v>243.08</v>
      </c>
      <c r="E52" s="1"/>
      <c r="F52" s="5">
        <f t="shared" si="28"/>
        <v>1.242086222490202E-2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243.08</v>
      </c>
      <c r="M52" s="1"/>
      <c r="N52" s="5">
        <f t="shared" si="31"/>
        <v>0</v>
      </c>
      <c r="O52" s="14"/>
      <c r="P52" s="1">
        <f>SUM(OSRRefP22_8x_0)</f>
        <v>243.08</v>
      </c>
      <c r="Q52" s="1"/>
      <c r="R52" s="5">
        <f t="shared" si="32"/>
        <v>1.242086222490202E-2</v>
      </c>
      <c r="S52" s="1"/>
      <c r="T52" s="1">
        <f>SUM(OSRRefT22_8x_0)</f>
        <v>0</v>
      </c>
      <c r="U52" s="1"/>
      <c r="V52" s="5">
        <f t="shared" si="33"/>
        <v>0</v>
      </c>
      <c r="W52" s="1"/>
      <c r="X52" s="1">
        <f t="shared" si="34"/>
        <v>243.08</v>
      </c>
      <c r="Y52" s="1"/>
      <c r="Z52" s="5">
        <f t="shared" si="35"/>
        <v>0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>
        <v>243.08</v>
      </c>
      <c r="E53" s="2"/>
      <c r="F53" s="6">
        <f t="shared" si="28"/>
        <v>1.242086222490202E-2</v>
      </c>
      <c r="G53" s="2"/>
      <c r="H53" s="7"/>
      <c r="I53" s="2"/>
      <c r="J53" s="6">
        <f t="shared" si="29"/>
        <v>0</v>
      </c>
      <c r="K53" s="2"/>
      <c r="L53" s="7">
        <f t="shared" si="30"/>
        <v>243.08</v>
      </c>
      <c r="M53" s="2"/>
      <c r="N53" s="6">
        <f t="shared" si="31"/>
        <v>0</v>
      </c>
      <c r="O53" s="11"/>
      <c r="P53" s="7">
        <v>243.08</v>
      </c>
      <c r="Q53" s="2"/>
      <c r="R53" s="6">
        <f t="shared" si="32"/>
        <v>1.242086222490202E-2</v>
      </c>
      <c r="S53" s="2"/>
      <c r="T53" s="7"/>
      <c r="U53" s="2"/>
      <c r="V53" s="6">
        <f t="shared" si="33"/>
        <v>0</v>
      </c>
      <c r="W53" s="2"/>
      <c r="X53" s="7">
        <f t="shared" si="34"/>
        <v>243.08</v>
      </c>
      <c r="Y53" s="2"/>
      <c r="Z53" s="6">
        <f t="shared" si="35"/>
        <v>0</v>
      </c>
    </row>
    <row r="54" spans="1:26" s="28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156.35</v>
      </c>
      <c r="E54" s="1"/>
      <c r="F54" s="5">
        <f t="shared" si="28"/>
        <v>7.9891468194151338E-3</v>
      </c>
      <c r="G54" s="1"/>
      <c r="H54" s="1">
        <f>SUM(OSRRefH22_9x_0)</f>
        <v>156.35</v>
      </c>
      <c r="I54" s="1"/>
      <c r="J54" s="5">
        <f t="shared" si="29"/>
        <v>9.2698929174697894E-3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SUM(OSRRefP22_9x_0)</f>
        <v>156.35</v>
      </c>
      <c r="Q54" s="1"/>
      <c r="R54" s="5">
        <f t="shared" si="32"/>
        <v>7.9891468194151338E-3</v>
      </c>
      <c r="S54" s="1"/>
      <c r="T54" s="1">
        <f>SUM(OSRRefT22_9x_0)</f>
        <v>156.35</v>
      </c>
      <c r="U54" s="1"/>
      <c r="V54" s="5">
        <f t="shared" si="33"/>
        <v>9.2698929174697894E-3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7">
        <v>156.35</v>
      </c>
      <c r="E55" s="2"/>
      <c r="F55" s="6">
        <f t="shared" si="28"/>
        <v>7.9891468194151338E-3</v>
      </c>
      <c r="G55" s="2"/>
      <c r="H55" s="7">
        <v>156.35</v>
      </c>
      <c r="I55" s="2"/>
      <c r="J55" s="6">
        <f t="shared" si="29"/>
        <v>9.2698929174697894E-3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156.35</v>
      </c>
      <c r="Q55" s="2"/>
      <c r="R55" s="6">
        <f t="shared" si="32"/>
        <v>7.9891468194151338E-3</v>
      </c>
      <c r="S55" s="2"/>
      <c r="T55" s="7">
        <v>156.35</v>
      </c>
      <c r="U55" s="2"/>
      <c r="V55" s="6">
        <f t="shared" si="33"/>
        <v>9.2698929174697894E-3</v>
      </c>
      <c r="W55" s="2"/>
      <c r="X55" s="7">
        <f t="shared" si="34"/>
        <v>0</v>
      </c>
      <c r="Y55" s="2"/>
      <c r="Z55" s="6">
        <f t="shared" si="35"/>
        <v>0</v>
      </c>
    </row>
    <row r="56" spans="1:26" s="28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1126.06</v>
      </c>
      <c r="E56" s="1"/>
      <c r="F56" s="5">
        <f t="shared" si="28"/>
        <v>5.7539230364378677E-2</v>
      </c>
      <c r="G56" s="1"/>
      <c r="H56" s="1">
        <f>SUM(OSRRefH22_10x_0)</f>
        <v>-483.13000000000005</v>
      </c>
      <c r="I56" s="1"/>
      <c r="J56" s="5">
        <f t="shared" si="29"/>
        <v>-2.8644473074622197E-2</v>
      </c>
      <c r="K56" s="1"/>
      <c r="L56" s="1">
        <f t="shared" si="30"/>
        <v>1609.19</v>
      </c>
      <c r="M56" s="1"/>
      <c r="N56" s="5">
        <f t="shared" si="31"/>
        <v>-3.3307598368969011</v>
      </c>
      <c r="O56" s="14"/>
      <c r="P56" s="1">
        <f>SUM(OSRRefP22_10x_0)</f>
        <v>1126.06</v>
      </c>
      <c r="Q56" s="1"/>
      <c r="R56" s="5">
        <f t="shared" si="32"/>
        <v>5.7539230364378677E-2</v>
      </c>
      <c r="S56" s="1"/>
      <c r="T56" s="1">
        <f>SUM(OSRRefT22_10x_0)</f>
        <v>-483.13000000000005</v>
      </c>
      <c r="U56" s="1"/>
      <c r="V56" s="5">
        <f t="shared" si="33"/>
        <v>-2.8644473074622197E-2</v>
      </c>
      <c r="W56" s="1"/>
      <c r="X56" s="1">
        <f t="shared" si="34"/>
        <v>1609.19</v>
      </c>
      <c r="Y56" s="1"/>
      <c r="Z56" s="5">
        <f t="shared" si="35"/>
        <v>-3.3307598368969011</v>
      </c>
    </row>
    <row r="57" spans="1:26" s="24" customFormat="1" hidden="1" outlineLevel="2" x14ac:dyDescent="0.25">
      <c r="A57" s="29"/>
      <c r="B57" s="11" t="str">
        <f>CONCATENATE("          ", "6237", " - ", "JANITORIAL SUPPLIES")</f>
        <v xml:space="preserve">          6237 - JANITORIAL SUPPLIES</v>
      </c>
      <c r="C57" s="11"/>
      <c r="D57" s="7">
        <v>111.27</v>
      </c>
      <c r="E57" s="2"/>
      <c r="F57" s="6">
        <f t="shared" si="28"/>
        <v>5.6856563261677134E-3</v>
      </c>
      <c r="G57" s="2"/>
      <c r="H57" s="7"/>
      <c r="I57" s="2"/>
      <c r="J57" s="6">
        <f t="shared" si="29"/>
        <v>0</v>
      </c>
      <c r="K57" s="2"/>
      <c r="L57" s="7">
        <f t="shared" si="30"/>
        <v>111.27</v>
      </c>
      <c r="M57" s="2"/>
      <c r="N57" s="6">
        <f t="shared" si="31"/>
        <v>0</v>
      </c>
      <c r="O57" s="11"/>
      <c r="P57" s="7">
        <v>111.27</v>
      </c>
      <c r="Q57" s="2"/>
      <c r="R57" s="6">
        <f t="shared" si="32"/>
        <v>5.6856563261677134E-3</v>
      </c>
      <c r="S57" s="2"/>
      <c r="T57" s="7"/>
      <c r="U57" s="2"/>
      <c r="V57" s="6">
        <f t="shared" si="33"/>
        <v>0</v>
      </c>
      <c r="W57" s="2"/>
      <c r="X57" s="7">
        <f t="shared" si="34"/>
        <v>111.27</v>
      </c>
      <c r="Y57" s="2"/>
      <c r="Z57" s="6">
        <f t="shared" si="35"/>
        <v>0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7">
        <v>78.53</v>
      </c>
      <c r="E58" s="2"/>
      <c r="F58" s="6">
        <f t="shared" si="28"/>
        <v>4.012713141852706E-3</v>
      </c>
      <c r="G58" s="2"/>
      <c r="H58" s="7">
        <v>82.83</v>
      </c>
      <c r="I58" s="2"/>
      <c r="J58" s="6">
        <f t="shared" si="29"/>
        <v>4.910938473642614E-3</v>
      </c>
      <c r="K58" s="2"/>
      <c r="L58" s="7">
        <f t="shared" si="30"/>
        <v>-4.2999999999999972</v>
      </c>
      <c r="M58" s="2"/>
      <c r="N58" s="6">
        <f t="shared" si="31"/>
        <v>-5.1913557889653475E-2</v>
      </c>
      <c r="O58" s="11"/>
      <c r="P58" s="7">
        <v>78.53</v>
      </c>
      <c r="Q58" s="2"/>
      <c r="R58" s="6">
        <f t="shared" si="32"/>
        <v>4.012713141852706E-3</v>
      </c>
      <c r="S58" s="2"/>
      <c r="T58" s="7">
        <v>82.83</v>
      </c>
      <c r="U58" s="2"/>
      <c r="V58" s="6">
        <f t="shared" si="33"/>
        <v>4.910938473642614E-3</v>
      </c>
      <c r="W58" s="2"/>
      <c r="X58" s="7">
        <f t="shared" si="34"/>
        <v>-4.2999999999999972</v>
      </c>
      <c r="Y58" s="2"/>
      <c r="Z58" s="6">
        <f t="shared" si="35"/>
        <v>-5.1913557889653475E-2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7">
        <v>936.26</v>
      </c>
      <c r="E59" s="2"/>
      <c r="F59" s="6">
        <f t="shared" si="28"/>
        <v>4.7840860896358257E-2</v>
      </c>
      <c r="G59" s="2"/>
      <c r="H59" s="7">
        <v>-565.96</v>
      </c>
      <c r="I59" s="2"/>
      <c r="J59" s="6">
        <f t="shared" si="29"/>
        <v>-3.3555411548264809E-2</v>
      </c>
      <c r="K59" s="2"/>
      <c r="L59" s="7">
        <f t="shared" si="30"/>
        <v>1502.22</v>
      </c>
      <c r="M59" s="2"/>
      <c r="N59" s="6">
        <f t="shared" si="31"/>
        <v>-2.6542865220156902</v>
      </c>
      <c r="O59" s="11"/>
      <c r="P59" s="7">
        <v>936.26</v>
      </c>
      <c r="Q59" s="2"/>
      <c r="R59" s="6">
        <f t="shared" si="32"/>
        <v>4.7840860896358257E-2</v>
      </c>
      <c r="S59" s="2"/>
      <c r="T59" s="7">
        <v>-565.96</v>
      </c>
      <c r="U59" s="2"/>
      <c r="V59" s="6">
        <f t="shared" si="33"/>
        <v>-3.3555411548264809E-2</v>
      </c>
      <c r="W59" s="2"/>
      <c r="X59" s="7">
        <f t="shared" si="34"/>
        <v>1502.22</v>
      </c>
      <c r="Y59" s="2"/>
      <c r="Z59" s="6">
        <f t="shared" si="35"/>
        <v>-2.6542865220156902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SUM(OSRRefD22_11x_0)</f>
        <v>73.55</v>
      </c>
      <c r="E60" s="1"/>
      <c r="F60" s="5">
        <f t="shared" ref="F60:F63" si="36">IF(D$12=0,0,D60/D$12)</f>
        <v>3.7582459134504836E-3</v>
      </c>
      <c r="G60" s="1"/>
      <c r="H60" s="1">
        <f>SUM(OSRRefH22_11x_0)</f>
        <v>142.94999999999999</v>
      </c>
      <c r="I60" s="1"/>
      <c r="J60" s="5">
        <f t="shared" ref="J60:J63" si="37">IF(H$12=0,0,H60/H$12)</f>
        <v>8.4754153665002017E-3</v>
      </c>
      <c r="K60" s="1"/>
      <c r="L60" s="1">
        <f t="shared" ref="L60:L63" si="38">+D60-H60</f>
        <v>-69.399999999999991</v>
      </c>
      <c r="M60" s="1"/>
      <c r="N60" s="5">
        <f t="shared" ref="N60:N63" si="39">IF(H60=0,0,L60/H60)</f>
        <v>-0.48548443511717382</v>
      </c>
      <c r="O60" s="14"/>
      <c r="P60" s="1">
        <f>SUM(OSRRefP22_11x_0)</f>
        <v>73.55</v>
      </c>
      <c r="Q60" s="1"/>
      <c r="R60" s="5">
        <f t="shared" ref="R60:R63" si="40">IF(P$12=0,0,P60/P$12)</f>
        <v>3.7582459134504836E-3</v>
      </c>
      <c r="S60" s="1"/>
      <c r="T60" s="1">
        <f>SUM(OSRRefT22_11x_0)</f>
        <v>142.94999999999999</v>
      </c>
      <c r="U60" s="1"/>
      <c r="V60" s="5">
        <f t="shared" ref="V60:V63" si="41">IF(T$12=0,0,T60/T$12)</f>
        <v>8.4754153665002017E-3</v>
      </c>
      <c r="W60" s="1"/>
      <c r="X60" s="1">
        <f t="shared" ref="X60:X63" si="42">+P60-T60</f>
        <v>-69.399999999999991</v>
      </c>
      <c r="Y60" s="1"/>
      <c r="Z60" s="5">
        <f t="shared" ref="Z60:Z63" si="43">IF(T60=0,0,X60/T60)</f>
        <v>-0.48548443511717382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7">
        <v>73.55</v>
      </c>
      <c r="E61" s="2"/>
      <c r="F61" s="6">
        <f t="shared" si="36"/>
        <v>3.7582459134504836E-3</v>
      </c>
      <c r="G61" s="2"/>
      <c r="H61" s="7">
        <v>142.94999999999999</v>
      </c>
      <c r="I61" s="2"/>
      <c r="J61" s="6">
        <f t="shared" si="37"/>
        <v>8.4754153665002017E-3</v>
      </c>
      <c r="K61" s="2"/>
      <c r="L61" s="7">
        <f t="shared" si="38"/>
        <v>-69.399999999999991</v>
      </c>
      <c r="M61" s="2"/>
      <c r="N61" s="6">
        <f t="shared" si="39"/>
        <v>-0.48548443511717382</v>
      </c>
      <c r="O61" s="11"/>
      <c r="P61" s="7">
        <v>73.55</v>
      </c>
      <c r="Q61" s="2"/>
      <c r="R61" s="6">
        <f t="shared" si="40"/>
        <v>3.7582459134504836E-3</v>
      </c>
      <c r="S61" s="2"/>
      <c r="T61" s="7">
        <v>142.94999999999999</v>
      </c>
      <c r="U61" s="2"/>
      <c r="V61" s="6">
        <f t="shared" si="41"/>
        <v>8.4754153665002017E-3</v>
      </c>
      <c r="W61" s="2"/>
      <c r="X61" s="7">
        <f t="shared" si="42"/>
        <v>-69.399999999999991</v>
      </c>
      <c r="Y61" s="2"/>
      <c r="Z61" s="6">
        <f t="shared" si="43"/>
        <v>-0.48548443511717382</v>
      </c>
    </row>
    <row r="62" spans="1:26" s="28" customFormat="1" outlineLevel="1" collapsed="1" x14ac:dyDescent="0.25">
      <c r="A62" s="27"/>
      <c r="B62" s="14" t="str">
        <f>CONCATENATE("     ","Training                                          ")</f>
        <v xml:space="preserve">     Training                                          </v>
      </c>
      <c r="C62" s="14"/>
      <c r="D62" s="1">
        <f>SUM(OSRRefD22_12x_0)</f>
        <v>0</v>
      </c>
      <c r="E62" s="1"/>
      <c r="F62" s="5">
        <f t="shared" si="36"/>
        <v>0</v>
      </c>
      <c r="G62" s="1"/>
      <c r="H62" s="1">
        <f>SUM(OSRRefH22_12x_0)</f>
        <v>98.82</v>
      </c>
      <c r="I62" s="1"/>
      <c r="J62" s="5">
        <f t="shared" si="37"/>
        <v>5.8589754915533395E-3</v>
      </c>
      <c r="K62" s="1"/>
      <c r="L62" s="1">
        <f t="shared" si="38"/>
        <v>-98.82</v>
      </c>
      <c r="M62" s="1"/>
      <c r="N62" s="5">
        <f t="shared" si="39"/>
        <v>-1</v>
      </c>
      <c r="O62" s="14"/>
      <c r="P62" s="1">
        <f>SUM(OSRRefP22_12x_0)</f>
        <v>0</v>
      </c>
      <c r="Q62" s="1"/>
      <c r="R62" s="5">
        <f t="shared" si="40"/>
        <v>0</v>
      </c>
      <c r="S62" s="1"/>
      <c r="T62" s="1">
        <f>SUM(OSRRefT22_12x_0)</f>
        <v>98.82</v>
      </c>
      <c r="U62" s="1"/>
      <c r="V62" s="5">
        <f t="shared" si="41"/>
        <v>5.8589754915533395E-3</v>
      </c>
      <c r="W62" s="1"/>
      <c r="X62" s="1">
        <f t="shared" si="42"/>
        <v>-98.82</v>
      </c>
      <c r="Y62" s="1"/>
      <c r="Z62" s="5">
        <f t="shared" si="43"/>
        <v>-1</v>
      </c>
    </row>
    <row r="63" spans="1:26" s="24" customFormat="1" hidden="1" outlineLevel="2" x14ac:dyDescent="0.25">
      <c r="A63" s="29"/>
      <c r="B63" s="11" t="str">
        <f>CONCATENATE("          ", "6376", " - ", "TRAINING")</f>
        <v xml:space="preserve">          6376 - TRAINING</v>
      </c>
      <c r="C63" s="11"/>
      <c r="D63" s="7"/>
      <c r="E63" s="2"/>
      <c r="F63" s="6">
        <f t="shared" si="36"/>
        <v>0</v>
      </c>
      <c r="G63" s="2"/>
      <c r="H63" s="7">
        <v>98.82</v>
      </c>
      <c r="I63" s="2"/>
      <c r="J63" s="6">
        <f t="shared" si="37"/>
        <v>5.8589754915533395E-3</v>
      </c>
      <c r="K63" s="2"/>
      <c r="L63" s="7">
        <f t="shared" si="38"/>
        <v>-98.82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98.82</v>
      </c>
      <c r="U63" s="2"/>
      <c r="V63" s="6">
        <f t="shared" si="41"/>
        <v>5.8589754915533395E-3</v>
      </c>
      <c r="W63" s="2"/>
      <c r="X63" s="7">
        <f t="shared" si="42"/>
        <v>-98.82</v>
      </c>
      <c r="Y63" s="2"/>
      <c r="Z63" s="6">
        <f t="shared" si="43"/>
        <v>-1</v>
      </c>
    </row>
    <row r="64" spans="1:26" s="54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6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5" t="s">
        <v>3</v>
      </c>
      <c r="C67" s="25"/>
      <c r="D67" s="21">
        <f>+D23-D25+D65</f>
        <v>-6187.2500000000036</v>
      </c>
      <c r="E67" s="13"/>
      <c r="F67" s="20">
        <f>IF(D$12=0,0,D67/D$12)</f>
        <v>-0.3161550921549493</v>
      </c>
      <c r="G67" s="13"/>
      <c r="H67" s="21">
        <f>+H23-H25+H65</f>
        <v>-641.95000000000437</v>
      </c>
      <c r="I67" s="13"/>
      <c r="J67" s="20">
        <f>IF(H$12=0,0,H67/H$12)</f>
        <v>-3.8060810734696339E-2</v>
      </c>
      <c r="K67" s="16"/>
      <c r="L67" s="21">
        <f>+D67-H67</f>
        <v>-5545.2999999999993</v>
      </c>
      <c r="M67" s="16"/>
      <c r="N67" s="20">
        <f>IF(H67=0,0,L67/H67)</f>
        <v>8.6382116987303714</v>
      </c>
      <c r="O67" s="26"/>
      <c r="P67" s="21">
        <f>+P23-P25+P65</f>
        <v>-6187.2500000000036</v>
      </c>
      <c r="Q67" s="13"/>
      <c r="R67" s="20">
        <f>IF(P$12=0,0,P67/P$12)</f>
        <v>-0.3161550921549493</v>
      </c>
      <c r="S67" s="13"/>
      <c r="T67" s="21">
        <f>+T23-T25+T65</f>
        <v>-641.95000000000437</v>
      </c>
      <c r="U67" s="13"/>
      <c r="V67" s="20">
        <f>IF(T$12=0,0,T67/T$12)</f>
        <v>-3.8060810734696339E-2</v>
      </c>
      <c r="W67" s="16"/>
      <c r="X67" s="21">
        <f>+P67-T67</f>
        <v>-5545.2999999999993</v>
      </c>
      <c r="Y67" s="16"/>
      <c r="Z67" s="20">
        <f>IF(T67=0,0,X67/T67)</f>
        <v>8.6382116987303714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4069.24</v>
      </c>
      <c r="E69" s="4"/>
      <c r="F69" s="12">
        <f>IF(D$12=0,0,D69/D$12)</f>
        <v>0.20792936235009171</v>
      </c>
      <c r="G69" s="4"/>
      <c r="H69" s="4">
        <v>3462.69</v>
      </c>
      <c r="I69" s="4"/>
      <c r="J69" s="12">
        <f>IF(H$12=0,0,H69/H$12)</f>
        <v>0.20530070678857351</v>
      </c>
      <c r="K69" s="4"/>
      <c r="L69" s="4">
        <f>+D69-H69</f>
        <v>606.54999999999973</v>
      </c>
      <c r="M69" s="4"/>
      <c r="N69" s="12">
        <f>IF(H69=0,0,L69/H69)</f>
        <v>0.1751672832393312</v>
      </c>
      <c r="O69" s="10"/>
      <c r="P69" s="4">
        <v>4069.24</v>
      </c>
      <c r="Q69" s="4"/>
      <c r="R69" s="12">
        <f>IF(P$12=0,0,P69/P$12)</f>
        <v>0.20792936235009171</v>
      </c>
      <c r="S69" s="4"/>
      <c r="T69" s="4">
        <v>3462.69</v>
      </c>
      <c r="U69" s="4"/>
      <c r="V69" s="12">
        <f>IF(T$12=0,0,T69/T$12)</f>
        <v>0.20530070678857351</v>
      </c>
      <c r="W69" s="4"/>
      <c r="X69" s="4">
        <f>+P69-T69</f>
        <v>606.54999999999973</v>
      </c>
      <c r="Y69" s="4"/>
      <c r="Z69" s="12">
        <f>IF(T69=0,0,X69/T69)</f>
        <v>0.1751672832393312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5" t="s">
        <v>4</v>
      </c>
      <c r="C71" s="25"/>
      <c r="D71" s="33">
        <f>+D67-D69</f>
        <v>-10256.490000000003</v>
      </c>
      <c r="E71" s="13"/>
      <c r="F71" s="34">
        <f>IF(D$12=0,0,D71/D$12)</f>
        <v>-0.52408445450504104</v>
      </c>
      <c r="G71" s="13"/>
      <c r="H71" s="33">
        <f>+H67-H69</f>
        <v>-4104.6400000000049</v>
      </c>
      <c r="I71" s="13"/>
      <c r="J71" s="34">
        <f>IF(H$12=0,0,H71/H$12)</f>
        <v>-0.24336151752326987</v>
      </c>
      <c r="K71" s="16"/>
      <c r="L71" s="33">
        <f>D71-H71</f>
        <v>-6151.8499999999985</v>
      </c>
      <c r="M71" s="16"/>
      <c r="N71" s="34">
        <f>IF(H71=0,0,L71/H71)</f>
        <v>1.4987550674358754</v>
      </c>
      <c r="O71" s="26"/>
      <c r="P71" s="33">
        <f>+P67-P69</f>
        <v>-10256.490000000003</v>
      </c>
      <c r="Q71" s="13"/>
      <c r="R71" s="34">
        <f>IF(P$12=0,0,P71/P$12)</f>
        <v>-0.52408445450504104</v>
      </c>
      <c r="S71" s="13"/>
      <c r="T71" s="33">
        <f>+T67-T69</f>
        <v>-4104.6400000000049</v>
      </c>
      <c r="U71" s="13"/>
      <c r="V71" s="34">
        <f>IF(T$12=0,0,T71/T$12)</f>
        <v>-0.24336151752326987</v>
      </c>
      <c r="W71" s="16"/>
      <c r="X71" s="33">
        <f>P71-T71</f>
        <v>-6151.8499999999985</v>
      </c>
      <c r="Y71" s="16"/>
      <c r="Z71" s="34">
        <f>IF(T71=0,0,X71/T71)</f>
        <v>1.4987550674358754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5</v>
      </c>
      <c r="C74" s="25"/>
      <c r="D74" s="31">
        <f>SUM(D71:D73)</f>
        <v>-10256.490000000003</v>
      </c>
      <c r="E74" s="13"/>
      <c r="F74" s="30">
        <f>IF(D$12=0,0,D74/D$12)</f>
        <v>-0.52408445450504104</v>
      </c>
      <c r="G74" s="13"/>
      <c r="H74" s="31">
        <f>SUM(H71:H73)</f>
        <v>-4104.6400000000049</v>
      </c>
      <c r="I74" s="13"/>
      <c r="J74" s="30">
        <f>IF(H$12=0,0,H74/H$12)</f>
        <v>-0.24336151752326987</v>
      </c>
      <c r="K74" s="16"/>
      <c r="L74" s="31">
        <f>+D74-H74</f>
        <v>-6151.8499999999985</v>
      </c>
      <c r="M74" s="16"/>
      <c r="N74" s="30">
        <f>IF(H74=0,0,L74/H74)</f>
        <v>1.4987550674358754</v>
      </c>
      <c r="O74" s="26"/>
      <c r="P74" s="31">
        <f>SUM(P71:P73)</f>
        <v>-10256.490000000003</v>
      </c>
      <c r="Q74" s="13"/>
      <c r="R74" s="30">
        <f>IF(P$12=0,0,P74/P$12)</f>
        <v>-0.52408445450504104</v>
      </c>
      <c r="S74" s="13"/>
      <c r="T74" s="31">
        <f>SUM(T71:T73)</f>
        <v>-4104.6400000000049</v>
      </c>
      <c r="U74" s="13"/>
      <c r="V74" s="30">
        <f>IF(T$12=0,0,T74/T$12)</f>
        <v>-0.24336151752326987</v>
      </c>
      <c r="W74" s="16"/>
      <c r="X74" s="31">
        <f>+P74-T74</f>
        <v>-6151.8499999999985</v>
      </c>
      <c r="Y74" s="16"/>
      <c r="Z74" s="30">
        <f>IF(T74=0,0,X74/T74)</f>
        <v>1.4987550674358754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6">
        <v>43726.681891354165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3" t="s">
        <v>313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297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5401.75</v>
      </c>
      <c r="E12" s="4"/>
      <c r="F12" s="12"/>
      <c r="G12" s="4"/>
      <c r="H12" s="4">
        <f>SUM(OSRRefH13x_0)</f>
        <v>5884.2900000000009</v>
      </c>
      <c r="I12" s="4"/>
      <c r="J12" s="12"/>
      <c r="K12" s="4"/>
      <c r="L12" s="4">
        <f t="shared" ref="L12:L14" si="0">+D12-H12</f>
        <v>-482.54000000000087</v>
      </c>
      <c r="M12" s="4"/>
      <c r="N12" s="12">
        <f t="shared" ref="N12:N14" si="1">IF(H12=0,0,L12/H12)</f>
        <v>-8.2004795820736373E-2</v>
      </c>
      <c r="O12" s="10"/>
      <c r="P12" s="4">
        <f>SUM(OSRRefP13x_0)</f>
        <v>5401.75</v>
      </c>
      <c r="Q12" s="4"/>
      <c r="R12" s="12"/>
      <c r="S12" s="4"/>
      <c r="T12" s="4">
        <f>SUM(OSRRefT13x_0)</f>
        <v>5884.2900000000009</v>
      </c>
      <c r="U12" s="4"/>
      <c r="V12" s="12"/>
      <c r="W12" s="4"/>
      <c r="X12" s="4">
        <f t="shared" ref="X12:X14" si="2">+P12-T12</f>
        <v>-482.54000000000087</v>
      </c>
      <c r="Y12" s="4"/>
      <c r="Z12" s="12">
        <f t="shared" ref="Z12:Z14" si="3">IF(T12=0,0,X12/T12)</f>
        <v>-8.2004795820736373E-2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--1053.37</f>
        <v>1053.3699999999999</v>
      </c>
      <c r="E13" s="2"/>
      <c r="F13" s="22"/>
      <c r="G13" s="2"/>
      <c r="H13" s="2">
        <f>--1278.65</f>
        <v>1278.6500000000001</v>
      </c>
      <c r="I13" s="2"/>
      <c r="J13" s="22"/>
      <c r="K13" s="2"/>
      <c r="L13" s="2">
        <f t="shared" si="0"/>
        <v>-225.2800000000002</v>
      </c>
      <c r="M13" s="2"/>
      <c r="N13" s="22">
        <f t="shared" si="1"/>
        <v>-0.17618582098306823</v>
      </c>
      <c r="O13" s="11"/>
      <c r="P13" s="2">
        <f>--1053.37</f>
        <v>1053.3699999999999</v>
      </c>
      <c r="Q13" s="2"/>
      <c r="R13" s="22"/>
      <c r="S13" s="2"/>
      <c r="T13" s="2">
        <f>--1278.65</f>
        <v>1278.6500000000001</v>
      </c>
      <c r="U13" s="2"/>
      <c r="V13" s="22"/>
      <c r="W13" s="2"/>
      <c r="X13" s="2">
        <f t="shared" si="2"/>
        <v>-225.2800000000002</v>
      </c>
      <c r="Y13" s="2"/>
      <c r="Z13" s="22">
        <f t="shared" si="3"/>
        <v>-0.17618582098306823</v>
      </c>
    </row>
    <row r="14" spans="1:26" s="24" customFormat="1" hidden="1" outlineLevel="1" x14ac:dyDescent="0.25">
      <c r="A14" s="50"/>
      <c r="B14" s="11" t="str">
        <f>CONCATENATE("          ", "4132", " - ", "NON-TAXABLE SALES-JUICE")</f>
        <v xml:space="preserve">          4132 - NON-TAXABLE SALES-JUICE</v>
      </c>
      <c r="C14" s="11"/>
      <c r="D14" s="2">
        <f>--4348.38</f>
        <v>4348.38</v>
      </c>
      <c r="E14" s="2"/>
      <c r="F14" s="22"/>
      <c r="G14" s="2"/>
      <c r="H14" s="2">
        <f>--4605.64</f>
        <v>4605.6400000000003</v>
      </c>
      <c r="I14" s="2"/>
      <c r="J14" s="22"/>
      <c r="K14" s="2"/>
      <c r="L14" s="2">
        <f t="shared" si="0"/>
        <v>-257.26000000000022</v>
      </c>
      <c r="M14" s="2"/>
      <c r="N14" s="22">
        <f t="shared" si="1"/>
        <v>-5.5857600680904326E-2</v>
      </c>
      <c r="O14" s="11"/>
      <c r="P14" s="2">
        <f>--4348.38</f>
        <v>4348.38</v>
      </c>
      <c r="Q14" s="2"/>
      <c r="R14" s="22"/>
      <c r="S14" s="2"/>
      <c r="T14" s="2">
        <f>--4605.64</f>
        <v>4605.6400000000003</v>
      </c>
      <c r="U14" s="2"/>
      <c r="V14" s="22"/>
      <c r="W14" s="2"/>
      <c r="X14" s="2">
        <f t="shared" si="2"/>
        <v>-257.26000000000022</v>
      </c>
      <c r="Y14" s="2"/>
      <c r="Z14" s="22">
        <f t="shared" si="3"/>
        <v>-5.5857600680904326E-2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2695.7300000000005</v>
      </c>
      <c r="E16" s="4"/>
      <c r="F16" s="12">
        <f t="shared" ref="F16:F18" si="4">IF(D$12=0,0,D16/D$12)</f>
        <v>0.49904753089276632</v>
      </c>
      <c r="G16" s="4"/>
      <c r="H16" s="4">
        <f>SUM(OSRRefH16x_0)</f>
        <v>-192.58999999999969</v>
      </c>
      <c r="I16" s="4"/>
      <c r="J16" s="12">
        <f t="shared" ref="J16:J18" si="5">IF(H$12=0,0,H16/H$12)</f>
        <v>-3.2729522168349907E-2</v>
      </c>
      <c r="K16" s="4"/>
      <c r="L16" s="4">
        <f t="shared" ref="L16:L18" si="6">+D16-H16</f>
        <v>2888.32</v>
      </c>
      <c r="M16" s="4"/>
      <c r="N16" s="12">
        <f t="shared" ref="N16:N18" si="7">IF(H16=0,0,L16/H16)</f>
        <v>-14.997248039877485</v>
      </c>
      <c r="O16" s="10"/>
      <c r="P16" s="4">
        <f>SUM(OSRRefP16x_0)</f>
        <v>2695.7300000000005</v>
      </c>
      <c r="Q16" s="4"/>
      <c r="R16" s="12">
        <f t="shared" ref="R16:R18" si="8">IF(P$12=0,0,P16/P$12)</f>
        <v>0.49904753089276632</v>
      </c>
      <c r="S16" s="4"/>
      <c r="T16" s="4">
        <f>SUM(OSRRefT16x_0)</f>
        <v>-192.58999999999969</v>
      </c>
      <c r="U16" s="4"/>
      <c r="V16" s="12">
        <f t="shared" ref="V16:V18" si="9">IF(T$12=0,0,T16/T$12)</f>
        <v>-3.2729522168349907E-2</v>
      </c>
      <c r="W16" s="4"/>
      <c r="X16" s="4">
        <f t="shared" ref="X16:X18" si="10">+P16-T16</f>
        <v>2888.32</v>
      </c>
      <c r="Y16" s="4"/>
      <c r="Z16" s="12">
        <f t="shared" ref="Z16:Z18" si="11">IF(T16=0,0,X16/T16)</f>
        <v>-14.997248039877485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4361.68</v>
      </c>
      <c r="E17" s="2"/>
      <c r="F17" s="22">
        <f t="shared" si="4"/>
        <v>0.80745684268986906</v>
      </c>
      <c r="G17" s="2"/>
      <c r="H17" s="2">
        <v>3797.59</v>
      </c>
      <c r="I17" s="2"/>
      <c r="J17" s="22">
        <f t="shared" si="5"/>
        <v>0.64537777709800159</v>
      </c>
      <c r="K17" s="2"/>
      <c r="L17" s="2">
        <f t="shared" si="6"/>
        <v>564.09000000000015</v>
      </c>
      <c r="M17" s="2"/>
      <c r="N17" s="22">
        <f t="shared" si="7"/>
        <v>0.1485389418025643</v>
      </c>
      <c r="O17" s="11"/>
      <c r="P17" s="2">
        <v>4361.68</v>
      </c>
      <c r="Q17" s="2"/>
      <c r="R17" s="22">
        <f t="shared" si="8"/>
        <v>0.80745684268986906</v>
      </c>
      <c r="S17" s="2"/>
      <c r="T17" s="2">
        <v>3797.59</v>
      </c>
      <c r="U17" s="2"/>
      <c r="V17" s="22">
        <f t="shared" si="9"/>
        <v>0.64537777709800159</v>
      </c>
      <c r="W17" s="2"/>
      <c r="X17" s="2">
        <f t="shared" si="10"/>
        <v>564.09000000000015</v>
      </c>
      <c r="Y17" s="2"/>
      <c r="Z17" s="22">
        <f t="shared" si="11"/>
        <v>0.1485389418025643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-1665.95</v>
      </c>
      <c r="E18" s="2"/>
      <c r="F18" s="22">
        <f t="shared" si="4"/>
        <v>-0.30840931179710279</v>
      </c>
      <c r="G18" s="2"/>
      <c r="H18" s="2">
        <v>-3990.18</v>
      </c>
      <c r="I18" s="2"/>
      <c r="J18" s="22">
        <f t="shared" si="5"/>
        <v>-0.67810729926635149</v>
      </c>
      <c r="K18" s="2"/>
      <c r="L18" s="2">
        <f t="shared" si="6"/>
        <v>2324.2299999999996</v>
      </c>
      <c r="M18" s="2"/>
      <c r="N18" s="22">
        <f t="shared" si="7"/>
        <v>-0.58248750682926576</v>
      </c>
      <c r="O18" s="11"/>
      <c r="P18" s="2">
        <v>-1665.95</v>
      </c>
      <c r="Q18" s="2"/>
      <c r="R18" s="22">
        <f t="shared" si="8"/>
        <v>-0.30840931179710279</v>
      </c>
      <c r="S18" s="2"/>
      <c r="T18" s="2">
        <v>-3990.18</v>
      </c>
      <c r="U18" s="2"/>
      <c r="V18" s="22">
        <f t="shared" si="9"/>
        <v>-0.67810729926635149</v>
      </c>
      <c r="W18" s="2"/>
      <c r="X18" s="2">
        <f t="shared" si="10"/>
        <v>2324.2299999999996</v>
      </c>
      <c r="Y18" s="2"/>
      <c r="Z18" s="22">
        <f t="shared" si="11"/>
        <v>-0.58248750682926576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2706.0199999999995</v>
      </c>
      <c r="E20" s="13"/>
      <c r="F20" s="20">
        <f>IF(D$12=0,0,D20/D$12)</f>
        <v>0.50095246910723368</v>
      </c>
      <c r="G20" s="13"/>
      <c r="H20" s="21">
        <f>H12-H16</f>
        <v>6076.880000000001</v>
      </c>
      <c r="I20" s="13"/>
      <c r="J20" s="20">
        <f>IF(H$12=0,0,H20/H$12)</f>
        <v>1.0327295221683499</v>
      </c>
      <c r="K20" s="16"/>
      <c r="L20" s="21">
        <f>+D20-H20</f>
        <v>-3370.8600000000015</v>
      </c>
      <c r="M20" s="16"/>
      <c r="N20" s="20">
        <f>IF(H20=0,0,L20/H20)</f>
        <v>-0.55470241308039669</v>
      </c>
      <c r="O20" s="26"/>
      <c r="P20" s="21">
        <f>P12-P16</f>
        <v>2706.0199999999995</v>
      </c>
      <c r="Q20" s="13"/>
      <c r="R20" s="20">
        <f>IF(P$12=0,0,P20/P$12)</f>
        <v>0.50095246910723368</v>
      </c>
      <c r="S20" s="13"/>
      <c r="T20" s="21">
        <f>T12-T16</f>
        <v>6076.880000000001</v>
      </c>
      <c r="U20" s="13"/>
      <c r="V20" s="20">
        <f>IF(T$12=0,0,T20/T$12)</f>
        <v>1.0327295221683499</v>
      </c>
      <c r="W20" s="16"/>
      <c r="X20" s="21">
        <f>+P20-T20</f>
        <v>-3370.8600000000015</v>
      </c>
      <c r="Y20" s="16"/>
      <c r="Z20" s="20">
        <f>IF(T20=0,0,X20/T20)</f>
        <v>-0.55470241308039669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9642.4000000000015</v>
      </c>
      <c r="E22" s="19"/>
      <c r="F22" s="35">
        <f t="shared" ref="F22:F28" si="12">IF(D$12=0,0,D22/D$12)</f>
        <v>1.7850511408339893</v>
      </c>
      <c r="G22" s="19"/>
      <c r="H22" s="19">
        <f>SUM(OSRRefH22x_0)</f>
        <v>3759.54</v>
      </c>
      <c r="I22" s="19"/>
      <c r="J22" s="35">
        <f t="shared" ref="J22:J28" si="13">IF(H$12=0,0,H22/H$12)</f>
        <v>0.63891140647384803</v>
      </c>
      <c r="K22" s="4"/>
      <c r="L22" s="19">
        <f t="shared" ref="L22:L28" si="14">+D22-H22</f>
        <v>5882.8600000000015</v>
      </c>
      <c r="M22" s="4"/>
      <c r="N22" s="35">
        <f t="shared" ref="N22:N28" si="15">IF(H22=0,0,L22/H22)</f>
        <v>1.5647818616107294</v>
      </c>
      <c r="O22" s="10"/>
      <c r="P22" s="19">
        <f>SUM(OSRRefP22x_0)</f>
        <v>9642.4000000000015</v>
      </c>
      <c r="Q22" s="19"/>
      <c r="R22" s="35">
        <f t="shared" ref="R22:R28" si="16">IF(P$12=0,0,P22/P$12)</f>
        <v>1.7850511408339893</v>
      </c>
      <c r="S22" s="19"/>
      <c r="T22" s="19">
        <f>SUM(OSRRefT22x_0)</f>
        <v>3759.54</v>
      </c>
      <c r="U22" s="19"/>
      <c r="V22" s="35">
        <f t="shared" ref="V22:V28" si="17">IF(T$12=0,0,T22/T$12)</f>
        <v>0.63891140647384803</v>
      </c>
      <c r="W22" s="4"/>
      <c r="X22" s="19">
        <f t="shared" ref="X22:X28" si="18">+P22-T22</f>
        <v>5882.8600000000015</v>
      </c>
      <c r="Y22" s="4"/>
      <c r="Z22" s="35">
        <f t="shared" ref="Z22:Z28" si="19">IF(T22=0,0,X22/T22)</f>
        <v>1.5647818616107294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1425.63</v>
      </c>
      <c r="E23" s="1"/>
      <c r="F23" s="5">
        <f t="shared" si="12"/>
        <v>0.26392002591752672</v>
      </c>
      <c r="G23" s="1"/>
      <c r="H23" s="1">
        <f>SUM(OSRRefH22_0x_0)</f>
        <v>93.2</v>
      </c>
      <c r="I23" s="1"/>
      <c r="J23" s="5">
        <f t="shared" si="13"/>
        <v>1.5838784288333851E-2</v>
      </c>
      <c r="K23" s="1"/>
      <c r="L23" s="1">
        <f t="shared" si="14"/>
        <v>1332.43</v>
      </c>
      <c r="M23" s="1"/>
      <c r="N23" s="5">
        <f t="shared" si="15"/>
        <v>14.296459227467812</v>
      </c>
      <c r="O23" s="14"/>
      <c r="P23" s="1">
        <f>SUM(OSRRefP22_0x_0)</f>
        <v>1425.63</v>
      </c>
      <c r="Q23" s="1"/>
      <c r="R23" s="5">
        <f t="shared" si="16"/>
        <v>0.26392002591752672</v>
      </c>
      <c r="S23" s="1"/>
      <c r="T23" s="1">
        <f>SUM(OSRRefT22_0x_0)</f>
        <v>93.2</v>
      </c>
      <c r="U23" s="1"/>
      <c r="V23" s="5">
        <f t="shared" si="17"/>
        <v>1.5838784288333851E-2</v>
      </c>
      <c r="W23" s="1"/>
      <c r="X23" s="1">
        <f t="shared" si="18"/>
        <v>1332.43</v>
      </c>
      <c r="Y23" s="1"/>
      <c r="Z23" s="5">
        <f t="shared" si="19"/>
        <v>14.296459227467812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325.04000000000002</v>
      </c>
      <c r="E24" s="2"/>
      <c r="F24" s="6">
        <f t="shared" si="12"/>
        <v>6.0173092053501187E-2</v>
      </c>
      <c r="G24" s="2"/>
      <c r="H24" s="7">
        <v>74.83</v>
      </c>
      <c r="I24" s="2"/>
      <c r="J24" s="6">
        <f t="shared" si="13"/>
        <v>1.2716912320772768E-2</v>
      </c>
      <c r="K24" s="2"/>
      <c r="L24" s="7">
        <f t="shared" si="14"/>
        <v>250.21000000000004</v>
      </c>
      <c r="M24" s="2"/>
      <c r="N24" s="6">
        <f t="shared" si="15"/>
        <v>3.3437124148068964</v>
      </c>
      <c r="O24" s="11"/>
      <c r="P24" s="7">
        <v>325.04000000000002</v>
      </c>
      <c r="Q24" s="2"/>
      <c r="R24" s="6">
        <f t="shared" si="16"/>
        <v>6.0173092053501187E-2</v>
      </c>
      <c r="S24" s="2"/>
      <c r="T24" s="7">
        <v>74.83</v>
      </c>
      <c r="U24" s="2"/>
      <c r="V24" s="6">
        <f t="shared" si="17"/>
        <v>1.2716912320772768E-2</v>
      </c>
      <c r="W24" s="2"/>
      <c r="X24" s="7">
        <f t="shared" si="18"/>
        <v>250.21000000000004</v>
      </c>
      <c r="Y24" s="2"/>
      <c r="Z24" s="6">
        <f t="shared" si="19"/>
        <v>3.3437124148068964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27.43</v>
      </c>
      <c r="E25" s="2"/>
      <c r="F25" s="6">
        <f t="shared" si="12"/>
        <v>5.0779839866709866E-3</v>
      </c>
      <c r="G25" s="2"/>
      <c r="H25" s="7">
        <v>15.08</v>
      </c>
      <c r="I25" s="2"/>
      <c r="J25" s="6">
        <f t="shared" si="13"/>
        <v>2.5627560844213998E-3</v>
      </c>
      <c r="K25" s="2"/>
      <c r="L25" s="7">
        <f t="shared" si="14"/>
        <v>12.35</v>
      </c>
      <c r="M25" s="2"/>
      <c r="N25" s="6">
        <f t="shared" si="15"/>
        <v>0.81896551724137934</v>
      </c>
      <c r="O25" s="11"/>
      <c r="P25" s="7">
        <v>27.43</v>
      </c>
      <c r="Q25" s="2"/>
      <c r="R25" s="6">
        <f t="shared" si="16"/>
        <v>5.0779839866709866E-3</v>
      </c>
      <c r="S25" s="2"/>
      <c r="T25" s="7">
        <v>15.08</v>
      </c>
      <c r="U25" s="2"/>
      <c r="V25" s="6">
        <f t="shared" si="17"/>
        <v>2.5627560844213998E-3</v>
      </c>
      <c r="W25" s="2"/>
      <c r="X25" s="7">
        <f t="shared" si="18"/>
        <v>12.35</v>
      </c>
      <c r="Y25" s="2"/>
      <c r="Z25" s="6">
        <f t="shared" si="19"/>
        <v>0.81896551724137934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935.3</v>
      </c>
      <c r="E26" s="2"/>
      <c r="F26" s="6">
        <f t="shared" si="12"/>
        <v>0.17314759105845326</v>
      </c>
      <c r="G26" s="2"/>
      <c r="H26" s="7"/>
      <c r="I26" s="2"/>
      <c r="J26" s="6">
        <f t="shared" si="13"/>
        <v>0</v>
      </c>
      <c r="K26" s="2"/>
      <c r="L26" s="7">
        <f t="shared" si="14"/>
        <v>935.3</v>
      </c>
      <c r="M26" s="2"/>
      <c r="N26" s="6">
        <f t="shared" si="15"/>
        <v>0</v>
      </c>
      <c r="O26" s="11"/>
      <c r="P26" s="7">
        <v>935.3</v>
      </c>
      <c r="Q26" s="2"/>
      <c r="R26" s="6">
        <f t="shared" si="16"/>
        <v>0.17314759105845326</v>
      </c>
      <c r="S26" s="2"/>
      <c r="T26" s="7"/>
      <c r="U26" s="2"/>
      <c r="V26" s="6">
        <f t="shared" si="17"/>
        <v>0</v>
      </c>
      <c r="W26" s="2"/>
      <c r="X26" s="7">
        <f t="shared" si="18"/>
        <v>935.3</v>
      </c>
      <c r="Y26" s="2"/>
      <c r="Z26" s="6">
        <f t="shared" si="19"/>
        <v>0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3.75</v>
      </c>
      <c r="E27" s="2"/>
      <c r="F27" s="6">
        <f t="shared" si="12"/>
        <v>6.9421946591382427E-4</v>
      </c>
      <c r="G27" s="2"/>
      <c r="H27" s="7">
        <v>3.29</v>
      </c>
      <c r="I27" s="2"/>
      <c r="J27" s="6">
        <f t="shared" si="13"/>
        <v>5.5911588313968205E-4</v>
      </c>
      <c r="K27" s="2"/>
      <c r="L27" s="7">
        <f t="shared" si="14"/>
        <v>0.45999999999999996</v>
      </c>
      <c r="M27" s="2"/>
      <c r="N27" s="6">
        <f t="shared" si="15"/>
        <v>0.1398176291793313</v>
      </c>
      <c r="O27" s="11"/>
      <c r="P27" s="7">
        <v>3.75</v>
      </c>
      <c r="Q27" s="2"/>
      <c r="R27" s="6">
        <f t="shared" si="16"/>
        <v>6.9421946591382427E-4</v>
      </c>
      <c r="S27" s="2"/>
      <c r="T27" s="7">
        <v>3.29</v>
      </c>
      <c r="U27" s="2"/>
      <c r="V27" s="6">
        <f t="shared" si="17"/>
        <v>5.5911588313968205E-4</v>
      </c>
      <c r="W27" s="2"/>
      <c r="X27" s="7">
        <f t="shared" si="18"/>
        <v>0.45999999999999996</v>
      </c>
      <c r="Y27" s="2"/>
      <c r="Z27" s="6">
        <f t="shared" si="19"/>
        <v>0.1398176291793313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134.11000000000001</v>
      </c>
      <c r="E28" s="2"/>
      <c r="F28" s="6">
        <f t="shared" si="12"/>
        <v>2.482713935298746E-2</v>
      </c>
      <c r="G28" s="2"/>
      <c r="H28" s="7"/>
      <c r="I28" s="2"/>
      <c r="J28" s="6">
        <f t="shared" si="13"/>
        <v>0</v>
      </c>
      <c r="K28" s="2"/>
      <c r="L28" s="7">
        <f t="shared" si="14"/>
        <v>134.11000000000001</v>
      </c>
      <c r="M28" s="2"/>
      <c r="N28" s="6">
        <f t="shared" si="15"/>
        <v>0</v>
      </c>
      <c r="O28" s="11"/>
      <c r="P28" s="7">
        <v>134.11000000000001</v>
      </c>
      <c r="Q28" s="2"/>
      <c r="R28" s="6">
        <f t="shared" si="16"/>
        <v>2.482713935298746E-2</v>
      </c>
      <c r="S28" s="2"/>
      <c r="T28" s="7"/>
      <c r="U28" s="2"/>
      <c r="V28" s="6">
        <f t="shared" si="17"/>
        <v>0</v>
      </c>
      <c r="W28" s="2"/>
      <c r="X28" s="7">
        <f t="shared" si="18"/>
        <v>134.11000000000001</v>
      </c>
      <c r="Y28" s="2"/>
      <c r="Z28" s="6">
        <f t="shared" si="19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5054.72</v>
      </c>
      <c r="E29" s="1"/>
      <c r="F29" s="5">
        <f t="shared" ref="F29:F33" si="20">IF(D$12=0,0,D29/D$12)</f>
        <v>0.93575600499838019</v>
      </c>
      <c r="G29" s="1"/>
      <c r="H29" s="1">
        <f>SUM(OSRRefH22_1x_0)</f>
        <v>1265.1300000000001</v>
      </c>
      <c r="I29" s="1"/>
      <c r="J29" s="5">
        <f t="shared" ref="J29:J33" si="21">IF(H$12=0,0,H29/H$12)</f>
        <v>0.21500130007188631</v>
      </c>
      <c r="K29" s="1"/>
      <c r="L29" s="1">
        <f t="shared" ref="L29:L33" si="22">+D29-H29</f>
        <v>3789.59</v>
      </c>
      <c r="M29" s="1"/>
      <c r="N29" s="5">
        <f t="shared" ref="N29:N33" si="23">IF(H29=0,0,L29/H29)</f>
        <v>2.9954154908981683</v>
      </c>
      <c r="O29" s="14"/>
      <c r="P29" s="1">
        <f>SUM(OSRRefP22_1x_0)</f>
        <v>5054.72</v>
      </c>
      <c r="Q29" s="1"/>
      <c r="R29" s="5">
        <f t="shared" ref="R29:R33" si="24">IF(P$12=0,0,P29/P$12)</f>
        <v>0.93575600499838019</v>
      </c>
      <c r="S29" s="1"/>
      <c r="T29" s="1">
        <f>SUM(OSRRefT22_1x_0)</f>
        <v>1265.1300000000001</v>
      </c>
      <c r="U29" s="1"/>
      <c r="V29" s="5">
        <f t="shared" ref="V29:V33" si="25">IF(T$12=0,0,T29/T$12)</f>
        <v>0.21500130007188631</v>
      </c>
      <c r="W29" s="1"/>
      <c r="X29" s="1">
        <f t="shared" ref="X29:X33" si="26">+P29-T29</f>
        <v>3789.59</v>
      </c>
      <c r="Y29" s="1"/>
      <c r="Z29" s="5">
        <f t="shared" ref="Z29:Z33" si="27">IF(T29=0,0,X29/T29)</f>
        <v>2.9954154908981683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2400</v>
      </c>
      <c r="E30" s="2"/>
      <c r="F30" s="6">
        <f t="shared" si="20"/>
        <v>0.44430045818484748</v>
      </c>
      <c r="G30" s="2"/>
      <c r="H30" s="7"/>
      <c r="I30" s="2"/>
      <c r="J30" s="6">
        <f t="shared" si="21"/>
        <v>0</v>
      </c>
      <c r="K30" s="2"/>
      <c r="L30" s="7">
        <f t="shared" si="22"/>
        <v>2400</v>
      </c>
      <c r="M30" s="2"/>
      <c r="N30" s="6">
        <f t="shared" si="23"/>
        <v>0</v>
      </c>
      <c r="O30" s="11"/>
      <c r="P30" s="7">
        <v>2400</v>
      </c>
      <c r="Q30" s="2"/>
      <c r="R30" s="6">
        <f t="shared" si="24"/>
        <v>0.44430045818484748</v>
      </c>
      <c r="S30" s="2"/>
      <c r="T30" s="7"/>
      <c r="U30" s="2"/>
      <c r="V30" s="6">
        <f t="shared" si="25"/>
        <v>0</v>
      </c>
      <c r="W30" s="2"/>
      <c r="X30" s="7">
        <f t="shared" si="26"/>
        <v>2400</v>
      </c>
      <c r="Y30" s="2"/>
      <c r="Z30" s="6">
        <f t="shared" si="27"/>
        <v>0</v>
      </c>
    </row>
    <row r="31" spans="1:26" s="24" customFormat="1" hidden="1" outlineLevel="2" x14ac:dyDescent="0.25">
      <c r="A31" s="29"/>
      <c r="B31" s="11" t="str">
        <f>CONCATENATE("          ", "6005", " - ", "TEMPORARY WAGES-HOURLY")</f>
        <v xml:space="preserve">          6005 - TEMPORARY WAGES-HOURLY</v>
      </c>
      <c r="C31" s="11"/>
      <c r="D31" s="7">
        <v>951.72</v>
      </c>
      <c r="E31" s="2"/>
      <c r="F31" s="6">
        <f t="shared" si="20"/>
        <v>0.17618734669320127</v>
      </c>
      <c r="G31" s="2"/>
      <c r="H31" s="7"/>
      <c r="I31" s="2"/>
      <c r="J31" s="6">
        <f t="shared" si="21"/>
        <v>0</v>
      </c>
      <c r="K31" s="2"/>
      <c r="L31" s="7">
        <f t="shared" si="22"/>
        <v>951.72</v>
      </c>
      <c r="M31" s="2"/>
      <c r="N31" s="6">
        <f t="shared" si="23"/>
        <v>0</v>
      </c>
      <c r="O31" s="11"/>
      <c r="P31" s="7">
        <v>951.72</v>
      </c>
      <c r="Q31" s="2"/>
      <c r="R31" s="6">
        <f t="shared" si="24"/>
        <v>0.17618734669320127</v>
      </c>
      <c r="S31" s="2"/>
      <c r="T31" s="7"/>
      <c r="U31" s="2"/>
      <c r="V31" s="6">
        <f t="shared" si="25"/>
        <v>0</v>
      </c>
      <c r="W31" s="2"/>
      <c r="X31" s="7">
        <f t="shared" si="26"/>
        <v>951.72</v>
      </c>
      <c r="Y31" s="2"/>
      <c r="Z31" s="6">
        <f t="shared" si="27"/>
        <v>0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7">
        <v>682.12</v>
      </c>
      <c r="E32" s="2"/>
      <c r="F32" s="6">
        <f t="shared" si="20"/>
        <v>0.12627759522377008</v>
      </c>
      <c r="G32" s="2"/>
      <c r="H32" s="7">
        <v>287.88</v>
      </c>
      <c r="I32" s="2"/>
      <c r="J32" s="6">
        <f t="shared" si="21"/>
        <v>4.8923489494909315E-2</v>
      </c>
      <c r="K32" s="2"/>
      <c r="L32" s="7">
        <f t="shared" si="22"/>
        <v>394.24</v>
      </c>
      <c r="M32" s="2"/>
      <c r="N32" s="6">
        <f t="shared" si="23"/>
        <v>1.3694594970126441</v>
      </c>
      <c r="O32" s="11"/>
      <c r="P32" s="7">
        <v>682.12</v>
      </c>
      <c r="Q32" s="2"/>
      <c r="R32" s="6">
        <f t="shared" si="24"/>
        <v>0.12627759522377008</v>
      </c>
      <c r="S32" s="2"/>
      <c r="T32" s="7">
        <v>287.88</v>
      </c>
      <c r="U32" s="2"/>
      <c r="V32" s="6">
        <f t="shared" si="25"/>
        <v>4.8923489494909315E-2</v>
      </c>
      <c r="W32" s="2"/>
      <c r="X32" s="7">
        <f t="shared" si="26"/>
        <v>394.24</v>
      </c>
      <c r="Y32" s="2"/>
      <c r="Z32" s="6">
        <f t="shared" si="27"/>
        <v>1.3694594970126441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1020.88</v>
      </c>
      <c r="E33" s="2"/>
      <c r="F33" s="6">
        <f t="shared" si="20"/>
        <v>0.1889906048965613</v>
      </c>
      <c r="G33" s="2"/>
      <c r="H33" s="7">
        <v>977.25</v>
      </c>
      <c r="I33" s="2"/>
      <c r="J33" s="6">
        <f t="shared" si="21"/>
        <v>0.16607781057697699</v>
      </c>
      <c r="K33" s="2"/>
      <c r="L33" s="7">
        <f t="shared" si="22"/>
        <v>43.629999999999995</v>
      </c>
      <c r="M33" s="2"/>
      <c r="N33" s="6">
        <f t="shared" si="23"/>
        <v>4.4645689434638008E-2</v>
      </c>
      <c r="O33" s="11"/>
      <c r="P33" s="7">
        <v>1020.88</v>
      </c>
      <c r="Q33" s="2"/>
      <c r="R33" s="6">
        <f t="shared" si="24"/>
        <v>0.1889906048965613</v>
      </c>
      <c r="S33" s="2"/>
      <c r="T33" s="7">
        <v>977.25</v>
      </c>
      <c r="U33" s="2"/>
      <c r="V33" s="6">
        <f t="shared" si="25"/>
        <v>0.16607781057697699</v>
      </c>
      <c r="W33" s="2"/>
      <c r="X33" s="7">
        <f t="shared" si="26"/>
        <v>43.629999999999995</v>
      </c>
      <c r="Y33" s="2"/>
      <c r="Z33" s="6">
        <f t="shared" si="27"/>
        <v>4.4645689434638008E-2</v>
      </c>
    </row>
    <row r="34" spans="1:26" s="28" customFormat="1" outlineLevel="1" collapsed="1" x14ac:dyDescent="0.25">
      <c r="A34" s="27"/>
      <c r="B34" s="14" t="str">
        <f>CONCATENATE("     ","Bad Debts/Over/Short                              ")</f>
        <v xml:space="preserve">     Bad Debts/Over/Short                              </v>
      </c>
      <c r="C34" s="14"/>
      <c r="D34" s="1">
        <f>SUM(OSRRefD22_2x_0)</f>
        <v>4.43</v>
      </c>
      <c r="E34" s="1"/>
      <c r="F34" s="5">
        <f t="shared" ref="F34:F48" si="28">IF(D$12=0,0,D34/D$12)</f>
        <v>8.2010459573286429E-4</v>
      </c>
      <c r="G34" s="1"/>
      <c r="H34" s="1">
        <f>SUM(OSRRefH22_2x_0)</f>
        <v>17.11</v>
      </c>
      <c r="I34" s="1"/>
      <c r="J34" s="5">
        <f t="shared" ref="J34:J48" si="29">IF(H$12=0,0,H34/H$12)</f>
        <v>2.9077424804012032E-3</v>
      </c>
      <c r="K34" s="1"/>
      <c r="L34" s="1">
        <f t="shared" ref="L34:L48" si="30">+D34-H34</f>
        <v>-12.68</v>
      </c>
      <c r="M34" s="1"/>
      <c r="N34" s="5">
        <f t="shared" ref="N34:N48" si="31">IF(H34=0,0,L34/H34)</f>
        <v>-0.7410870835768556</v>
      </c>
      <c r="O34" s="14"/>
      <c r="P34" s="1">
        <f>SUM(OSRRefP22_2x_0)</f>
        <v>4.43</v>
      </c>
      <c r="Q34" s="1"/>
      <c r="R34" s="5">
        <f t="shared" ref="R34:R48" si="32">IF(P$12=0,0,P34/P$12)</f>
        <v>8.2010459573286429E-4</v>
      </c>
      <c r="S34" s="1"/>
      <c r="T34" s="1">
        <f>SUM(OSRRefT22_2x_0)</f>
        <v>17.11</v>
      </c>
      <c r="U34" s="1"/>
      <c r="V34" s="5">
        <f t="shared" ref="V34:V48" si="33">IF(T$12=0,0,T34/T$12)</f>
        <v>2.9077424804012032E-3</v>
      </c>
      <c r="W34" s="1"/>
      <c r="X34" s="1">
        <f t="shared" ref="X34:X48" si="34">+P34-T34</f>
        <v>-12.68</v>
      </c>
      <c r="Y34" s="1"/>
      <c r="Z34" s="5">
        <f t="shared" ref="Z34:Z48" si="35">IF(T34=0,0,X34/T34)</f>
        <v>-0.7410870835768556</v>
      </c>
    </row>
    <row r="35" spans="1:26" s="24" customFormat="1" hidden="1" outlineLevel="2" x14ac:dyDescent="0.25">
      <c r="A35" s="29"/>
      <c r="B35" s="11" t="str">
        <f>CONCATENATE("          ", "6272", " - ", "CASH (OVER/SHORT)")</f>
        <v xml:space="preserve">          6272 - CASH (OVER/SHORT)</v>
      </c>
      <c r="C35" s="11"/>
      <c r="D35" s="7">
        <v>4.43</v>
      </c>
      <c r="E35" s="2"/>
      <c r="F35" s="6">
        <f t="shared" si="28"/>
        <v>8.2010459573286429E-4</v>
      </c>
      <c r="G35" s="2"/>
      <c r="H35" s="7">
        <v>17.11</v>
      </c>
      <c r="I35" s="2"/>
      <c r="J35" s="6">
        <f t="shared" si="29"/>
        <v>2.9077424804012032E-3</v>
      </c>
      <c r="K35" s="2"/>
      <c r="L35" s="7">
        <f t="shared" si="30"/>
        <v>-12.68</v>
      </c>
      <c r="M35" s="2"/>
      <c r="N35" s="6">
        <f t="shared" si="31"/>
        <v>-0.7410870835768556</v>
      </c>
      <c r="O35" s="11"/>
      <c r="P35" s="7">
        <v>4.43</v>
      </c>
      <c r="Q35" s="2"/>
      <c r="R35" s="6">
        <f t="shared" si="32"/>
        <v>8.2010459573286429E-4</v>
      </c>
      <c r="S35" s="2"/>
      <c r="T35" s="7">
        <v>17.11</v>
      </c>
      <c r="U35" s="2"/>
      <c r="V35" s="6">
        <f t="shared" si="33"/>
        <v>2.9077424804012032E-3</v>
      </c>
      <c r="W35" s="2"/>
      <c r="X35" s="7">
        <f t="shared" si="34"/>
        <v>-12.68</v>
      </c>
      <c r="Y35" s="2"/>
      <c r="Z35" s="6">
        <f t="shared" si="35"/>
        <v>-0.7410870835768556</v>
      </c>
    </row>
    <row r="36" spans="1:26" s="28" customFormat="1" outlineLevel="1" collapsed="1" x14ac:dyDescent="0.25">
      <c r="A36" s="27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133.76</v>
      </c>
      <c r="E36" s="1"/>
      <c r="F36" s="5">
        <f t="shared" si="28"/>
        <v>2.4762345536168833E-2</v>
      </c>
      <c r="G36" s="1"/>
      <c r="H36" s="1">
        <f>SUM(OSRRefH22_3x_0)</f>
        <v>123.58</v>
      </c>
      <c r="I36" s="1"/>
      <c r="J36" s="5">
        <f t="shared" si="29"/>
        <v>2.1001684145410912E-2</v>
      </c>
      <c r="K36" s="1"/>
      <c r="L36" s="1">
        <f t="shared" si="30"/>
        <v>10.179999999999993</v>
      </c>
      <c r="M36" s="1"/>
      <c r="N36" s="5">
        <f t="shared" si="31"/>
        <v>8.2375788962615257E-2</v>
      </c>
      <c r="O36" s="14"/>
      <c r="P36" s="1">
        <f>SUM(OSRRefP22_3x_0)</f>
        <v>133.76</v>
      </c>
      <c r="Q36" s="1"/>
      <c r="R36" s="5">
        <f t="shared" si="32"/>
        <v>2.4762345536168833E-2</v>
      </c>
      <c r="S36" s="1"/>
      <c r="T36" s="1">
        <f>SUM(OSRRefT22_3x_0)</f>
        <v>123.58</v>
      </c>
      <c r="U36" s="1"/>
      <c r="V36" s="5">
        <f t="shared" si="33"/>
        <v>2.1001684145410912E-2</v>
      </c>
      <c r="W36" s="1"/>
      <c r="X36" s="1">
        <f t="shared" si="34"/>
        <v>10.179999999999993</v>
      </c>
      <c r="Y36" s="1"/>
      <c r="Z36" s="5">
        <f t="shared" si="35"/>
        <v>8.2375788962615257E-2</v>
      </c>
    </row>
    <row r="37" spans="1:26" s="24" customFormat="1" hidden="1" outlineLevel="2" x14ac:dyDescent="0.25">
      <c r="A37" s="29"/>
      <c r="B37" s="11" t="str">
        <f>CONCATENATE("          ", "6381", " - ", "BANK/CREDIT CARD FEES")</f>
        <v xml:space="preserve">          6381 - BANK/CREDIT CARD FEES</v>
      </c>
      <c r="C37" s="11"/>
      <c r="D37" s="7">
        <v>133.76</v>
      </c>
      <c r="E37" s="2"/>
      <c r="F37" s="6">
        <f t="shared" si="28"/>
        <v>2.4762345536168833E-2</v>
      </c>
      <c r="G37" s="2"/>
      <c r="H37" s="7">
        <v>123.58</v>
      </c>
      <c r="I37" s="2"/>
      <c r="J37" s="6">
        <f t="shared" si="29"/>
        <v>2.1001684145410912E-2</v>
      </c>
      <c r="K37" s="2"/>
      <c r="L37" s="7">
        <f t="shared" si="30"/>
        <v>10.179999999999993</v>
      </c>
      <c r="M37" s="2"/>
      <c r="N37" s="6">
        <f t="shared" si="31"/>
        <v>8.2375788962615257E-2</v>
      </c>
      <c r="O37" s="11"/>
      <c r="P37" s="7">
        <v>133.76</v>
      </c>
      <c r="Q37" s="2"/>
      <c r="R37" s="6">
        <f t="shared" si="32"/>
        <v>2.4762345536168833E-2</v>
      </c>
      <c r="S37" s="2"/>
      <c r="T37" s="7">
        <v>123.58</v>
      </c>
      <c r="U37" s="2"/>
      <c r="V37" s="6">
        <f t="shared" si="33"/>
        <v>2.1001684145410912E-2</v>
      </c>
      <c r="W37" s="2"/>
      <c r="X37" s="7">
        <f t="shared" si="34"/>
        <v>10.179999999999993</v>
      </c>
      <c r="Y37" s="2"/>
      <c r="Z37" s="6">
        <f t="shared" si="35"/>
        <v>8.2375788962615257E-2</v>
      </c>
    </row>
    <row r="38" spans="1:26" s="28" customFormat="1" outlineLevel="1" collapsed="1" x14ac:dyDescent="0.25">
      <c r="A38" s="27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968.86</v>
      </c>
      <c r="E38" s="1"/>
      <c r="F38" s="5">
        <f t="shared" si="28"/>
        <v>0.17936039246540472</v>
      </c>
      <c r="G38" s="1"/>
      <c r="H38" s="1">
        <f>SUM(OSRRefH22_4x_0)</f>
        <v>968.86</v>
      </c>
      <c r="I38" s="1"/>
      <c r="J38" s="5">
        <f t="shared" si="29"/>
        <v>0.16465198010295207</v>
      </c>
      <c r="K38" s="1"/>
      <c r="L38" s="1">
        <f t="shared" si="30"/>
        <v>0</v>
      </c>
      <c r="M38" s="1"/>
      <c r="N38" s="5">
        <f t="shared" si="31"/>
        <v>0</v>
      </c>
      <c r="O38" s="14"/>
      <c r="P38" s="1">
        <f>SUM(OSRRefP22_4x_0)</f>
        <v>968.86</v>
      </c>
      <c r="Q38" s="1"/>
      <c r="R38" s="5">
        <f t="shared" si="32"/>
        <v>0.17936039246540472</v>
      </c>
      <c r="S38" s="1"/>
      <c r="T38" s="1">
        <f>SUM(OSRRefT22_4x_0)</f>
        <v>968.86</v>
      </c>
      <c r="U38" s="1"/>
      <c r="V38" s="5">
        <f t="shared" si="33"/>
        <v>0.16465198010295207</v>
      </c>
      <c r="W38" s="1"/>
      <c r="X38" s="1">
        <f t="shared" si="34"/>
        <v>0</v>
      </c>
      <c r="Y38" s="1"/>
      <c r="Z38" s="5">
        <f t="shared" si="35"/>
        <v>0</v>
      </c>
    </row>
    <row r="39" spans="1:26" s="24" customFormat="1" hidden="1" outlineLevel="2" x14ac:dyDescent="0.25">
      <c r="A39" s="29"/>
      <c r="B39" s="11" t="str">
        <f>CONCATENATE("          ", "6322", " - ", "EQUIPMENT DEPRECIATION EXPENSE")</f>
        <v xml:space="preserve">          6322 - EQUIPMENT DEPRECIATION EXPENSE</v>
      </c>
      <c r="C39" s="11"/>
      <c r="D39" s="7">
        <v>968.86</v>
      </c>
      <c r="E39" s="2"/>
      <c r="F39" s="6">
        <f t="shared" si="28"/>
        <v>0.17936039246540472</v>
      </c>
      <c r="G39" s="2"/>
      <c r="H39" s="7">
        <v>968.86</v>
      </c>
      <c r="I39" s="2"/>
      <c r="J39" s="6">
        <f t="shared" si="29"/>
        <v>0.16465198010295207</v>
      </c>
      <c r="K39" s="2"/>
      <c r="L39" s="7">
        <f t="shared" si="30"/>
        <v>0</v>
      </c>
      <c r="M39" s="2"/>
      <c r="N39" s="6">
        <f t="shared" si="31"/>
        <v>0</v>
      </c>
      <c r="O39" s="11"/>
      <c r="P39" s="7">
        <v>968.86</v>
      </c>
      <c r="Q39" s="2"/>
      <c r="R39" s="6">
        <f t="shared" si="32"/>
        <v>0.17936039246540472</v>
      </c>
      <c r="S39" s="2"/>
      <c r="T39" s="7">
        <v>968.86</v>
      </c>
      <c r="U39" s="2"/>
      <c r="V39" s="6">
        <f t="shared" si="33"/>
        <v>0.16465198010295207</v>
      </c>
      <c r="W39" s="2"/>
      <c r="X39" s="7">
        <f t="shared" si="34"/>
        <v>0</v>
      </c>
      <c r="Y39" s="2"/>
      <c r="Z39" s="6">
        <f t="shared" si="3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SUM(OSRRefD22_5x_0)</f>
        <v>734.05</v>
      </c>
      <c r="E40" s="1"/>
      <c r="F40" s="5">
        <f t="shared" si="28"/>
        <v>0.13589114638774472</v>
      </c>
      <c r="G40" s="1"/>
      <c r="H40" s="1">
        <f>SUM(OSRRefH22_5x_0)</f>
        <v>704.2</v>
      </c>
      <c r="I40" s="1"/>
      <c r="J40" s="5">
        <f t="shared" si="29"/>
        <v>0.11967459115713194</v>
      </c>
      <c r="K40" s="1"/>
      <c r="L40" s="1">
        <f t="shared" si="30"/>
        <v>29.849999999999909</v>
      </c>
      <c r="M40" s="1"/>
      <c r="N40" s="5">
        <f t="shared" si="31"/>
        <v>4.2388525986935398E-2</v>
      </c>
      <c r="O40" s="14"/>
      <c r="P40" s="1">
        <f>SUM(OSRRefP22_5x_0)</f>
        <v>734.05</v>
      </c>
      <c r="Q40" s="1"/>
      <c r="R40" s="5">
        <f t="shared" si="32"/>
        <v>0.13589114638774472</v>
      </c>
      <c r="S40" s="1"/>
      <c r="T40" s="1">
        <f>SUM(OSRRefT22_5x_0)</f>
        <v>704.2</v>
      </c>
      <c r="U40" s="1"/>
      <c r="V40" s="5">
        <f t="shared" si="33"/>
        <v>0.11967459115713194</v>
      </c>
      <c r="W40" s="1"/>
      <c r="X40" s="1">
        <f t="shared" si="34"/>
        <v>29.849999999999909</v>
      </c>
      <c r="Y40" s="1"/>
      <c r="Z40" s="5">
        <f t="shared" si="35"/>
        <v>4.2388525986935398E-2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>
        <v>734.05</v>
      </c>
      <c r="E41" s="2"/>
      <c r="F41" s="6">
        <f t="shared" si="28"/>
        <v>0.13589114638774472</v>
      </c>
      <c r="G41" s="2"/>
      <c r="H41" s="7">
        <v>704.2</v>
      </c>
      <c r="I41" s="2"/>
      <c r="J41" s="6">
        <f t="shared" si="29"/>
        <v>0.11967459115713194</v>
      </c>
      <c r="K41" s="2"/>
      <c r="L41" s="7">
        <f t="shared" si="30"/>
        <v>29.849999999999909</v>
      </c>
      <c r="M41" s="2"/>
      <c r="N41" s="6">
        <f t="shared" si="31"/>
        <v>4.2388525986935398E-2</v>
      </c>
      <c r="O41" s="11"/>
      <c r="P41" s="7">
        <v>734.05</v>
      </c>
      <c r="Q41" s="2"/>
      <c r="R41" s="6">
        <f t="shared" si="32"/>
        <v>0.13589114638774472</v>
      </c>
      <c r="S41" s="2"/>
      <c r="T41" s="7">
        <v>704.2</v>
      </c>
      <c r="U41" s="2"/>
      <c r="V41" s="6">
        <f t="shared" si="33"/>
        <v>0.11967459115713194</v>
      </c>
      <c r="W41" s="2"/>
      <c r="X41" s="7">
        <f t="shared" si="34"/>
        <v>29.849999999999909</v>
      </c>
      <c r="Y41" s="2"/>
      <c r="Z41" s="6">
        <f t="shared" si="35"/>
        <v>4.2388525986935398E-2</v>
      </c>
    </row>
    <row r="42" spans="1:26" s="28" customFormat="1" outlineLevel="1" collapsed="1" x14ac:dyDescent="0.2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SUM(OSRRefD22_6x_0)</f>
        <v>36.42</v>
      </c>
      <c r="E42" s="1"/>
      <c r="F42" s="5">
        <f t="shared" si="28"/>
        <v>6.7422594529550611E-3</v>
      </c>
      <c r="G42" s="1"/>
      <c r="H42" s="1">
        <f>SUM(OSRRefH22_6x_0)</f>
        <v>0</v>
      </c>
      <c r="I42" s="1"/>
      <c r="J42" s="5">
        <f t="shared" si="29"/>
        <v>0</v>
      </c>
      <c r="K42" s="1"/>
      <c r="L42" s="1">
        <f t="shared" si="30"/>
        <v>36.42</v>
      </c>
      <c r="M42" s="1"/>
      <c r="N42" s="5">
        <f t="shared" si="31"/>
        <v>0</v>
      </c>
      <c r="O42" s="14"/>
      <c r="P42" s="1">
        <f>SUM(OSRRefP22_6x_0)</f>
        <v>36.42</v>
      </c>
      <c r="Q42" s="1"/>
      <c r="R42" s="5">
        <f t="shared" si="32"/>
        <v>6.7422594529550611E-3</v>
      </c>
      <c r="S42" s="1"/>
      <c r="T42" s="1">
        <f>SUM(OSRRefT22_6x_0)</f>
        <v>0</v>
      </c>
      <c r="U42" s="1"/>
      <c r="V42" s="5">
        <f t="shared" si="33"/>
        <v>0</v>
      </c>
      <c r="W42" s="1"/>
      <c r="X42" s="1">
        <f t="shared" si="34"/>
        <v>36.42</v>
      </c>
      <c r="Y42" s="1"/>
      <c r="Z42" s="5">
        <f t="shared" si="35"/>
        <v>0</v>
      </c>
    </row>
    <row r="43" spans="1:26" s="24" customFormat="1" hidden="1" outlineLevel="2" x14ac:dyDescent="0.25">
      <c r="A43" s="29"/>
      <c r="B43" s="11" t="str">
        <f>CONCATENATE("          ", "6375", " - ", "OUTSIDE REPAIRS &amp; MAINTENANCE")</f>
        <v xml:space="preserve">          6375 - OUTSIDE REPAIRS &amp; MAINTENANCE</v>
      </c>
      <c r="C43" s="11"/>
      <c r="D43" s="7">
        <v>36.42</v>
      </c>
      <c r="E43" s="2"/>
      <c r="F43" s="6">
        <f t="shared" si="28"/>
        <v>6.7422594529550611E-3</v>
      </c>
      <c r="G43" s="2"/>
      <c r="H43" s="7"/>
      <c r="I43" s="2"/>
      <c r="J43" s="6">
        <f t="shared" si="29"/>
        <v>0</v>
      </c>
      <c r="K43" s="2"/>
      <c r="L43" s="7">
        <f t="shared" si="30"/>
        <v>36.42</v>
      </c>
      <c r="M43" s="2"/>
      <c r="N43" s="6">
        <f t="shared" si="31"/>
        <v>0</v>
      </c>
      <c r="O43" s="11"/>
      <c r="P43" s="7">
        <v>36.42</v>
      </c>
      <c r="Q43" s="2"/>
      <c r="R43" s="6">
        <f t="shared" si="32"/>
        <v>6.7422594529550611E-3</v>
      </c>
      <c r="S43" s="2"/>
      <c r="T43" s="7"/>
      <c r="U43" s="2"/>
      <c r="V43" s="6">
        <f t="shared" si="33"/>
        <v>0</v>
      </c>
      <c r="W43" s="2"/>
      <c r="X43" s="7">
        <f t="shared" si="34"/>
        <v>36.42</v>
      </c>
      <c r="Y43" s="2"/>
      <c r="Z43" s="6">
        <f t="shared" si="35"/>
        <v>0</v>
      </c>
    </row>
    <row r="44" spans="1:26" s="28" customFormat="1" outlineLevel="1" collapsed="1" x14ac:dyDescent="0.25">
      <c r="A44" s="27"/>
      <c r="B44" s="14" t="str">
        <f>CONCATENATE("     ","Royalty &amp; Commissions                             ")</f>
        <v xml:space="preserve">     Royalty &amp; Commissions                             </v>
      </c>
      <c r="C44" s="14"/>
      <c r="D44" s="1">
        <f>SUM(OSRRefD22_7x_0)</f>
        <v>0</v>
      </c>
      <c r="E44" s="1"/>
      <c r="F44" s="5">
        <f t="shared" si="28"/>
        <v>0</v>
      </c>
      <c r="G44" s="1"/>
      <c r="H44" s="1">
        <f>SUM(OSRRefH22_7x_0)</f>
        <v>441.3</v>
      </c>
      <c r="I44" s="1"/>
      <c r="J44" s="5">
        <f t="shared" si="29"/>
        <v>7.4996303717185922E-2</v>
      </c>
      <c r="K44" s="1"/>
      <c r="L44" s="1">
        <f t="shared" si="30"/>
        <v>-441.3</v>
      </c>
      <c r="M44" s="1"/>
      <c r="N44" s="5">
        <f t="shared" si="31"/>
        <v>-1</v>
      </c>
      <c r="O44" s="14"/>
      <c r="P44" s="1">
        <f>SUM(OSRRefP22_7x_0)</f>
        <v>0</v>
      </c>
      <c r="Q44" s="1"/>
      <c r="R44" s="5">
        <f t="shared" si="32"/>
        <v>0</v>
      </c>
      <c r="S44" s="1"/>
      <c r="T44" s="1">
        <f>SUM(OSRRefT22_7x_0)</f>
        <v>441.3</v>
      </c>
      <c r="U44" s="1"/>
      <c r="V44" s="5">
        <f t="shared" si="33"/>
        <v>7.4996303717185922E-2</v>
      </c>
      <c r="W44" s="1"/>
      <c r="X44" s="1">
        <f t="shared" si="34"/>
        <v>-441.3</v>
      </c>
      <c r="Y44" s="1"/>
      <c r="Z44" s="5">
        <f t="shared" si="35"/>
        <v>-1</v>
      </c>
    </row>
    <row r="45" spans="1:26" s="24" customFormat="1" hidden="1" outlineLevel="2" x14ac:dyDescent="0.25">
      <c r="A45" s="29"/>
      <c r="B45" s="11" t="str">
        <f>CONCATENATE("          ", "6254", " - ", "ROYALTY &amp; COMMISSIONS")</f>
        <v xml:space="preserve">          6254 - ROYALTY &amp; COMMISSIONS</v>
      </c>
      <c r="C45" s="11"/>
      <c r="D45" s="7"/>
      <c r="E45" s="2"/>
      <c r="F45" s="6">
        <f t="shared" si="28"/>
        <v>0</v>
      </c>
      <c r="G45" s="2"/>
      <c r="H45" s="7">
        <v>441.3</v>
      </c>
      <c r="I45" s="2"/>
      <c r="J45" s="6">
        <f t="shared" si="29"/>
        <v>7.4996303717185922E-2</v>
      </c>
      <c r="K45" s="2"/>
      <c r="L45" s="7">
        <f t="shared" si="30"/>
        <v>-441.3</v>
      </c>
      <c r="M45" s="2"/>
      <c r="N45" s="6">
        <f t="shared" si="31"/>
        <v>-1</v>
      </c>
      <c r="O45" s="11"/>
      <c r="P45" s="7"/>
      <c r="Q45" s="2"/>
      <c r="R45" s="6">
        <f t="shared" si="32"/>
        <v>0</v>
      </c>
      <c r="S45" s="2"/>
      <c r="T45" s="7">
        <v>441.3</v>
      </c>
      <c r="U45" s="2"/>
      <c r="V45" s="6">
        <f t="shared" si="33"/>
        <v>7.4996303717185922E-2</v>
      </c>
      <c r="W45" s="2"/>
      <c r="X45" s="7">
        <f t="shared" si="34"/>
        <v>-441.3</v>
      </c>
      <c r="Y45" s="2"/>
      <c r="Z45" s="6">
        <f t="shared" si="35"/>
        <v>-1</v>
      </c>
    </row>
    <row r="46" spans="1:26" s="28" customFormat="1" outlineLevel="1" collapsed="1" x14ac:dyDescent="0.25">
      <c r="A46" s="27"/>
      <c r="B46" s="14" t="str">
        <f>CONCATENATE("     ","Services                                          ")</f>
        <v xml:space="preserve">     Services                                          </v>
      </c>
      <c r="C46" s="14"/>
      <c r="D46" s="1">
        <f>SUM(OSRRefD22_8x_0)</f>
        <v>117</v>
      </c>
      <c r="E46" s="1"/>
      <c r="F46" s="5">
        <f t="shared" si="28"/>
        <v>2.1659647336511316E-2</v>
      </c>
      <c r="G46" s="1"/>
      <c r="H46" s="1">
        <f>SUM(OSRRefH22_8x_0)</f>
        <v>65.31</v>
      </c>
      <c r="I46" s="1"/>
      <c r="J46" s="5">
        <f t="shared" si="29"/>
        <v>1.1099045084453689E-2</v>
      </c>
      <c r="K46" s="1"/>
      <c r="L46" s="1">
        <f t="shared" si="30"/>
        <v>51.69</v>
      </c>
      <c r="M46" s="1"/>
      <c r="N46" s="5">
        <f t="shared" si="31"/>
        <v>0.79145613229214506</v>
      </c>
      <c r="O46" s="14"/>
      <c r="P46" s="1">
        <f>SUM(OSRRefP22_8x_0)</f>
        <v>117</v>
      </c>
      <c r="Q46" s="1"/>
      <c r="R46" s="5">
        <f t="shared" si="32"/>
        <v>2.1659647336511316E-2</v>
      </c>
      <c r="S46" s="1"/>
      <c r="T46" s="1">
        <f>SUM(OSRRefT22_8x_0)</f>
        <v>65.31</v>
      </c>
      <c r="U46" s="1"/>
      <c r="V46" s="5">
        <f t="shared" si="33"/>
        <v>1.1099045084453689E-2</v>
      </c>
      <c r="W46" s="1"/>
      <c r="X46" s="1">
        <f t="shared" si="34"/>
        <v>51.69</v>
      </c>
      <c r="Y46" s="1"/>
      <c r="Z46" s="5">
        <f t="shared" si="35"/>
        <v>0.79145613229214506</v>
      </c>
    </row>
    <row r="47" spans="1:26" s="24" customFormat="1" hidden="1" outlineLevel="2" x14ac:dyDescent="0.25">
      <c r="A47" s="29"/>
      <c r="B47" s="11" t="str">
        <f>CONCATENATE("          ", "6285", " - ", "JANITORIAL SERVICES")</f>
        <v xml:space="preserve">          6285 - JANITORIAL SERVICES</v>
      </c>
      <c r="C47" s="11"/>
      <c r="D47" s="7">
        <v>22.62</v>
      </c>
      <c r="E47" s="2"/>
      <c r="F47" s="6">
        <f t="shared" si="28"/>
        <v>4.1875318183921878E-3</v>
      </c>
      <c r="G47" s="2"/>
      <c r="H47" s="7">
        <v>21</v>
      </c>
      <c r="I47" s="2"/>
      <c r="J47" s="6">
        <f t="shared" si="29"/>
        <v>3.5688247859979702E-3</v>
      </c>
      <c r="K47" s="2"/>
      <c r="L47" s="7">
        <f t="shared" si="30"/>
        <v>1.620000000000001</v>
      </c>
      <c r="M47" s="2"/>
      <c r="N47" s="6">
        <f t="shared" si="31"/>
        <v>7.7142857142857194E-2</v>
      </c>
      <c r="O47" s="11"/>
      <c r="P47" s="7">
        <v>22.62</v>
      </c>
      <c r="Q47" s="2"/>
      <c r="R47" s="6">
        <f t="shared" si="32"/>
        <v>4.1875318183921878E-3</v>
      </c>
      <c r="S47" s="2"/>
      <c r="T47" s="7">
        <v>21</v>
      </c>
      <c r="U47" s="2"/>
      <c r="V47" s="6">
        <f t="shared" si="33"/>
        <v>3.5688247859979702E-3</v>
      </c>
      <c r="W47" s="2"/>
      <c r="X47" s="7">
        <f t="shared" si="34"/>
        <v>1.620000000000001</v>
      </c>
      <c r="Y47" s="2"/>
      <c r="Z47" s="6">
        <f t="shared" si="35"/>
        <v>7.7142857142857194E-2</v>
      </c>
    </row>
    <row r="48" spans="1:26" s="24" customFormat="1" hidden="1" outlineLevel="2" x14ac:dyDescent="0.25">
      <c r="A48" s="29"/>
      <c r="B48" s="11" t="str">
        <f>CONCATENATE("          ", "6286", " - ", "LAUNDRY EXPENSE")</f>
        <v xml:space="preserve">          6286 - LAUNDRY EXPENSE</v>
      </c>
      <c r="C48" s="11"/>
      <c r="D48" s="7">
        <v>94.38</v>
      </c>
      <c r="E48" s="2"/>
      <c r="F48" s="6">
        <f t="shared" si="28"/>
        <v>1.7472115518119127E-2</v>
      </c>
      <c r="G48" s="2"/>
      <c r="H48" s="7">
        <v>44.31</v>
      </c>
      <c r="I48" s="2"/>
      <c r="J48" s="6">
        <f t="shared" si="29"/>
        <v>7.5302202984557174E-3</v>
      </c>
      <c r="K48" s="2"/>
      <c r="L48" s="7">
        <f t="shared" si="30"/>
        <v>50.069999999999993</v>
      </c>
      <c r="M48" s="2"/>
      <c r="N48" s="6">
        <f t="shared" si="31"/>
        <v>1.1299932295192956</v>
      </c>
      <c r="O48" s="11"/>
      <c r="P48" s="7">
        <v>94.38</v>
      </c>
      <c r="Q48" s="2"/>
      <c r="R48" s="6">
        <f t="shared" si="32"/>
        <v>1.7472115518119127E-2</v>
      </c>
      <c r="S48" s="2"/>
      <c r="T48" s="7">
        <v>44.31</v>
      </c>
      <c r="U48" s="2"/>
      <c r="V48" s="6">
        <f t="shared" si="33"/>
        <v>7.5302202984557174E-3</v>
      </c>
      <c r="W48" s="2"/>
      <c r="X48" s="7">
        <f t="shared" si="34"/>
        <v>50.069999999999993</v>
      </c>
      <c r="Y48" s="2"/>
      <c r="Z48" s="6">
        <f t="shared" si="35"/>
        <v>1.1299932295192956</v>
      </c>
    </row>
    <row r="49" spans="1:26" s="28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SUM(OSRRefD22_9x_0)</f>
        <v>1116.53</v>
      </c>
      <c r="E49" s="1"/>
      <c r="F49" s="5">
        <f t="shared" ref="F49:F52" si="36">IF(D$12=0,0,D49/D$12)</f>
        <v>0.20669782940713657</v>
      </c>
      <c r="G49" s="1"/>
      <c r="H49" s="1">
        <f>SUM(OSRRefH22_9x_0)</f>
        <v>35.85</v>
      </c>
      <c r="I49" s="1"/>
      <c r="J49" s="5">
        <f t="shared" ref="J49:J52" si="37">IF(H$12=0,0,H49/H$12)</f>
        <v>6.0924937418108211E-3</v>
      </c>
      <c r="K49" s="1"/>
      <c r="L49" s="1">
        <f t="shared" ref="L49:L52" si="38">+D49-H49</f>
        <v>1080.68</v>
      </c>
      <c r="M49" s="1"/>
      <c r="N49" s="5">
        <f t="shared" ref="N49:N52" si="39">IF(H49=0,0,L49/H49)</f>
        <v>30.144490934449095</v>
      </c>
      <c r="O49" s="14"/>
      <c r="P49" s="1">
        <f>SUM(OSRRefP22_9x_0)</f>
        <v>1116.53</v>
      </c>
      <c r="Q49" s="1"/>
      <c r="R49" s="5">
        <f t="shared" ref="R49:R52" si="40">IF(P$12=0,0,P49/P$12)</f>
        <v>0.20669782940713657</v>
      </c>
      <c r="S49" s="1"/>
      <c r="T49" s="1">
        <f>SUM(OSRRefT22_9x_0)</f>
        <v>35.85</v>
      </c>
      <c r="U49" s="1"/>
      <c r="V49" s="5">
        <f t="shared" ref="V49:V52" si="41">IF(T$12=0,0,T49/T$12)</f>
        <v>6.0924937418108211E-3</v>
      </c>
      <c r="W49" s="1"/>
      <c r="X49" s="1">
        <f t="shared" ref="X49:X52" si="42">+P49-T49</f>
        <v>1080.68</v>
      </c>
      <c r="Y49" s="1"/>
      <c r="Z49" s="5">
        <f t="shared" ref="Z49:Z52" si="43">IF(T49=0,0,X49/T49)</f>
        <v>30.144490934449095</v>
      </c>
    </row>
    <row r="50" spans="1:26" s="24" customFormat="1" hidden="1" outlineLevel="2" x14ac:dyDescent="0.25">
      <c r="A50" s="29"/>
      <c r="B50" s="11" t="str">
        <f>CONCATENATE("          ", "6237", " - ", "JANITORIAL SUPPLIES")</f>
        <v xml:space="preserve">          6237 - JANITORIAL SUPPLIES</v>
      </c>
      <c r="C50" s="11"/>
      <c r="D50" s="7">
        <v>20.93</v>
      </c>
      <c r="E50" s="2"/>
      <c r="F50" s="6">
        <f t="shared" si="36"/>
        <v>3.874670245753691E-3</v>
      </c>
      <c r="G50" s="2"/>
      <c r="H50" s="7"/>
      <c r="I50" s="2"/>
      <c r="J50" s="6">
        <f t="shared" si="37"/>
        <v>0</v>
      </c>
      <c r="K50" s="2"/>
      <c r="L50" s="7">
        <f t="shared" si="38"/>
        <v>20.93</v>
      </c>
      <c r="M50" s="2"/>
      <c r="N50" s="6">
        <f t="shared" si="39"/>
        <v>0</v>
      </c>
      <c r="O50" s="11"/>
      <c r="P50" s="7">
        <v>20.93</v>
      </c>
      <c r="Q50" s="2"/>
      <c r="R50" s="6">
        <f t="shared" si="40"/>
        <v>3.874670245753691E-3</v>
      </c>
      <c r="S50" s="2"/>
      <c r="T50" s="7"/>
      <c r="U50" s="2"/>
      <c r="V50" s="6">
        <f t="shared" si="41"/>
        <v>0</v>
      </c>
      <c r="W50" s="2"/>
      <c r="X50" s="7">
        <f t="shared" si="42"/>
        <v>20.93</v>
      </c>
      <c r="Y50" s="2"/>
      <c r="Z50" s="6">
        <f t="shared" si="43"/>
        <v>0</v>
      </c>
    </row>
    <row r="51" spans="1:26" s="24" customFormat="1" hidden="1" outlineLevel="2" x14ac:dyDescent="0.25">
      <c r="A51" s="29"/>
      <c r="B51" s="11" t="str">
        <f>CONCATENATE("          ", "6243", " - ", "PAPER SUPPLIES")</f>
        <v xml:space="preserve">          6243 - PAPER SUPPLIES</v>
      </c>
      <c r="C51" s="11"/>
      <c r="D51" s="7"/>
      <c r="E51" s="2"/>
      <c r="F51" s="6">
        <f t="shared" si="36"/>
        <v>0</v>
      </c>
      <c r="G51" s="2"/>
      <c r="H51" s="7">
        <v>45.85</v>
      </c>
      <c r="I51" s="2"/>
      <c r="J51" s="6">
        <f t="shared" si="37"/>
        <v>7.7919341160955684E-3</v>
      </c>
      <c r="K51" s="2"/>
      <c r="L51" s="7">
        <f t="shared" si="38"/>
        <v>-45.85</v>
      </c>
      <c r="M51" s="2"/>
      <c r="N51" s="6">
        <f t="shared" si="39"/>
        <v>-1</v>
      </c>
      <c r="O51" s="11"/>
      <c r="P51" s="7"/>
      <c r="Q51" s="2"/>
      <c r="R51" s="6">
        <f t="shared" si="40"/>
        <v>0</v>
      </c>
      <c r="S51" s="2"/>
      <c r="T51" s="7">
        <v>45.85</v>
      </c>
      <c r="U51" s="2"/>
      <c r="V51" s="6">
        <f t="shared" si="41"/>
        <v>7.7919341160955684E-3</v>
      </c>
      <c r="W51" s="2"/>
      <c r="X51" s="7">
        <f t="shared" si="42"/>
        <v>-45.85</v>
      </c>
      <c r="Y51" s="2"/>
      <c r="Z51" s="6">
        <f t="shared" si="43"/>
        <v>-1</v>
      </c>
    </row>
    <row r="52" spans="1:26" s="24" customFormat="1" hidden="1" outlineLevel="2" x14ac:dyDescent="0.25">
      <c r="A52" s="29"/>
      <c r="B52" s="11" t="str">
        <f>CONCATENATE("          ", "6247", " - ", "STORE SUPPLIES")</f>
        <v xml:space="preserve">          6247 - STORE SUPPLIES</v>
      </c>
      <c r="C52" s="11"/>
      <c r="D52" s="7">
        <v>1095.5999999999999</v>
      </c>
      <c r="E52" s="2"/>
      <c r="F52" s="6">
        <f t="shared" si="36"/>
        <v>0.20282315916138288</v>
      </c>
      <c r="G52" s="2"/>
      <c r="H52" s="7">
        <v>-10</v>
      </c>
      <c r="I52" s="2"/>
      <c r="J52" s="6">
        <f t="shared" si="37"/>
        <v>-1.6994403742847477E-3</v>
      </c>
      <c r="K52" s="2"/>
      <c r="L52" s="7">
        <f t="shared" si="38"/>
        <v>1105.5999999999999</v>
      </c>
      <c r="M52" s="2"/>
      <c r="N52" s="6">
        <f t="shared" si="39"/>
        <v>-110.55999999999999</v>
      </c>
      <c r="O52" s="11"/>
      <c r="P52" s="7">
        <v>1095.5999999999999</v>
      </c>
      <c r="Q52" s="2"/>
      <c r="R52" s="6">
        <f t="shared" si="40"/>
        <v>0.20282315916138288</v>
      </c>
      <c r="S52" s="2"/>
      <c r="T52" s="7">
        <v>-10</v>
      </c>
      <c r="U52" s="2"/>
      <c r="V52" s="6">
        <f t="shared" si="41"/>
        <v>-1.6994403742847477E-3</v>
      </c>
      <c r="W52" s="2"/>
      <c r="X52" s="7">
        <f t="shared" si="42"/>
        <v>1105.5999999999999</v>
      </c>
      <c r="Y52" s="2"/>
      <c r="Z52" s="6">
        <f t="shared" si="43"/>
        <v>-110.55999999999999</v>
      </c>
    </row>
    <row r="53" spans="1:26" s="28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SUM(OSRRefD22_10x_0)</f>
        <v>45</v>
      </c>
      <c r="E53" s="1"/>
      <c r="F53" s="5">
        <f t="shared" ref="F53:F56" si="44">IF(D$12=0,0,D53/D$12)</f>
        <v>8.3306335909658913E-3</v>
      </c>
      <c r="G53" s="1"/>
      <c r="H53" s="1">
        <f>SUM(OSRRefH22_10x_0)</f>
        <v>45</v>
      </c>
      <c r="I53" s="1"/>
      <c r="J53" s="5">
        <f t="shared" ref="J53:J56" si="45">IF(H$12=0,0,H53/H$12)</f>
        <v>7.6474816842813653E-3</v>
      </c>
      <c r="K53" s="1"/>
      <c r="L53" s="1">
        <f t="shared" ref="L53:L56" si="46">+D53-H53</f>
        <v>0</v>
      </c>
      <c r="M53" s="1"/>
      <c r="N53" s="5">
        <f t="shared" ref="N53:N56" si="47">IF(H53=0,0,L53/H53)</f>
        <v>0</v>
      </c>
      <c r="O53" s="14"/>
      <c r="P53" s="1">
        <f>SUM(OSRRefP22_10x_0)</f>
        <v>45</v>
      </c>
      <c r="Q53" s="1"/>
      <c r="R53" s="5">
        <f t="shared" ref="R53:R56" si="48">IF(P$12=0,0,P53/P$12)</f>
        <v>8.3306335909658913E-3</v>
      </c>
      <c r="S53" s="1"/>
      <c r="T53" s="1">
        <f>SUM(OSRRefT22_10x_0)</f>
        <v>45</v>
      </c>
      <c r="U53" s="1"/>
      <c r="V53" s="5">
        <f t="shared" ref="V53:V56" si="49">IF(T$12=0,0,T53/T$12)</f>
        <v>7.6474816842813653E-3</v>
      </c>
      <c r="W53" s="1"/>
      <c r="X53" s="1">
        <f t="shared" ref="X53:X56" si="50">+P53-T53</f>
        <v>0</v>
      </c>
      <c r="Y53" s="1"/>
      <c r="Z53" s="5">
        <f t="shared" ref="Z53:Z56" si="51">IF(T53=0,0,X53/T53)</f>
        <v>0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45</v>
      </c>
      <c r="E54" s="2"/>
      <c r="F54" s="6">
        <f t="shared" si="44"/>
        <v>8.3306335909658913E-3</v>
      </c>
      <c r="G54" s="2"/>
      <c r="H54" s="7">
        <v>45</v>
      </c>
      <c r="I54" s="2"/>
      <c r="J54" s="6">
        <f t="shared" si="45"/>
        <v>7.6474816842813653E-3</v>
      </c>
      <c r="K54" s="2"/>
      <c r="L54" s="7">
        <f t="shared" si="46"/>
        <v>0</v>
      </c>
      <c r="M54" s="2"/>
      <c r="N54" s="6">
        <f t="shared" si="47"/>
        <v>0</v>
      </c>
      <c r="O54" s="11"/>
      <c r="P54" s="7">
        <v>45</v>
      </c>
      <c r="Q54" s="2"/>
      <c r="R54" s="6">
        <f t="shared" si="48"/>
        <v>8.3306335909658913E-3</v>
      </c>
      <c r="S54" s="2"/>
      <c r="T54" s="7">
        <v>45</v>
      </c>
      <c r="U54" s="2"/>
      <c r="V54" s="6">
        <f t="shared" si="49"/>
        <v>7.6474816842813653E-3</v>
      </c>
      <c r="W54" s="2"/>
      <c r="X54" s="7">
        <f t="shared" si="50"/>
        <v>0</v>
      </c>
      <c r="Y54" s="2"/>
      <c r="Z54" s="6">
        <f t="shared" si="51"/>
        <v>0</v>
      </c>
    </row>
    <row r="55" spans="1:26" s="28" customFormat="1" outlineLevel="1" collapsed="1" x14ac:dyDescent="0.25">
      <c r="A55" s="27"/>
      <c r="B55" s="14" t="str">
        <f>CONCATENATE("     ","Utilities                                         ")</f>
        <v xml:space="preserve">     Utilities                                         </v>
      </c>
      <c r="C55" s="14"/>
      <c r="D55" s="1">
        <f>SUM(OSRRefD22_11x_0)</f>
        <v>6</v>
      </c>
      <c r="E55" s="1"/>
      <c r="F55" s="5">
        <f t="shared" si="44"/>
        <v>1.1107511454621188E-3</v>
      </c>
      <c r="G55" s="1"/>
      <c r="H55" s="1">
        <f>SUM(OSRRefH22_11x_0)</f>
        <v>0</v>
      </c>
      <c r="I55" s="1"/>
      <c r="J55" s="5">
        <f t="shared" si="45"/>
        <v>0</v>
      </c>
      <c r="K55" s="1"/>
      <c r="L55" s="1">
        <f t="shared" si="46"/>
        <v>6</v>
      </c>
      <c r="M55" s="1"/>
      <c r="N55" s="5">
        <f t="shared" si="47"/>
        <v>0</v>
      </c>
      <c r="O55" s="14"/>
      <c r="P55" s="1">
        <f>SUM(OSRRefP22_11x_0)</f>
        <v>6</v>
      </c>
      <c r="Q55" s="1"/>
      <c r="R55" s="5">
        <f t="shared" si="48"/>
        <v>1.1107511454621188E-3</v>
      </c>
      <c r="S55" s="1"/>
      <c r="T55" s="1">
        <f>SUM(OSRRefT22_11x_0)</f>
        <v>0</v>
      </c>
      <c r="U55" s="1"/>
      <c r="V55" s="5">
        <f t="shared" si="49"/>
        <v>0</v>
      </c>
      <c r="W55" s="1"/>
      <c r="X55" s="1">
        <f t="shared" si="50"/>
        <v>6</v>
      </c>
      <c r="Y55" s="1"/>
      <c r="Z55" s="5">
        <f t="shared" si="51"/>
        <v>0</v>
      </c>
    </row>
    <row r="56" spans="1:26" s="24" customFormat="1" hidden="1" outlineLevel="2" x14ac:dyDescent="0.25">
      <c r="A56" s="29"/>
      <c r="B56" s="11" t="str">
        <f>CONCATENATE("          ", "6274", " - ", "UTILITIES")</f>
        <v xml:space="preserve">          6274 - UTILITIES</v>
      </c>
      <c r="C56" s="11"/>
      <c r="D56" s="7">
        <v>6</v>
      </c>
      <c r="E56" s="2"/>
      <c r="F56" s="6">
        <f t="shared" si="44"/>
        <v>1.1107511454621188E-3</v>
      </c>
      <c r="G56" s="2"/>
      <c r="H56" s="7"/>
      <c r="I56" s="2"/>
      <c r="J56" s="6">
        <f t="shared" si="45"/>
        <v>0</v>
      </c>
      <c r="K56" s="2"/>
      <c r="L56" s="7">
        <f t="shared" si="46"/>
        <v>6</v>
      </c>
      <c r="M56" s="2"/>
      <c r="N56" s="6">
        <f t="shared" si="47"/>
        <v>0</v>
      </c>
      <c r="O56" s="11"/>
      <c r="P56" s="7">
        <v>6</v>
      </c>
      <c r="Q56" s="2"/>
      <c r="R56" s="6">
        <f t="shared" si="48"/>
        <v>1.1107511454621188E-3</v>
      </c>
      <c r="S56" s="2"/>
      <c r="T56" s="7"/>
      <c r="U56" s="2"/>
      <c r="V56" s="6">
        <f t="shared" si="49"/>
        <v>0</v>
      </c>
      <c r="W56" s="2"/>
      <c r="X56" s="7">
        <f t="shared" si="50"/>
        <v>6</v>
      </c>
      <c r="Y56" s="2"/>
      <c r="Z56" s="6">
        <f t="shared" si="51"/>
        <v>0</v>
      </c>
    </row>
    <row r="57" spans="1:26" s="54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5" t="s">
        <v>3</v>
      </c>
      <c r="C60" s="25"/>
      <c r="D60" s="21">
        <f>+D20-D22+D58</f>
        <v>-6936.3800000000019</v>
      </c>
      <c r="E60" s="13"/>
      <c r="F60" s="20">
        <f>IF(D$12=0,0,D60/D$12)</f>
        <v>-1.2840986717267555</v>
      </c>
      <c r="G60" s="13"/>
      <c r="H60" s="21">
        <f>+H20-H22+H58</f>
        <v>2317.3400000000011</v>
      </c>
      <c r="I60" s="13"/>
      <c r="J60" s="20">
        <f>IF(H$12=0,0,H60/H$12)</f>
        <v>0.39381811569450192</v>
      </c>
      <c r="K60" s="16"/>
      <c r="L60" s="21">
        <f>+D60-H60</f>
        <v>-9253.720000000003</v>
      </c>
      <c r="M60" s="16"/>
      <c r="N60" s="20">
        <f>IF(H60=0,0,L60/H60)</f>
        <v>-3.9932508824773225</v>
      </c>
      <c r="O60" s="26"/>
      <c r="P60" s="21">
        <f>+P20-P22+P58</f>
        <v>-6936.3800000000019</v>
      </c>
      <c r="Q60" s="13"/>
      <c r="R60" s="20">
        <f>IF(P$12=0,0,P60/P$12)</f>
        <v>-1.2840986717267555</v>
      </c>
      <c r="S60" s="13"/>
      <c r="T60" s="21">
        <f>+T20-T22+T58</f>
        <v>2317.3400000000011</v>
      </c>
      <c r="U60" s="13"/>
      <c r="V60" s="20">
        <f>IF(T$12=0,0,T60/T$12)</f>
        <v>0.39381811569450192</v>
      </c>
      <c r="W60" s="16"/>
      <c r="X60" s="21">
        <f>+P60-T60</f>
        <v>-9253.720000000003</v>
      </c>
      <c r="Y60" s="16"/>
      <c r="Z60" s="20">
        <f>IF(T60=0,0,X60/T60)</f>
        <v>-3.9932508824773225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1"/>
      <c r="B62" s="10" t="s">
        <v>13</v>
      </c>
      <c r="C62" s="10"/>
      <c r="D62" s="4">
        <v>1123.18</v>
      </c>
      <c r="E62" s="4"/>
      <c r="F62" s="12">
        <f>IF(D$12=0,0,D62/D$12)</f>
        <v>0.20792891192669044</v>
      </c>
      <c r="G62" s="4"/>
      <c r="H62" s="4">
        <v>1208.05</v>
      </c>
      <c r="I62" s="4"/>
      <c r="J62" s="12">
        <f>IF(H$12=0,0,H62/H$12)</f>
        <v>0.20530089441546895</v>
      </c>
      <c r="K62" s="4"/>
      <c r="L62" s="4">
        <f>+D62-H62</f>
        <v>-84.869999999999891</v>
      </c>
      <c r="M62" s="4"/>
      <c r="N62" s="12">
        <f>IF(H62=0,0,L62/H62)</f>
        <v>-7.0253714664128053E-2</v>
      </c>
      <c r="O62" s="10"/>
      <c r="P62" s="4">
        <v>1123.18</v>
      </c>
      <c r="Q62" s="4"/>
      <c r="R62" s="12">
        <f>IF(P$12=0,0,P62/P$12)</f>
        <v>0.20792891192669044</v>
      </c>
      <c r="S62" s="4"/>
      <c r="T62" s="4">
        <v>1208.05</v>
      </c>
      <c r="U62" s="4"/>
      <c r="V62" s="12">
        <f>IF(T$12=0,0,T62/T$12)</f>
        <v>0.20530089441546895</v>
      </c>
      <c r="W62" s="4"/>
      <c r="X62" s="4">
        <f>+P62-T62</f>
        <v>-84.869999999999891</v>
      </c>
      <c r="Y62" s="4"/>
      <c r="Z62" s="12">
        <f>IF(T62=0,0,X62/T62)</f>
        <v>-7.0253714664128053E-2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4</v>
      </c>
      <c r="C64" s="25"/>
      <c r="D64" s="33">
        <f>+D60-D62</f>
        <v>-8059.5600000000022</v>
      </c>
      <c r="E64" s="13"/>
      <c r="F64" s="34">
        <f>IF(D$12=0,0,D64/D$12)</f>
        <v>-1.492027583653446</v>
      </c>
      <c r="G64" s="13"/>
      <c r="H64" s="33">
        <f>+H60-H62</f>
        <v>1109.2900000000011</v>
      </c>
      <c r="I64" s="13"/>
      <c r="J64" s="34">
        <f>IF(H$12=0,0,H64/H$12)</f>
        <v>0.18851722127903298</v>
      </c>
      <c r="K64" s="16"/>
      <c r="L64" s="33">
        <f>D64-H64</f>
        <v>-9168.850000000004</v>
      </c>
      <c r="M64" s="16"/>
      <c r="N64" s="34">
        <f>IF(H64=0,0,L64/H64)</f>
        <v>-8.2655121744539262</v>
      </c>
      <c r="O64" s="26"/>
      <c r="P64" s="33">
        <f>+P60-P62</f>
        <v>-8059.5600000000022</v>
      </c>
      <c r="Q64" s="13"/>
      <c r="R64" s="34">
        <f>IF(P$12=0,0,P64/P$12)</f>
        <v>-1.492027583653446</v>
      </c>
      <c r="S64" s="13"/>
      <c r="T64" s="33">
        <f>+T60-T62</f>
        <v>1109.2900000000011</v>
      </c>
      <c r="U64" s="13"/>
      <c r="V64" s="34">
        <f>IF(T$12=0,0,T64/T$12)</f>
        <v>0.18851722127903298</v>
      </c>
      <c r="W64" s="16"/>
      <c r="X64" s="33">
        <f>P64-T64</f>
        <v>-9168.850000000004</v>
      </c>
      <c r="Y64" s="16"/>
      <c r="Z64" s="34">
        <f>IF(T64=0,0,X64/T64)</f>
        <v>-8.2655121744539262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5</v>
      </c>
      <c r="C67" s="25"/>
      <c r="D67" s="31">
        <f>SUM(D64:D66)</f>
        <v>-8059.5600000000022</v>
      </c>
      <c r="E67" s="13"/>
      <c r="F67" s="30">
        <f>IF(D$12=0,0,D67/D$12)</f>
        <v>-1.492027583653446</v>
      </c>
      <c r="G67" s="13"/>
      <c r="H67" s="31">
        <f>SUM(H64:H66)</f>
        <v>1109.2900000000011</v>
      </c>
      <c r="I67" s="13"/>
      <c r="J67" s="30">
        <f>IF(H$12=0,0,H67/H$12)</f>
        <v>0.18851722127903298</v>
      </c>
      <c r="K67" s="16"/>
      <c r="L67" s="31">
        <f>+D67-H67</f>
        <v>-9168.850000000004</v>
      </c>
      <c r="M67" s="16"/>
      <c r="N67" s="30">
        <f>IF(H67=0,0,L67/H67)</f>
        <v>-8.2655121744539262</v>
      </c>
      <c r="O67" s="26"/>
      <c r="P67" s="31">
        <f>SUM(P64:P66)</f>
        <v>-8059.5600000000022</v>
      </c>
      <c r="Q67" s="13"/>
      <c r="R67" s="30">
        <f>IF(P$12=0,0,P67/P$12)</f>
        <v>-1.492027583653446</v>
      </c>
      <c r="S67" s="13"/>
      <c r="T67" s="31">
        <f>SUM(T64:T66)</f>
        <v>1109.2900000000011</v>
      </c>
      <c r="U67" s="13"/>
      <c r="V67" s="30">
        <f>IF(T$12=0,0,T67/T$12)</f>
        <v>0.18851722127903298</v>
      </c>
      <c r="W67" s="16"/>
      <c r="X67" s="31">
        <f>+P67-T67</f>
        <v>-9168.850000000004</v>
      </c>
      <c r="Y67" s="16"/>
      <c r="Z67" s="30">
        <f>IF(T67=0,0,X67/T67)</f>
        <v>-8.2655121744539262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6">
        <v>43726.682004548609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3" t="s">
        <v>313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14361.21</v>
      </c>
      <c r="E12" s="4"/>
      <c r="F12" s="12"/>
      <c r="G12" s="4"/>
      <c r="H12" s="4">
        <f>SUM(OSRRefH13x_0)</f>
        <v>16739.64</v>
      </c>
      <c r="I12" s="4"/>
      <c r="J12" s="12"/>
      <c r="K12" s="4"/>
      <c r="L12" s="4">
        <f t="shared" ref="L12:L14" si="0">+D12-H12</f>
        <v>-2378.4300000000003</v>
      </c>
      <c r="M12" s="4"/>
      <c r="N12" s="12">
        <f t="shared" ref="N12:N14" si="1">IF(H12=0,0,L12/H12)</f>
        <v>-0.1420837007247468</v>
      </c>
      <c r="O12" s="10"/>
      <c r="P12" s="4">
        <f>SUM(OSRRefP13x_0)</f>
        <v>14361.21</v>
      </c>
      <c r="Q12" s="4"/>
      <c r="R12" s="12"/>
      <c r="S12" s="4"/>
      <c r="T12" s="4">
        <f>SUM(OSRRefT13x_0)</f>
        <v>16739.64</v>
      </c>
      <c r="U12" s="4"/>
      <c r="V12" s="12"/>
      <c r="W12" s="4"/>
      <c r="X12" s="4">
        <f t="shared" ref="X12:X14" si="2">+P12-T12</f>
        <v>-2378.4300000000003</v>
      </c>
      <c r="Y12" s="4"/>
      <c r="Z12" s="12">
        <f t="shared" ref="Z12:Z14" si="3">IF(T12=0,0,X12/T12)</f>
        <v>-0.1420837007247468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--2833.64</f>
        <v>2833.64</v>
      </c>
      <c r="E13" s="2"/>
      <c r="F13" s="22"/>
      <c r="G13" s="2"/>
      <c r="H13" s="2">
        <f>--3158.25</f>
        <v>3158.25</v>
      </c>
      <c r="I13" s="2"/>
      <c r="J13" s="22"/>
      <c r="K13" s="2"/>
      <c r="L13" s="2">
        <f t="shared" si="0"/>
        <v>-324.61000000000013</v>
      </c>
      <c r="M13" s="2"/>
      <c r="N13" s="22">
        <f t="shared" si="1"/>
        <v>-0.10278160373624638</v>
      </c>
      <c r="O13" s="11"/>
      <c r="P13" s="2">
        <f>--2833.64</f>
        <v>2833.64</v>
      </c>
      <c r="Q13" s="2"/>
      <c r="R13" s="22"/>
      <c r="S13" s="2"/>
      <c r="T13" s="2">
        <f>--3158.25</f>
        <v>3158.25</v>
      </c>
      <c r="U13" s="2"/>
      <c r="V13" s="22"/>
      <c r="W13" s="2"/>
      <c r="X13" s="2">
        <f t="shared" si="2"/>
        <v>-324.61000000000013</v>
      </c>
      <c r="Y13" s="2"/>
      <c r="Z13" s="22">
        <f t="shared" si="3"/>
        <v>-0.10278160373624638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--11527.57</f>
        <v>11527.57</v>
      </c>
      <c r="E14" s="2"/>
      <c r="F14" s="22"/>
      <c r="G14" s="2"/>
      <c r="H14" s="2">
        <f>--13581.39</f>
        <v>13581.39</v>
      </c>
      <c r="I14" s="2"/>
      <c r="J14" s="22"/>
      <c r="K14" s="2"/>
      <c r="L14" s="2">
        <f t="shared" si="0"/>
        <v>-2053.8199999999997</v>
      </c>
      <c r="M14" s="2"/>
      <c r="N14" s="22">
        <f t="shared" si="1"/>
        <v>-0.15122310750225124</v>
      </c>
      <c r="O14" s="11"/>
      <c r="P14" s="2">
        <f>--11527.57</f>
        <v>11527.57</v>
      </c>
      <c r="Q14" s="2"/>
      <c r="R14" s="22"/>
      <c r="S14" s="2"/>
      <c r="T14" s="2">
        <f>--13581.39</f>
        <v>13581.39</v>
      </c>
      <c r="U14" s="2"/>
      <c r="V14" s="22"/>
      <c r="W14" s="2"/>
      <c r="X14" s="2">
        <f t="shared" si="2"/>
        <v>-2053.8199999999997</v>
      </c>
      <c r="Y14" s="2"/>
      <c r="Z14" s="22">
        <f t="shared" si="3"/>
        <v>-0.15122310750225124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6791.63</v>
      </c>
      <c r="E16" s="4"/>
      <c r="F16" s="12">
        <f t="shared" ref="F16:F18" si="4">IF(D$12=0,0,D16/D$12)</f>
        <v>0.4729148866982657</v>
      </c>
      <c r="G16" s="4"/>
      <c r="H16" s="4">
        <f>SUM(OSRRefH16x_0)</f>
        <v>5164.0199999999995</v>
      </c>
      <c r="I16" s="4"/>
      <c r="J16" s="12">
        <f t="shared" ref="J16:J18" si="5">IF(H$12=0,0,H16/H$12)</f>
        <v>0.30849050517215421</v>
      </c>
      <c r="K16" s="4"/>
      <c r="L16" s="4">
        <f t="shared" ref="L16:L18" si="6">+D16-H16</f>
        <v>1627.6100000000006</v>
      </c>
      <c r="M16" s="4"/>
      <c r="N16" s="12">
        <f t="shared" ref="N16:N18" si="7">IF(H16=0,0,L16/H16)</f>
        <v>0.31518274522561895</v>
      </c>
      <c r="O16" s="10"/>
      <c r="P16" s="4">
        <f>SUM(OSRRefP16x_0)</f>
        <v>6791.63</v>
      </c>
      <c r="Q16" s="4"/>
      <c r="R16" s="12">
        <f t="shared" ref="R16:R18" si="8">IF(P$12=0,0,P16/P$12)</f>
        <v>0.4729148866982657</v>
      </c>
      <c r="S16" s="4"/>
      <c r="T16" s="4">
        <f>SUM(OSRRefT16x_0)</f>
        <v>5164.0199999999995</v>
      </c>
      <c r="U16" s="4"/>
      <c r="V16" s="12">
        <f t="shared" ref="V16:V18" si="9">IF(T$12=0,0,T16/T$12)</f>
        <v>0.30849050517215421</v>
      </c>
      <c r="W16" s="4"/>
      <c r="X16" s="4">
        <f t="shared" ref="X16:X18" si="10">+P16-T16</f>
        <v>1627.6100000000006</v>
      </c>
      <c r="Y16" s="4"/>
      <c r="Z16" s="12">
        <f t="shared" ref="Z16:Z18" si="11">IF(T16=0,0,X16/T16)</f>
        <v>0.31518274522561895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12276.42</v>
      </c>
      <c r="E17" s="2"/>
      <c r="F17" s="22">
        <f t="shared" si="4"/>
        <v>0.85483187001652372</v>
      </c>
      <c r="G17" s="2"/>
      <c r="H17" s="2">
        <v>11261.49</v>
      </c>
      <c r="I17" s="2"/>
      <c r="J17" s="22">
        <f t="shared" si="5"/>
        <v>0.67274385829085936</v>
      </c>
      <c r="K17" s="2"/>
      <c r="L17" s="2">
        <f t="shared" si="6"/>
        <v>1014.9300000000003</v>
      </c>
      <c r="M17" s="2"/>
      <c r="N17" s="22">
        <f t="shared" si="7"/>
        <v>9.0123953402258525E-2</v>
      </c>
      <c r="O17" s="11"/>
      <c r="P17" s="2">
        <v>12276.42</v>
      </c>
      <c r="Q17" s="2"/>
      <c r="R17" s="22">
        <f t="shared" si="8"/>
        <v>0.85483187001652372</v>
      </c>
      <c r="S17" s="2"/>
      <c r="T17" s="2">
        <v>11261.49</v>
      </c>
      <c r="U17" s="2"/>
      <c r="V17" s="22">
        <f t="shared" si="9"/>
        <v>0.67274385829085936</v>
      </c>
      <c r="W17" s="2"/>
      <c r="X17" s="2">
        <f t="shared" si="10"/>
        <v>1014.9300000000003</v>
      </c>
      <c r="Y17" s="2"/>
      <c r="Z17" s="22">
        <f t="shared" si="11"/>
        <v>9.0123953402258525E-2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-5484.79</v>
      </c>
      <c r="E18" s="2"/>
      <c r="F18" s="22">
        <f t="shared" si="4"/>
        <v>-0.38191698331825802</v>
      </c>
      <c r="G18" s="2"/>
      <c r="H18" s="2">
        <v>-6097.47</v>
      </c>
      <c r="I18" s="2"/>
      <c r="J18" s="22">
        <f t="shared" si="5"/>
        <v>-0.3642533531187051</v>
      </c>
      <c r="K18" s="2"/>
      <c r="L18" s="2">
        <f t="shared" si="6"/>
        <v>612.68000000000029</v>
      </c>
      <c r="M18" s="2"/>
      <c r="N18" s="22">
        <f t="shared" si="7"/>
        <v>-0.10048101917680616</v>
      </c>
      <c r="O18" s="11"/>
      <c r="P18" s="2">
        <v>-5484.79</v>
      </c>
      <c r="Q18" s="2"/>
      <c r="R18" s="22">
        <f t="shared" si="8"/>
        <v>-0.38191698331825802</v>
      </c>
      <c r="S18" s="2"/>
      <c r="T18" s="2">
        <v>-6097.47</v>
      </c>
      <c r="U18" s="2"/>
      <c r="V18" s="22">
        <f t="shared" si="9"/>
        <v>-0.3642533531187051</v>
      </c>
      <c r="W18" s="2"/>
      <c r="X18" s="2">
        <f t="shared" si="10"/>
        <v>612.68000000000029</v>
      </c>
      <c r="Y18" s="2"/>
      <c r="Z18" s="22">
        <f t="shared" si="11"/>
        <v>-0.10048101917680616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7569.579999999999</v>
      </c>
      <c r="E20" s="13"/>
      <c r="F20" s="20">
        <f>IF(D$12=0,0,D20/D$12)</f>
        <v>0.52708511330173424</v>
      </c>
      <c r="G20" s="13"/>
      <c r="H20" s="21">
        <f>H12-H16</f>
        <v>11575.619999999999</v>
      </c>
      <c r="I20" s="13"/>
      <c r="J20" s="20">
        <f>IF(H$12=0,0,H20/H$12)</f>
        <v>0.69150949482784574</v>
      </c>
      <c r="K20" s="16"/>
      <c r="L20" s="21">
        <f>+D20-H20</f>
        <v>-4006.04</v>
      </c>
      <c r="M20" s="16"/>
      <c r="N20" s="20">
        <f>IF(H20=0,0,L20/H20)</f>
        <v>-0.34607563137006919</v>
      </c>
      <c r="O20" s="26"/>
      <c r="P20" s="21">
        <f>P12-P16</f>
        <v>7569.579999999999</v>
      </c>
      <c r="Q20" s="13"/>
      <c r="R20" s="20">
        <f>IF(P$12=0,0,P20/P$12)</f>
        <v>0.52708511330173424</v>
      </c>
      <c r="S20" s="13"/>
      <c r="T20" s="21">
        <f>T12-T16</f>
        <v>11575.619999999999</v>
      </c>
      <c r="U20" s="13"/>
      <c r="V20" s="20">
        <f>IF(T$12=0,0,T20/T$12)</f>
        <v>0.69150949482784574</v>
      </c>
      <c r="W20" s="16"/>
      <c r="X20" s="21">
        <f>+P20-T20</f>
        <v>-4006.04</v>
      </c>
      <c r="Y20" s="16"/>
      <c r="Z20" s="20">
        <f>IF(T20=0,0,X20/T20)</f>
        <v>-0.34607563137006919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20272.43</v>
      </c>
      <c r="E22" s="19"/>
      <c r="F22" s="35">
        <f t="shared" ref="F22:F31" si="12">IF(D$12=0,0,D22/D$12)</f>
        <v>1.4116101637675378</v>
      </c>
      <c r="G22" s="19"/>
      <c r="H22" s="19">
        <f>SUM(OSRRefH22x_0)</f>
        <v>15703.940000000002</v>
      </c>
      <c r="I22" s="19"/>
      <c r="J22" s="35">
        <f t="shared" ref="J22:J31" si="13">IF(H$12=0,0,H22/H$12)</f>
        <v>0.938128896439828</v>
      </c>
      <c r="K22" s="4"/>
      <c r="L22" s="19">
        <f t="shared" ref="L22:L31" si="14">+D22-H22</f>
        <v>4568.489999999998</v>
      </c>
      <c r="M22" s="4"/>
      <c r="N22" s="35">
        <f t="shared" ref="N22:N31" si="15">IF(H22=0,0,L22/H22)</f>
        <v>0.2909136178564104</v>
      </c>
      <c r="O22" s="10"/>
      <c r="P22" s="19">
        <f>SUM(OSRRefP22x_0)</f>
        <v>20272.43</v>
      </c>
      <c r="Q22" s="19"/>
      <c r="R22" s="35">
        <f t="shared" ref="R22:R31" si="16">IF(P$12=0,0,P22/P$12)</f>
        <v>1.4116101637675378</v>
      </c>
      <c r="S22" s="19"/>
      <c r="T22" s="19">
        <f>SUM(OSRRefT22x_0)</f>
        <v>15703.940000000002</v>
      </c>
      <c r="U22" s="19"/>
      <c r="V22" s="35">
        <f t="shared" ref="V22:V31" si="17">IF(T$12=0,0,T22/T$12)</f>
        <v>0.938128896439828</v>
      </c>
      <c r="W22" s="4"/>
      <c r="X22" s="19">
        <f t="shared" ref="X22:X31" si="18">+P22-T22</f>
        <v>4568.489999999998</v>
      </c>
      <c r="Y22" s="4"/>
      <c r="Z22" s="35">
        <f t="shared" ref="Z22:Z31" si="19">IF(T22=0,0,X22/T22)</f>
        <v>0.2909136178564104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2332.16</v>
      </c>
      <c r="E23" s="1"/>
      <c r="F23" s="5">
        <f t="shared" si="12"/>
        <v>0.16239300170389542</v>
      </c>
      <c r="G23" s="1"/>
      <c r="H23" s="1">
        <f>SUM(OSRRefH22_0x_0)</f>
        <v>1999.54</v>
      </c>
      <c r="I23" s="1"/>
      <c r="J23" s="5">
        <f t="shared" si="13"/>
        <v>0.1194494027350648</v>
      </c>
      <c r="K23" s="1"/>
      <c r="L23" s="1">
        <f t="shared" si="14"/>
        <v>332.61999999999989</v>
      </c>
      <c r="M23" s="1"/>
      <c r="N23" s="5">
        <f t="shared" si="15"/>
        <v>0.1663482600998229</v>
      </c>
      <c r="O23" s="14"/>
      <c r="P23" s="1">
        <f>SUM(OSRRefP22_0x_0)</f>
        <v>2332.16</v>
      </c>
      <c r="Q23" s="1"/>
      <c r="R23" s="5">
        <f t="shared" si="16"/>
        <v>0.16239300170389542</v>
      </c>
      <c r="S23" s="1"/>
      <c r="T23" s="1">
        <f>SUM(OSRRefT22_0x_0)</f>
        <v>1999.54</v>
      </c>
      <c r="U23" s="1"/>
      <c r="V23" s="5">
        <f t="shared" si="17"/>
        <v>0.1194494027350648</v>
      </c>
      <c r="W23" s="1"/>
      <c r="X23" s="1">
        <f t="shared" si="18"/>
        <v>332.61999999999989</v>
      </c>
      <c r="Y23" s="1"/>
      <c r="Z23" s="5">
        <f t="shared" si="19"/>
        <v>0.1663482600998229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719.78</v>
      </c>
      <c r="E24" s="2"/>
      <c r="F24" s="6">
        <f t="shared" si="12"/>
        <v>5.0119732250973284E-2</v>
      </c>
      <c r="G24" s="2"/>
      <c r="H24" s="7">
        <v>584.75</v>
      </c>
      <c r="I24" s="2"/>
      <c r="J24" s="6">
        <f t="shared" si="13"/>
        <v>3.4932053496968873E-2</v>
      </c>
      <c r="K24" s="2"/>
      <c r="L24" s="7">
        <f t="shared" si="14"/>
        <v>135.02999999999997</v>
      </c>
      <c r="M24" s="2"/>
      <c r="N24" s="6">
        <f t="shared" si="15"/>
        <v>0.23091919623770837</v>
      </c>
      <c r="O24" s="11"/>
      <c r="P24" s="7">
        <v>719.78</v>
      </c>
      <c r="Q24" s="2"/>
      <c r="R24" s="6">
        <f t="shared" si="16"/>
        <v>5.0119732250973284E-2</v>
      </c>
      <c r="S24" s="2"/>
      <c r="T24" s="7">
        <v>584.75</v>
      </c>
      <c r="U24" s="2"/>
      <c r="V24" s="6">
        <f t="shared" si="17"/>
        <v>3.4932053496968873E-2</v>
      </c>
      <c r="W24" s="2"/>
      <c r="X24" s="7">
        <f t="shared" si="18"/>
        <v>135.02999999999997</v>
      </c>
      <c r="Y24" s="2"/>
      <c r="Z24" s="6">
        <f t="shared" si="19"/>
        <v>0.23091919623770837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163.33000000000001</v>
      </c>
      <c r="E25" s="2"/>
      <c r="F25" s="6">
        <f t="shared" si="12"/>
        <v>1.1372997122108793E-2</v>
      </c>
      <c r="G25" s="2"/>
      <c r="H25" s="7">
        <v>142.35</v>
      </c>
      <c r="I25" s="2"/>
      <c r="J25" s="6">
        <f t="shared" si="13"/>
        <v>8.5037671061026394E-3</v>
      </c>
      <c r="K25" s="2"/>
      <c r="L25" s="7">
        <f t="shared" si="14"/>
        <v>20.980000000000018</v>
      </c>
      <c r="M25" s="2"/>
      <c r="N25" s="6">
        <f t="shared" si="15"/>
        <v>0.14738321039690916</v>
      </c>
      <c r="O25" s="11"/>
      <c r="P25" s="7">
        <v>163.33000000000001</v>
      </c>
      <c r="Q25" s="2"/>
      <c r="R25" s="6">
        <f t="shared" si="16"/>
        <v>1.1372997122108793E-2</v>
      </c>
      <c r="S25" s="2"/>
      <c r="T25" s="7">
        <v>142.35</v>
      </c>
      <c r="U25" s="2"/>
      <c r="V25" s="6">
        <f t="shared" si="17"/>
        <v>8.5037671061026394E-3</v>
      </c>
      <c r="W25" s="2"/>
      <c r="X25" s="7">
        <f t="shared" si="18"/>
        <v>20.980000000000018</v>
      </c>
      <c r="Y25" s="2"/>
      <c r="Z25" s="6">
        <f t="shared" si="19"/>
        <v>0.14738321039690916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641.14</v>
      </c>
      <c r="E26" s="2"/>
      <c r="F26" s="6">
        <f t="shared" si="12"/>
        <v>4.4643870537371157E-2</v>
      </c>
      <c r="G26" s="2"/>
      <c r="H26" s="7">
        <v>265.27999999999997</v>
      </c>
      <c r="I26" s="2"/>
      <c r="J26" s="6">
        <f t="shared" si="13"/>
        <v>1.5847413683926295E-2</v>
      </c>
      <c r="K26" s="2"/>
      <c r="L26" s="7">
        <f t="shared" si="14"/>
        <v>375.86</v>
      </c>
      <c r="M26" s="2"/>
      <c r="N26" s="6">
        <f t="shared" si="15"/>
        <v>1.4168425814234018</v>
      </c>
      <c r="O26" s="11"/>
      <c r="P26" s="7">
        <v>641.14</v>
      </c>
      <c r="Q26" s="2"/>
      <c r="R26" s="6">
        <f t="shared" si="16"/>
        <v>4.4643870537371157E-2</v>
      </c>
      <c r="S26" s="2"/>
      <c r="T26" s="7">
        <v>265.27999999999997</v>
      </c>
      <c r="U26" s="2"/>
      <c r="V26" s="6">
        <f t="shared" si="17"/>
        <v>1.5847413683926295E-2</v>
      </c>
      <c r="W26" s="2"/>
      <c r="X26" s="7">
        <f t="shared" si="18"/>
        <v>375.86</v>
      </c>
      <c r="Y26" s="2"/>
      <c r="Z26" s="6">
        <f t="shared" si="19"/>
        <v>1.4168425814234018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22.35</v>
      </c>
      <c r="E27" s="2"/>
      <c r="F27" s="6">
        <f t="shared" si="12"/>
        <v>1.5562755505977562E-3</v>
      </c>
      <c r="G27" s="2"/>
      <c r="H27" s="7">
        <v>31.1</v>
      </c>
      <c r="I27" s="2"/>
      <c r="J27" s="6">
        <f t="shared" si="13"/>
        <v>1.8578655216002257E-3</v>
      </c>
      <c r="K27" s="2"/>
      <c r="L27" s="7">
        <f t="shared" si="14"/>
        <v>-8.75</v>
      </c>
      <c r="M27" s="2"/>
      <c r="N27" s="6">
        <f t="shared" si="15"/>
        <v>-0.2813504823151125</v>
      </c>
      <c r="O27" s="11"/>
      <c r="P27" s="7">
        <v>22.35</v>
      </c>
      <c r="Q27" s="2"/>
      <c r="R27" s="6">
        <f t="shared" si="16"/>
        <v>1.5562755505977562E-3</v>
      </c>
      <c r="S27" s="2"/>
      <c r="T27" s="7">
        <v>31.1</v>
      </c>
      <c r="U27" s="2"/>
      <c r="V27" s="6">
        <f t="shared" si="17"/>
        <v>1.8578655216002257E-3</v>
      </c>
      <c r="W27" s="2"/>
      <c r="X27" s="7">
        <f t="shared" si="18"/>
        <v>-8.75</v>
      </c>
      <c r="Y27" s="2"/>
      <c r="Z27" s="6">
        <f t="shared" si="19"/>
        <v>-0.2813504823151125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268.22000000000003</v>
      </c>
      <c r="E28" s="2"/>
      <c r="F28" s="6">
        <f t="shared" si="12"/>
        <v>1.867669924748681E-2</v>
      </c>
      <c r="G28" s="2"/>
      <c r="H28" s="7">
        <v>368.48</v>
      </c>
      <c r="I28" s="2"/>
      <c r="J28" s="6">
        <f t="shared" si="13"/>
        <v>2.2012420816696181E-2</v>
      </c>
      <c r="K28" s="2"/>
      <c r="L28" s="7">
        <f t="shared" si="14"/>
        <v>-100.25999999999999</v>
      </c>
      <c r="M28" s="2"/>
      <c r="N28" s="6">
        <f t="shared" si="15"/>
        <v>-0.27209075119409459</v>
      </c>
      <c r="O28" s="11"/>
      <c r="P28" s="7">
        <v>268.22000000000003</v>
      </c>
      <c r="Q28" s="2"/>
      <c r="R28" s="6">
        <f t="shared" si="16"/>
        <v>1.867669924748681E-2</v>
      </c>
      <c r="S28" s="2"/>
      <c r="T28" s="7">
        <v>368.48</v>
      </c>
      <c r="U28" s="2"/>
      <c r="V28" s="6">
        <f t="shared" si="17"/>
        <v>2.2012420816696181E-2</v>
      </c>
      <c r="W28" s="2"/>
      <c r="X28" s="7">
        <f t="shared" si="18"/>
        <v>-100.25999999999999</v>
      </c>
      <c r="Y28" s="2"/>
      <c r="Z28" s="6">
        <f t="shared" si="19"/>
        <v>-0.27209075119409459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221.28</v>
      </c>
      <c r="E29" s="2"/>
      <c r="F29" s="6">
        <f t="shared" si="12"/>
        <v>1.5408172431153087E-2</v>
      </c>
      <c r="G29" s="2"/>
      <c r="H29" s="7">
        <v>242.55</v>
      </c>
      <c r="I29" s="2"/>
      <c r="J29" s="6">
        <f t="shared" si="13"/>
        <v>1.448955891524549E-2</v>
      </c>
      <c r="K29" s="2"/>
      <c r="L29" s="7">
        <f t="shared" si="14"/>
        <v>-21.27000000000001</v>
      </c>
      <c r="M29" s="2"/>
      <c r="N29" s="6">
        <f t="shared" si="15"/>
        <v>-8.7693259121830583E-2</v>
      </c>
      <c r="O29" s="11"/>
      <c r="P29" s="7">
        <v>221.28</v>
      </c>
      <c r="Q29" s="2"/>
      <c r="R29" s="6">
        <f t="shared" si="16"/>
        <v>1.5408172431153087E-2</v>
      </c>
      <c r="S29" s="2"/>
      <c r="T29" s="7">
        <v>242.55</v>
      </c>
      <c r="U29" s="2"/>
      <c r="V29" s="6">
        <f t="shared" si="17"/>
        <v>1.448955891524549E-2</v>
      </c>
      <c r="W29" s="2"/>
      <c r="X29" s="7">
        <f t="shared" si="18"/>
        <v>-21.27000000000001</v>
      </c>
      <c r="Y29" s="2"/>
      <c r="Z29" s="6">
        <f t="shared" si="19"/>
        <v>-8.7693259121830583E-2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177.12</v>
      </c>
      <c r="E30" s="2"/>
      <c r="F30" s="6">
        <f t="shared" si="12"/>
        <v>1.2333222618428393E-2</v>
      </c>
      <c r="G30" s="2"/>
      <c r="H30" s="7">
        <v>215.03</v>
      </c>
      <c r="I30" s="2"/>
      <c r="J30" s="6">
        <f t="shared" si="13"/>
        <v>1.2845557013173522E-2</v>
      </c>
      <c r="K30" s="2"/>
      <c r="L30" s="7">
        <f t="shared" si="14"/>
        <v>-37.909999999999997</v>
      </c>
      <c r="M30" s="2"/>
      <c r="N30" s="6">
        <f t="shared" si="15"/>
        <v>-0.17630098125842905</v>
      </c>
      <c r="O30" s="11"/>
      <c r="P30" s="7">
        <v>177.12</v>
      </c>
      <c r="Q30" s="2"/>
      <c r="R30" s="6">
        <f t="shared" si="16"/>
        <v>1.2333222618428393E-2</v>
      </c>
      <c r="S30" s="2"/>
      <c r="T30" s="7">
        <v>215.03</v>
      </c>
      <c r="U30" s="2"/>
      <c r="V30" s="6">
        <f t="shared" si="17"/>
        <v>1.2845557013173522E-2</v>
      </c>
      <c r="W30" s="2"/>
      <c r="X30" s="7">
        <f t="shared" si="18"/>
        <v>-37.909999999999997</v>
      </c>
      <c r="Y30" s="2"/>
      <c r="Z30" s="6">
        <f t="shared" si="19"/>
        <v>-0.17630098125842905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118.94</v>
      </c>
      <c r="E31" s="2"/>
      <c r="F31" s="6">
        <f t="shared" si="12"/>
        <v>8.2820319457761575E-3</v>
      </c>
      <c r="G31" s="2"/>
      <c r="H31" s="7">
        <v>150</v>
      </c>
      <c r="I31" s="2"/>
      <c r="J31" s="6">
        <f t="shared" si="13"/>
        <v>8.9607661813515711E-3</v>
      </c>
      <c r="K31" s="2"/>
      <c r="L31" s="7">
        <f t="shared" si="14"/>
        <v>-31.060000000000002</v>
      </c>
      <c r="M31" s="2"/>
      <c r="N31" s="6">
        <f t="shared" si="15"/>
        <v>-0.20706666666666668</v>
      </c>
      <c r="O31" s="11"/>
      <c r="P31" s="7">
        <v>118.94</v>
      </c>
      <c r="Q31" s="2"/>
      <c r="R31" s="6">
        <f t="shared" si="16"/>
        <v>8.2820319457761575E-3</v>
      </c>
      <c r="S31" s="2"/>
      <c r="T31" s="7">
        <v>150</v>
      </c>
      <c r="U31" s="2"/>
      <c r="V31" s="6">
        <f t="shared" si="17"/>
        <v>8.9607661813515711E-3</v>
      </c>
      <c r="W31" s="2"/>
      <c r="X31" s="7">
        <f t="shared" si="18"/>
        <v>-31.060000000000002</v>
      </c>
      <c r="Y31" s="2"/>
      <c r="Z31" s="6">
        <f t="shared" si="19"/>
        <v>-0.20706666666666668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11487.5</v>
      </c>
      <c r="E32" s="1"/>
      <c r="F32" s="5">
        <f t="shared" ref="F32:F36" si="20">IF(D$12=0,0,D32/D$12)</f>
        <v>0.79989778020097202</v>
      </c>
      <c r="G32" s="1"/>
      <c r="H32" s="1">
        <f>SUM(OSRRefH22_1x_0)</f>
        <v>7824.2699999999995</v>
      </c>
      <c r="I32" s="1"/>
      <c r="J32" s="5">
        <f t="shared" ref="J32:J36" si="21">IF(H$12=0,0,H32/H$12)</f>
        <v>0.46740969339842431</v>
      </c>
      <c r="K32" s="1"/>
      <c r="L32" s="1">
        <f t="shared" ref="L32:L36" si="22">+D32-H32</f>
        <v>3663.2300000000005</v>
      </c>
      <c r="M32" s="1"/>
      <c r="N32" s="5">
        <f t="shared" ref="N32:N36" si="23">IF(H32=0,0,L32/H32)</f>
        <v>0.46818808655631783</v>
      </c>
      <c r="O32" s="14"/>
      <c r="P32" s="1">
        <f>SUM(OSRRefP22_1x_0)</f>
        <v>11487.5</v>
      </c>
      <c r="Q32" s="1"/>
      <c r="R32" s="5">
        <f t="shared" ref="R32:R36" si="24">IF(P$12=0,0,P32/P$12)</f>
        <v>0.79989778020097202</v>
      </c>
      <c r="S32" s="1"/>
      <c r="T32" s="1">
        <f>SUM(OSRRefT22_1x_0)</f>
        <v>7824.2699999999995</v>
      </c>
      <c r="U32" s="1"/>
      <c r="V32" s="5">
        <f t="shared" ref="V32:V36" si="25">IF(T$12=0,0,T32/T$12)</f>
        <v>0.46740969339842431</v>
      </c>
      <c r="W32" s="1"/>
      <c r="X32" s="1">
        <f t="shared" ref="X32:X36" si="26">+P32-T32</f>
        <v>3663.2300000000005</v>
      </c>
      <c r="Y32" s="1"/>
      <c r="Z32" s="5">
        <f t="shared" ref="Z32:Z36" si="27">IF(T32=0,0,X32/T32)</f>
        <v>0.46818808655631783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4224</v>
      </c>
      <c r="E33" s="2"/>
      <c r="F33" s="6">
        <f t="shared" si="20"/>
        <v>0.29412563426062288</v>
      </c>
      <c r="G33" s="2"/>
      <c r="H33" s="7">
        <v>3806.48</v>
      </c>
      <c r="I33" s="2"/>
      <c r="J33" s="6">
        <f t="shared" si="21"/>
        <v>0.22739318169327419</v>
      </c>
      <c r="K33" s="2"/>
      <c r="L33" s="7">
        <f t="shared" si="22"/>
        <v>417.52</v>
      </c>
      <c r="M33" s="2"/>
      <c r="N33" s="6">
        <f t="shared" si="23"/>
        <v>0.10968663962506042</v>
      </c>
      <c r="O33" s="11"/>
      <c r="P33" s="7">
        <v>4224</v>
      </c>
      <c r="Q33" s="2"/>
      <c r="R33" s="6">
        <f t="shared" si="24"/>
        <v>0.29412563426062288</v>
      </c>
      <c r="S33" s="2"/>
      <c r="T33" s="7">
        <v>3806.48</v>
      </c>
      <c r="U33" s="2"/>
      <c r="V33" s="6">
        <f t="shared" si="25"/>
        <v>0.22739318169327419</v>
      </c>
      <c r="W33" s="2"/>
      <c r="X33" s="7">
        <f t="shared" si="26"/>
        <v>417.52</v>
      </c>
      <c r="Y33" s="2"/>
      <c r="Z33" s="6">
        <f t="shared" si="27"/>
        <v>0.10968663962506042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812</v>
      </c>
      <c r="E34" s="2"/>
      <c r="F34" s="6">
        <f t="shared" si="20"/>
        <v>5.6541196737600802E-2</v>
      </c>
      <c r="G34" s="2"/>
      <c r="H34" s="7"/>
      <c r="I34" s="2"/>
      <c r="J34" s="6">
        <f t="shared" si="21"/>
        <v>0</v>
      </c>
      <c r="K34" s="2"/>
      <c r="L34" s="7">
        <f t="shared" si="22"/>
        <v>812</v>
      </c>
      <c r="M34" s="2"/>
      <c r="N34" s="6">
        <f t="shared" si="23"/>
        <v>0</v>
      </c>
      <c r="O34" s="11"/>
      <c r="P34" s="7">
        <v>812</v>
      </c>
      <c r="Q34" s="2"/>
      <c r="R34" s="6">
        <f t="shared" si="24"/>
        <v>5.6541196737600802E-2</v>
      </c>
      <c r="S34" s="2"/>
      <c r="T34" s="7"/>
      <c r="U34" s="2"/>
      <c r="V34" s="6">
        <f t="shared" si="25"/>
        <v>0</v>
      </c>
      <c r="W34" s="2"/>
      <c r="X34" s="7">
        <f t="shared" si="26"/>
        <v>812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1286.3399999999999</v>
      </c>
      <c r="I35" s="2"/>
      <c r="J35" s="6">
        <f t="shared" si="21"/>
        <v>7.6843946464798529E-2</v>
      </c>
      <c r="K35" s="2"/>
      <c r="L35" s="7">
        <f t="shared" si="22"/>
        <v>-1286.3399999999999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1286.3399999999999</v>
      </c>
      <c r="U35" s="2"/>
      <c r="V35" s="6">
        <f t="shared" si="25"/>
        <v>7.6843946464798529E-2</v>
      </c>
      <c r="W35" s="2"/>
      <c r="X35" s="7">
        <f t="shared" si="26"/>
        <v>-1286.3399999999999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6451.5</v>
      </c>
      <c r="E36" s="2"/>
      <c r="F36" s="6">
        <f t="shared" si="20"/>
        <v>0.44923094920274825</v>
      </c>
      <c r="G36" s="2"/>
      <c r="H36" s="7">
        <v>2731.45</v>
      </c>
      <c r="I36" s="2"/>
      <c r="J36" s="6">
        <f t="shared" si="21"/>
        <v>0.16317256524035165</v>
      </c>
      <c r="K36" s="2"/>
      <c r="L36" s="7">
        <f t="shared" si="22"/>
        <v>3720.05</v>
      </c>
      <c r="M36" s="2"/>
      <c r="N36" s="6">
        <f t="shared" si="23"/>
        <v>1.36193230701642</v>
      </c>
      <c r="O36" s="11"/>
      <c r="P36" s="7">
        <v>6451.5</v>
      </c>
      <c r="Q36" s="2"/>
      <c r="R36" s="6">
        <f t="shared" si="24"/>
        <v>0.44923094920274825</v>
      </c>
      <c r="S36" s="2"/>
      <c r="T36" s="7">
        <v>2731.45</v>
      </c>
      <c r="U36" s="2"/>
      <c r="V36" s="6">
        <f t="shared" si="25"/>
        <v>0.16317256524035165</v>
      </c>
      <c r="W36" s="2"/>
      <c r="X36" s="7">
        <f t="shared" si="26"/>
        <v>3720.05</v>
      </c>
      <c r="Y36" s="2"/>
      <c r="Z36" s="6">
        <f t="shared" si="27"/>
        <v>1.36193230701642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56" si="28">IF(D$12=0,0,D37/D$12)</f>
        <v>0</v>
      </c>
      <c r="G37" s="1"/>
      <c r="H37" s="1">
        <f>SUM(OSRRefH22_2x_0)</f>
        <v>48</v>
      </c>
      <c r="I37" s="1"/>
      <c r="J37" s="5">
        <f t="shared" ref="J37:J56" si="29">IF(H$12=0,0,H37/H$12)</f>
        <v>2.8674451780325025E-3</v>
      </c>
      <c r="K37" s="1"/>
      <c r="L37" s="1">
        <f t="shared" ref="L37:L56" si="30">+D37-H37</f>
        <v>-48</v>
      </c>
      <c r="M37" s="1"/>
      <c r="N37" s="5">
        <f t="shared" ref="N37:N56" si="31">IF(H37=0,0,L37/H37)</f>
        <v>-1</v>
      </c>
      <c r="O37" s="14"/>
      <c r="P37" s="1">
        <f>SUM(OSRRefP22_2x_0)</f>
        <v>0</v>
      </c>
      <c r="Q37" s="1"/>
      <c r="R37" s="5">
        <f t="shared" ref="R37:R56" si="32">IF(P$12=0,0,P37/P$12)</f>
        <v>0</v>
      </c>
      <c r="S37" s="1"/>
      <c r="T37" s="1">
        <f>SUM(OSRRefT22_2x_0)</f>
        <v>48</v>
      </c>
      <c r="U37" s="1"/>
      <c r="V37" s="5">
        <f t="shared" ref="V37:V56" si="33">IF(T$12=0,0,T37/T$12)</f>
        <v>2.8674451780325025E-3</v>
      </c>
      <c r="W37" s="1"/>
      <c r="X37" s="1">
        <f t="shared" ref="X37:X56" si="34">+P37-T37</f>
        <v>-48</v>
      </c>
      <c r="Y37" s="1"/>
      <c r="Z37" s="5">
        <f t="shared" ref="Z37:Z56" si="35">IF(T37=0,0,X37/T37)</f>
        <v>-1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8"/>
        <v>0</v>
      </c>
      <c r="G38" s="2"/>
      <c r="H38" s="7">
        <v>48</v>
      </c>
      <c r="I38" s="2"/>
      <c r="J38" s="6">
        <f t="shared" si="29"/>
        <v>2.8674451780325025E-3</v>
      </c>
      <c r="K38" s="2"/>
      <c r="L38" s="7">
        <f t="shared" si="30"/>
        <v>-48</v>
      </c>
      <c r="M38" s="2"/>
      <c r="N38" s="6">
        <f t="shared" si="31"/>
        <v>-1</v>
      </c>
      <c r="O38" s="11"/>
      <c r="P38" s="7"/>
      <c r="Q38" s="2"/>
      <c r="R38" s="6">
        <f t="shared" si="32"/>
        <v>0</v>
      </c>
      <c r="S38" s="2"/>
      <c r="T38" s="7">
        <v>48</v>
      </c>
      <c r="U38" s="2"/>
      <c r="V38" s="6">
        <f t="shared" si="33"/>
        <v>2.8674451780325025E-3</v>
      </c>
      <c r="W38" s="2"/>
      <c r="X38" s="7">
        <f t="shared" si="34"/>
        <v>-48</v>
      </c>
      <c r="Y38" s="2"/>
      <c r="Z38" s="6">
        <f t="shared" si="35"/>
        <v>-1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-11.34</v>
      </c>
      <c r="E39" s="1"/>
      <c r="F39" s="5">
        <f t="shared" si="28"/>
        <v>-7.8962705788718365E-4</v>
      </c>
      <c r="G39" s="1"/>
      <c r="H39" s="1">
        <f>SUM(OSRRefH22_3x_0)</f>
        <v>5.1100000000000003</v>
      </c>
      <c r="I39" s="1"/>
      <c r="J39" s="5">
        <f t="shared" si="29"/>
        <v>3.0526343457804354E-4</v>
      </c>
      <c r="K39" s="1"/>
      <c r="L39" s="1">
        <f t="shared" si="30"/>
        <v>-16.45</v>
      </c>
      <c r="M39" s="1"/>
      <c r="N39" s="5">
        <f t="shared" si="31"/>
        <v>-3.2191780821917804</v>
      </c>
      <c r="O39" s="14"/>
      <c r="P39" s="1">
        <f>SUM(OSRRefP22_3x_0)</f>
        <v>-11.34</v>
      </c>
      <c r="Q39" s="1"/>
      <c r="R39" s="5">
        <f t="shared" si="32"/>
        <v>-7.8962705788718365E-4</v>
      </c>
      <c r="S39" s="1"/>
      <c r="T39" s="1">
        <f>SUM(OSRRefT22_3x_0)</f>
        <v>5.1100000000000003</v>
      </c>
      <c r="U39" s="1"/>
      <c r="V39" s="5">
        <f t="shared" si="33"/>
        <v>3.0526343457804354E-4</v>
      </c>
      <c r="W39" s="1"/>
      <c r="X39" s="1">
        <f t="shared" si="34"/>
        <v>-16.45</v>
      </c>
      <c r="Y39" s="1"/>
      <c r="Z39" s="5">
        <f t="shared" si="35"/>
        <v>-3.2191780821917804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-11.34</v>
      </c>
      <c r="E40" s="2"/>
      <c r="F40" s="6">
        <f t="shared" si="28"/>
        <v>-7.8962705788718365E-4</v>
      </c>
      <c r="G40" s="2"/>
      <c r="H40" s="7">
        <v>5.1100000000000003</v>
      </c>
      <c r="I40" s="2"/>
      <c r="J40" s="6">
        <f t="shared" si="29"/>
        <v>3.0526343457804354E-4</v>
      </c>
      <c r="K40" s="2"/>
      <c r="L40" s="7">
        <f t="shared" si="30"/>
        <v>-16.45</v>
      </c>
      <c r="M40" s="2"/>
      <c r="N40" s="6">
        <f t="shared" si="31"/>
        <v>-3.2191780821917804</v>
      </c>
      <c r="O40" s="11"/>
      <c r="P40" s="7">
        <v>-11.34</v>
      </c>
      <c r="Q40" s="2"/>
      <c r="R40" s="6">
        <f t="shared" si="32"/>
        <v>-7.8962705788718365E-4</v>
      </c>
      <c r="S40" s="2"/>
      <c r="T40" s="7">
        <v>5.1100000000000003</v>
      </c>
      <c r="U40" s="2"/>
      <c r="V40" s="6">
        <f t="shared" si="33"/>
        <v>3.0526343457804354E-4</v>
      </c>
      <c r="W40" s="2"/>
      <c r="X40" s="7">
        <f t="shared" si="34"/>
        <v>-16.45</v>
      </c>
      <c r="Y40" s="2"/>
      <c r="Z40" s="6">
        <f t="shared" si="35"/>
        <v>-3.2191780821917804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359.26</v>
      </c>
      <c r="E41" s="1"/>
      <c r="F41" s="5">
        <f t="shared" si="28"/>
        <v>2.5015997955604021E-2</v>
      </c>
      <c r="G41" s="1"/>
      <c r="H41" s="1">
        <f>SUM(OSRRefH22_4x_0)</f>
        <v>340.93</v>
      </c>
      <c r="I41" s="1"/>
      <c r="J41" s="5">
        <f t="shared" si="29"/>
        <v>2.0366626761387941E-2</v>
      </c>
      <c r="K41" s="1"/>
      <c r="L41" s="1">
        <f t="shared" si="30"/>
        <v>18.329999999999984</v>
      </c>
      <c r="M41" s="1"/>
      <c r="N41" s="5">
        <f t="shared" si="31"/>
        <v>5.3764702431584148E-2</v>
      </c>
      <c r="O41" s="14"/>
      <c r="P41" s="1">
        <f>SUM(OSRRefP22_4x_0)</f>
        <v>359.26</v>
      </c>
      <c r="Q41" s="1"/>
      <c r="R41" s="5">
        <f t="shared" si="32"/>
        <v>2.5015997955604021E-2</v>
      </c>
      <c r="S41" s="1"/>
      <c r="T41" s="1">
        <f>SUM(OSRRefT22_4x_0)</f>
        <v>340.93</v>
      </c>
      <c r="U41" s="1"/>
      <c r="V41" s="5">
        <f t="shared" si="33"/>
        <v>2.0366626761387941E-2</v>
      </c>
      <c r="W41" s="1"/>
      <c r="X41" s="1">
        <f t="shared" si="34"/>
        <v>18.329999999999984</v>
      </c>
      <c r="Y41" s="1"/>
      <c r="Z41" s="5">
        <f t="shared" si="35"/>
        <v>5.3764702431584148E-2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359.26</v>
      </c>
      <c r="E42" s="2"/>
      <c r="F42" s="6">
        <f t="shared" si="28"/>
        <v>2.5015997955604021E-2</v>
      </c>
      <c r="G42" s="2"/>
      <c r="H42" s="7">
        <v>340.93</v>
      </c>
      <c r="I42" s="2"/>
      <c r="J42" s="6">
        <f t="shared" si="29"/>
        <v>2.0366626761387941E-2</v>
      </c>
      <c r="K42" s="2"/>
      <c r="L42" s="7">
        <f t="shared" si="30"/>
        <v>18.329999999999984</v>
      </c>
      <c r="M42" s="2"/>
      <c r="N42" s="6">
        <f t="shared" si="31"/>
        <v>5.3764702431584148E-2</v>
      </c>
      <c r="O42" s="11"/>
      <c r="P42" s="7">
        <v>359.26</v>
      </c>
      <c r="Q42" s="2"/>
      <c r="R42" s="6">
        <f t="shared" si="32"/>
        <v>2.5015997955604021E-2</v>
      </c>
      <c r="S42" s="2"/>
      <c r="T42" s="7">
        <v>340.93</v>
      </c>
      <c r="U42" s="2"/>
      <c r="V42" s="6">
        <f t="shared" si="33"/>
        <v>2.0366626761387941E-2</v>
      </c>
      <c r="W42" s="2"/>
      <c r="X42" s="7">
        <f t="shared" si="34"/>
        <v>18.329999999999984</v>
      </c>
      <c r="Y42" s="2"/>
      <c r="Z42" s="6">
        <f t="shared" si="35"/>
        <v>5.3764702431584148E-2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1857.58</v>
      </c>
      <c r="E43" s="1"/>
      <c r="F43" s="5">
        <f t="shared" si="28"/>
        <v>0.12934703969930111</v>
      </c>
      <c r="G43" s="1"/>
      <c r="H43" s="1">
        <f>SUM(OSRRefH22_5x_0)</f>
        <v>2114.62</v>
      </c>
      <c r="I43" s="1"/>
      <c r="J43" s="5">
        <f t="shared" si="29"/>
        <v>0.12632410254939772</v>
      </c>
      <c r="K43" s="1"/>
      <c r="L43" s="1">
        <f t="shared" si="30"/>
        <v>-257.03999999999996</v>
      </c>
      <c r="M43" s="1"/>
      <c r="N43" s="5">
        <f t="shared" si="31"/>
        <v>-0.12155375433884101</v>
      </c>
      <c r="O43" s="14"/>
      <c r="P43" s="1">
        <f>SUM(OSRRefP22_5x_0)</f>
        <v>1857.58</v>
      </c>
      <c r="Q43" s="1"/>
      <c r="R43" s="5">
        <f t="shared" si="32"/>
        <v>0.12934703969930111</v>
      </c>
      <c r="S43" s="1"/>
      <c r="T43" s="1">
        <f>SUM(OSRRefT22_5x_0)</f>
        <v>2114.62</v>
      </c>
      <c r="U43" s="1"/>
      <c r="V43" s="5">
        <f t="shared" si="33"/>
        <v>0.12632410254939772</v>
      </c>
      <c r="W43" s="1"/>
      <c r="X43" s="1">
        <f t="shared" si="34"/>
        <v>-257.03999999999996</v>
      </c>
      <c r="Y43" s="1"/>
      <c r="Z43" s="5">
        <f t="shared" si="35"/>
        <v>-0.12155375433884101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1857.58</v>
      </c>
      <c r="E44" s="2"/>
      <c r="F44" s="6">
        <f t="shared" si="28"/>
        <v>0.12934703969930111</v>
      </c>
      <c r="G44" s="2"/>
      <c r="H44" s="7">
        <v>2114.62</v>
      </c>
      <c r="I44" s="2"/>
      <c r="J44" s="6">
        <f t="shared" si="29"/>
        <v>0.12632410254939772</v>
      </c>
      <c r="K44" s="2"/>
      <c r="L44" s="7">
        <f t="shared" si="30"/>
        <v>-257.03999999999996</v>
      </c>
      <c r="M44" s="2"/>
      <c r="N44" s="6">
        <f t="shared" si="31"/>
        <v>-0.12155375433884101</v>
      </c>
      <c r="O44" s="11"/>
      <c r="P44" s="7">
        <v>1857.58</v>
      </c>
      <c r="Q44" s="2"/>
      <c r="R44" s="6">
        <f t="shared" si="32"/>
        <v>0.12934703969930111</v>
      </c>
      <c r="S44" s="2"/>
      <c r="T44" s="7">
        <v>2114.62</v>
      </c>
      <c r="U44" s="2"/>
      <c r="V44" s="6">
        <f t="shared" si="33"/>
        <v>0.12632410254939772</v>
      </c>
      <c r="W44" s="2"/>
      <c r="X44" s="7">
        <f t="shared" si="34"/>
        <v>-257.03999999999996</v>
      </c>
      <c r="Y44" s="2"/>
      <c r="Z44" s="6">
        <f t="shared" si="35"/>
        <v>-0.12155375433884101</v>
      </c>
    </row>
    <row r="45" spans="1:26" s="28" customFormat="1" outlineLevel="1" collapsed="1" x14ac:dyDescent="0.25">
      <c r="A45" s="27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61.8</v>
      </c>
      <c r="I45" s="1"/>
      <c r="J45" s="5">
        <f t="shared" si="29"/>
        <v>3.6918356667168467E-3</v>
      </c>
      <c r="K45" s="1"/>
      <c r="L45" s="1">
        <f t="shared" si="30"/>
        <v>-61.8</v>
      </c>
      <c r="M45" s="1"/>
      <c r="N45" s="5">
        <f t="shared" si="31"/>
        <v>-1</v>
      </c>
      <c r="O45" s="14"/>
      <c r="P45" s="1">
        <f>SUM(OSRRefP22_6x_0)</f>
        <v>0</v>
      </c>
      <c r="Q45" s="1"/>
      <c r="R45" s="5">
        <f t="shared" si="32"/>
        <v>0</v>
      </c>
      <c r="S45" s="1"/>
      <c r="T45" s="1">
        <f>SUM(OSRRefT22_6x_0)</f>
        <v>61.8</v>
      </c>
      <c r="U45" s="1"/>
      <c r="V45" s="5">
        <f t="shared" si="33"/>
        <v>3.6918356667168467E-3</v>
      </c>
      <c r="W45" s="1"/>
      <c r="X45" s="1">
        <f t="shared" si="34"/>
        <v>-61.8</v>
      </c>
      <c r="Y45" s="1"/>
      <c r="Z45" s="5">
        <f t="shared" si="35"/>
        <v>-1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8"/>
        <v>0</v>
      </c>
      <c r="G46" s="2"/>
      <c r="H46" s="7">
        <v>61.8</v>
      </c>
      <c r="I46" s="2"/>
      <c r="J46" s="6">
        <f t="shared" si="29"/>
        <v>3.6918356667168467E-3</v>
      </c>
      <c r="K46" s="2"/>
      <c r="L46" s="7">
        <f t="shared" si="30"/>
        <v>-61.8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61.8</v>
      </c>
      <c r="U46" s="2"/>
      <c r="V46" s="6">
        <f t="shared" si="33"/>
        <v>3.6918356667168467E-3</v>
      </c>
      <c r="W46" s="2"/>
      <c r="X46" s="7">
        <f t="shared" si="34"/>
        <v>-61.8</v>
      </c>
      <c r="Y46" s="2"/>
      <c r="Z46" s="6">
        <f t="shared" si="35"/>
        <v>-1</v>
      </c>
    </row>
    <row r="47" spans="1:26" s="28" customFormat="1" outlineLevel="1" collapsed="1" x14ac:dyDescent="0.25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SUM(OSRRefD22_7x_0)</f>
        <v>744.8</v>
      </c>
      <c r="E47" s="1"/>
      <c r="F47" s="5">
        <f t="shared" si="28"/>
        <v>5.1861925283454527E-2</v>
      </c>
      <c r="G47" s="1"/>
      <c r="H47" s="1">
        <f>SUM(OSRRefH22_7x_0)</f>
        <v>724.2</v>
      </c>
      <c r="I47" s="1"/>
      <c r="J47" s="5">
        <f t="shared" si="29"/>
        <v>4.3262579123565383E-2</v>
      </c>
      <c r="K47" s="1"/>
      <c r="L47" s="1">
        <f t="shared" si="30"/>
        <v>20.599999999999909</v>
      </c>
      <c r="M47" s="1"/>
      <c r="N47" s="5">
        <f t="shared" si="31"/>
        <v>2.8445180889256984E-2</v>
      </c>
      <c r="O47" s="14"/>
      <c r="P47" s="1">
        <f>SUM(OSRRefP22_7x_0)</f>
        <v>744.8</v>
      </c>
      <c r="Q47" s="1"/>
      <c r="R47" s="5">
        <f t="shared" si="32"/>
        <v>5.1861925283454527E-2</v>
      </c>
      <c r="S47" s="1"/>
      <c r="T47" s="1">
        <f>SUM(OSRRefT22_7x_0)</f>
        <v>724.2</v>
      </c>
      <c r="U47" s="1"/>
      <c r="V47" s="5">
        <f t="shared" si="33"/>
        <v>4.3262579123565383E-2</v>
      </c>
      <c r="W47" s="1"/>
      <c r="X47" s="1">
        <f t="shared" si="34"/>
        <v>20.599999999999909</v>
      </c>
      <c r="Y47" s="1"/>
      <c r="Z47" s="5">
        <f t="shared" si="35"/>
        <v>2.8445180889256984E-2</v>
      </c>
    </row>
    <row r="48" spans="1:26" s="24" customFormat="1" hidden="1" outlineLevel="2" x14ac:dyDescent="0.25">
      <c r="A48" s="29"/>
      <c r="B48" s="11" t="str">
        <f>CONCATENATE("          ", "6279", " - ", "GENERAL EXPENSE")</f>
        <v xml:space="preserve">          6279 - GENERAL EXPENSE</v>
      </c>
      <c r="C48" s="11"/>
      <c r="D48" s="7">
        <v>744.8</v>
      </c>
      <c r="E48" s="2"/>
      <c r="F48" s="6">
        <f t="shared" si="28"/>
        <v>5.1861925283454527E-2</v>
      </c>
      <c r="G48" s="2"/>
      <c r="H48" s="7">
        <v>724.2</v>
      </c>
      <c r="I48" s="2"/>
      <c r="J48" s="6">
        <f t="shared" si="29"/>
        <v>4.3262579123565383E-2</v>
      </c>
      <c r="K48" s="2"/>
      <c r="L48" s="7">
        <f t="shared" si="30"/>
        <v>20.599999999999909</v>
      </c>
      <c r="M48" s="2"/>
      <c r="N48" s="6">
        <f t="shared" si="31"/>
        <v>2.8445180889256984E-2</v>
      </c>
      <c r="O48" s="11"/>
      <c r="P48" s="7">
        <v>744.8</v>
      </c>
      <c r="Q48" s="2"/>
      <c r="R48" s="6">
        <f t="shared" si="32"/>
        <v>5.1861925283454527E-2</v>
      </c>
      <c r="S48" s="2"/>
      <c r="T48" s="7">
        <v>724.2</v>
      </c>
      <c r="U48" s="2"/>
      <c r="V48" s="6">
        <f t="shared" si="33"/>
        <v>4.3262579123565383E-2</v>
      </c>
      <c r="W48" s="2"/>
      <c r="X48" s="7">
        <f t="shared" si="34"/>
        <v>20.599999999999909</v>
      </c>
      <c r="Y48" s="2"/>
      <c r="Z48" s="6">
        <f t="shared" si="35"/>
        <v>2.8445180889256984E-2</v>
      </c>
    </row>
    <row r="49" spans="1:26" s="28" customFormat="1" outlineLevel="1" collapsed="1" x14ac:dyDescent="0.25">
      <c r="A49" s="27"/>
      <c r="B49" s="14" t="str">
        <f>CONCATENATE("     ","Rent                                              ")</f>
        <v xml:space="preserve">     Rent                                              </v>
      </c>
      <c r="C49" s="14"/>
      <c r="D49" s="1">
        <f>SUM(OSRRefD22_8x_0)</f>
        <v>1150</v>
      </c>
      <c r="E49" s="1"/>
      <c r="F49" s="5">
        <f t="shared" si="28"/>
        <v>8.0076818039705566E-2</v>
      </c>
      <c r="G49" s="1"/>
      <c r="H49" s="1">
        <f>SUM(OSRRefH22_8x_0)</f>
        <v>1150</v>
      </c>
      <c r="I49" s="1"/>
      <c r="J49" s="5">
        <f t="shared" si="29"/>
        <v>6.8699207390362046E-2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SUM(OSRRefP22_8x_0)</f>
        <v>1150</v>
      </c>
      <c r="Q49" s="1"/>
      <c r="R49" s="5">
        <f t="shared" si="32"/>
        <v>8.0076818039705566E-2</v>
      </c>
      <c r="S49" s="1"/>
      <c r="T49" s="1">
        <f>SUM(OSRRefT22_8x_0)</f>
        <v>1150</v>
      </c>
      <c r="U49" s="1"/>
      <c r="V49" s="5">
        <f t="shared" si="33"/>
        <v>6.8699207390362046E-2</v>
      </c>
      <c r="W49" s="1"/>
      <c r="X49" s="1">
        <f t="shared" si="34"/>
        <v>0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"6273", " - ", "RENT")</f>
        <v xml:space="preserve">          6273 - RENT</v>
      </c>
      <c r="C50" s="11"/>
      <c r="D50" s="7">
        <v>1150</v>
      </c>
      <c r="E50" s="2"/>
      <c r="F50" s="6">
        <f t="shared" si="28"/>
        <v>8.0076818039705566E-2</v>
      </c>
      <c r="G50" s="2"/>
      <c r="H50" s="7">
        <v>1150</v>
      </c>
      <c r="I50" s="2"/>
      <c r="J50" s="6">
        <f t="shared" si="29"/>
        <v>6.8699207390362046E-2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1150</v>
      </c>
      <c r="Q50" s="2"/>
      <c r="R50" s="6">
        <f t="shared" si="32"/>
        <v>8.0076818039705566E-2</v>
      </c>
      <c r="S50" s="2"/>
      <c r="T50" s="7">
        <v>1150</v>
      </c>
      <c r="U50" s="2"/>
      <c r="V50" s="6">
        <f t="shared" si="33"/>
        <v>6.8699207390362046E-2</v>
      </c>
      <c r="W50" s="2"/>
      <c r="X50" s="7">
        <f t="shared" si="34"/>
        <v>0</v>
      </c>
      <c r="Y50" s="2"/>
      <c r="Z50" s="6">
        <f t="shared" si="35"/>
        <v>0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SUM(OSRRefD22_9x_0)</f>
        <v>640.13</v>
      </c>
      <c r="E51" s="1"/>
      <c r="F51" s="5">
        <f t="shared" si="28"/>
        <v>4.4573542201527587E-2</v>
      </c>
      <c r="G51" s="1"/>
      <c r="H51" s="1">
        <f>SUM(OSRRefH22_9x_0)</f>
        <v>90.11</v>
      </c>
      <c r="I51" s="1"/>
      <c r="J51" s="5">
        <f t="shared" si="29"/>
        <v>5.3830309373439338E-3</v>
      </c>
      <c r="K51" s="1"/>
      <c r="L51" s="1">
        <f t="shared" si="30"/>
        <v>550.02</v>
      </c>
      <c r="M51" s="1"/>
      <c r="N51" s="5">
        <f t="shared" si="31"/>
        <v>6.1038730440572628</v>
      </c>
      <c r="O51" s="14"/>
      <c r="P51" s="1">
        <f>SUM(OSRRefP22_9x_0)</f>
        <v>640.13</v>
      </c>
      <c r="Q51" s="1"/>
      <c r="R51" s="5">
        <f t="shared" si="32"/>
        <v>4.4573542201527587E-2</v>
      </c>
      <c r="S51" s="1"/>
      <c r="T51" s="1">
        <f>SUM(OSRRefT22_9x_0)</f>
        <v>90.11</v>
      </c>
      <c r="U51" s="1"/>
      <c r="V51" s="5">
        <f t="shared" si="33"/>
        <v>5.3830309373439338E-3</v>
      </c>
      <c r="W51" s="1"/>
      <c r="X51" s="1">
        <f t="shared" si="34"/>
        <v>550.02</v>
      </c>
      <c r="Y51" s="1"/>
      <c r="Z51" s="5">
        <f t="shared" si="35"/>
        <v>6.1038730440572628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640.13</v>
      </c>
      <c r="E52" s="2"/>
      <c r="F52" s="6">
        <f t="shared" si="28"/>
        <v>4.4573542201527587E-2</v>
      </c>
      <c r="G52" s="2"/>
      <c r="H52" s="7">
        <v>90.11</v>
      </c>
      <c r="I52" s="2"/>
      <c r="J52" s="6">
        <f t="shared" si="29"/>
        <v>5.3830309373439338E-3</v>
      </c>
      <c r="K52" s="2"/>
      <c r="L52" s="7">
        <f t="shared" si="30"/>
        <v>550.02</v>
      </c>
      <c r="M52" s="2"/>
      <c r="N52" s="6">
        <f t="shared" si="31"/>
        <v>6.1038730440572628</v>
      </c>
      <c r="O52" s="11"/>
      <c r="P52" s="7">
        <v>640.13</v>
      </c>
      <c r="Q52" s="2"/>
      <c r="R52" s="6">
        <f t="shared" si="32"/>
        <v>4.4573542201527587E-2</v>
      </c>
      <c r="S52" s="2"/>
      <c r="T52" s="7">
        <v>90.11</v>
      </c>
      <c r="U52" s="2"/>
      <c r="V52" s="6">
        <f t="shared" si="33"/>
        <v>5.3830309373439338E-3</v>
      </c>
      <c r="W52" s="2"/>
      <c r="X52" s="7">
        <f t="shared" si="34"/>
        <v>550.02</v>
      </c>
      <c r="Y52" s="2"/>
      <c r="Z52" s="6">
        <f t="shared" si="35"/>
        <v>6.1038730440572628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414.45</v>
      </c>
      <c r="E53" s="1"/>
      <c r="F53" s="5">
        <f t="shared" si="28"/>
        <v>2.8858988901353022E-2</v>
      </c>
      <c r="G53" s="1"/>
      <c r="H53" s="1">
        <f>SUM(OSRRefH22_10x_0)</f>
        <v>525.51</v>
      </c>
      <c r="I53" s="1"/>
      <c r="J53" s="5">
        <f t="shared" si="29"/>
        <v>3.1393148239747093E-2</v>
      </c>
      <c r="K53" s="1"/>
      <c r="L53" s="1">
        <f t="shared" si="30"/>
        <v>-111.06</v>
      </c>
      <c r="M53" s="1"/>
      <c r="N53" s="5">
        <f t="shared" si="31"/>
        <v>-0.21133755780099334</v>
      </c>
      <c r="O53" s="14"/>
      <c r="P53" s="1">
        <f>SUM(OSRRefP22_10x_0)</f>
        <v>414.45</v>
      </c>
      <c r="Q53" s="1"/>
      <c r="R53" s="5">
        <f t="shared" si="32"/>
        <v>2.8858988901353022E-2</v>
      </c>
      <c r="S53" s="1"/>
      <c r="T53" s="1">
        <f>SUM(OSRRefT22_10x_0)</f>
        <v>525.51</v>
      </c>
      <c r="U53" s="1"/>
      <c r="V53" s="5">
        <f t="shared" si="33"/>
        <v>3.1393148239747093E-2</v>
      </c>
      <c r="W53" s="1"/>
      <c r="X53" s="1">
        <f t="shared" si="34"/>
        <v>-111.06</v>
      </c>
      <c r="Y53" s="1"/>
      <c r="Z53" s="5">
        <f t="shared" si="35"/>
        <v>-0.21133755780099334</v>
      </c>
    </row>
    <row r="54" spans="1:26" s="24" customFormat="1" hidden="1" outlineLevel="2" x14ac:dyDescent="0.25">
      <c r="A54" s="29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116.81</v>
      </c>
      <c r="E54" s="2"/>
      <c r="F54" s="6">
        <f t="shared" si="28"/>
        <v>8.1337157523634854E-3</v>
      </c>
      <c r="G54" s="2"/>
      <c r="H54" s="7">
        <v>116.81</v>
      </c>
      <c r="I54" s="2"/>
      <c r="J54" s="6">
        <f t="shared" si="29"/>
        <v>6.9780473176245129E-3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116.81</v>
      </c>
      <c r="Q54" s="2"/>
      <c r="R54" s="6">
        <f t="shared" si="32"/>
        <v>8.1337157523634854E-3</v>
      </c>
      <c r="S54" s="2"/>
      <c r="T54" s="7">
        <v>116.81</v>
      </c>
      <c r="U54" s="2"/>
      <c r="V54" s="6">
        <f t="shared" si="33"/>
        <v>6.9780473176245129E-3</v>
      </c>
      <c r="W54" s="2"/>
      <c r="X54" s="7">
        <f t="shared" si="34"/>
        <v>0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7"/>
      <c r="E55" s="2"/>
      <c r="F55" s="6">
        <f t="shared" si="28"/>
        <v>0</v>
      </c>
      <c r="G55" s="2"/>
      <c r="H55" s="7">
        <v>70.25</v>
      </c>
      <c r="I55" s="2"/>
      <c r="J55" s="6">
        <f t="shared" si="29"/>
        <v>4.1966254949329859E-3</v>
      </c>
      <c r="K55" s="2"/>
      <c r="L55" s="7">
        <f t="shared" si="30"/>
        <v>-70.25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70.25</v>
      </c>
      <c r="U55" s="2"/>
      <c r="V55" s="6">
        <f t="shared" si="33"/>
        <v>4.1966254949329859E-3</v>
      </c>
      <c r="W55" s="2"/>
      <c r="X55" s="7">
        <f t="shared" si="34"/>
        <v>-70.25</v>
      </c>
      <c r="Y55" s="2"/>
      <c r="Z55" s="6">
        <f t="shared" si="35"/>
        <v>-1</v>
      </c>
    </row>
    <row r="56" spans="1:26" s="24" customFormat="1" hidden="1" outlineLevel="2" x14ac:dyDescent="0.25">
      <c r="A56" s="29"/>
      <c r="B56" s="11" t="str">
        <f>CONCATENATE("          ", "6286", " - ", "LAUNDRY EXPENSE")</f>
        <v xml:space="preserve">          6286 - LAUNDRY EXPENSE</v>
      </c>
      <c r="C56" s="11"/>
      <c r="D56" s="7">
        <v>297.64</v>
      </c>
      <c r="E56" s="2"/>
      <c r="F56" s="6">
        <f t="shared" si="28"/>
        <v>2.0725273148989535E-2</v>
      </c>
      <c r="G56" s="2"/>
      <c r="H56" s="7">
        <v>338.45</v>
      </c>
      <c r="I56" s="2"/>
      <c r="J56" s="6">
        <f t="shared" si="29"/>
        <v>2.0218475427189592E-2</v>
      </c>
      <c r="K56" s="2"/>
      <c r="L56" s="7">
        <f t="shared" si="30"/>
        <v>-40.81</v>
      </c>
      <c r="M56" s="2"/>
      <c r="N56" s="6">
        <f t="shared" si="31"/>
        <v>-0.1205791106514995</v>
      </c>
      <c r="O56" s="11"/>
      <c r="P56" s="7">
        <v>297.64</v>
      </c>
      <c r="Q56" s="2"/>
      <c r="R56" s="6">
        <f t="shared" si="32"/>
        <v>2.0725273148989535E-2</v>
      </c>
      <c r="S56" s="2"/>
      <c r="T56" s="7">
        <v>338.45</v>
      </c>
      <c r="U56" s="2"/>
      <c r="V56" s="6">
        <f t="shared" si="33"/>
        <v>2.0218475427189592E-2</v>
      </c>
      <c r="W56" s="2"/>
      <c r="X56" s="7">
        <f t="shared" si="34"/>
        <v>-40.81</v>
      </c>
      <c r="Y56" s="2"/>
      <c r="Z56" s="6">
        <f t="shared" si="35"/>
        <v>-0.1205791106514995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1103.8899999999999</v>
      </c>
      <c r="E57" s="1"/>
      <c r="F57" s="5">
        <f t="shared" ref="F57:F61" si="36">IF(D$12=0,0,D57/D$12)</f>
        <v>7.68660857963918E-2</v>
      </c>
      <c r="G57" s="1"/>
      <c r="H57" s="1">
        <f>SUM(OSRRefH22_11x_0)</f>
        <v>602.85</v>
      </c>
      <c r="I57" s="1"/>
      <c r="J57" s="5">
        <f t="shared" ref="J57:J61" si="37">IF(H$12=0,0,H57/H$12)</f>
        <v>3.6013319282851966E-2</v>
      </c>
      <c r="K57" s="1"/>
      <c r="L57" s="1">
        <f t="shared" ref="L57:L61" si="38">+D57-H57</f>
        <v>501.03999999999985</v>
      </c>
      <c r="M57" s="1"/>
      <c r="N57" s="5">
        <f t="shared" ref="N57:N61" si="39">IF(H57=0,0,L57/H57)</f>
        <v>0.83111885211910064</v>
      </c>
      <c r="O57" s="14"/>
      <c r="P57" s="1">
        <f>SUM(OSRRefP22_11x_0)</f>
        <v>1103.8899999999999</v>
      </c>
      <c r="Q57" s="1"/>
      <c r="R57" s="5">
        <f t="shared" ref="R57:R61" si="40">IF(P$12=0,0,P57/P$12)</f>
        <v>7.68660857963918E-2</v>
      </c>
      <c r="S57" s="1"/>
      <c r="T57" s="1">
        <f>SUM(OSRRefT22_11x_0)</f>
        <v>602.85</v>
      </c>
      <c r="U57" s="1"/>
      <c r="V57" s="5">
        <f t="shared" ref="V57:V61" si="41">IF(T$12=0,0,T57/T$12)</f>
        <v>3.6013319282851966E-2</v>
      </c>
      <c r="W57" s="1"/>
      <c r="X57" s="1">
        <f t="shared" ref="X57:X61" si="42">+P57-T57</f>
        <v>501.03999999999985</v>
      </c>
      <c r="Y57" s="1"/>
      <c r="Z57" s="5">
        <f t="shared" ref="Z57:Z61" si="43">IF(T57=0,0,X57/T57)</f>
        <v>0.83111885211910064</v>
      </c>
    </row>
    <row r="58" spans="1:26" s="24" customFormat="1" hidden="1" outlineLevel="2" x14ac:dyDescent="0.25">
      <c r="A58" s="29"/>
      <c r="B58" s="11" t="str">
        <f>CONCATENATE("          ", "6237", " - ", "JANITORIAL SUPPLIES")</f>
        <v xml:space="preserve">          6237 - JANITORIAL SUPPLIES</v>
      </c>
      <c r="C58" s="11"/>
      <c r="D58" s="7">
        <v>24.25</v>
      </c>
      <c r="E58" s="2"/>
      <c r="F58" s="6">
        <f t="shared" si="36"/>
        <v>1.6885763804024871E-3</v>
      </c>
      <c r="G58" s="2"/>
      <c r="H58" s="7">
        <v>194.23</v>
      </c>
      <c r="I58" s="2"/>
      <c r="J58" s="6">
        <f t="shared" si="37"/>
        <v>1.1602997436026103E-2</v>
      </c>
      <c r="K58" s="2"/>
      <c r="L58" s="7">
        <f t="shared" si="38"/>
        <v>-169.98</v>
      </c>
      <c r="M58" s="2"/>
      <c r="N58" s="6">
        <f t="shared" si="39"/>
        <v>-0.8751480203881995</v>
      </c>
      <c r="O58" s="11"/>
      <c r="P58" s="7">
        <v>24.25</v>
      </c>
      <c r="Q58" s="2"/>
      <c r="R58" s="6">
        <f t="shared" si="40"/>
        <v>1.6885763804024871E-3</v>
      </c>
      <c r="S58" s="2"/>
      <c r="T58" s="7">
        <v>194.23</v>
      </c>
      <c r="U58" s="2"/>
      <c r="V58" s="6">
        <f t="shared" si="41"/>
        <v>1.1602997436026103E-2</v>
      </c>
      <c r="W58" s="2"/>
      <c r="X58" s="7">
        <f t="shared" si="42"/>
        <v>-169.98</v>
      </c>
      <c r="Y58" s="2"/>
      <c r="Z58" s="6">
        <f t="shared" si="43"/>
        <v>-0.8751480203881995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7">
        <v>195.21</v>
      </c>
      <c r="E59" s="2"/>
      <c r="F59" s="6">
        <f t="shared" si="36"/>
        <v>1.3592865782200805E-2</v>
      </c>
      <c r="G59" s="2"/>
      <c r="H59" s="7">
        <v>232.77</v>
      </c>
      <c r="I59" s="2"/>
      <c r="J59" s="6">
        <f t="shared" si="37"/>
        <v>1.3905316960221369E-2</v>
      </c>
      <c r="K59" s="2"/>
      <c r="L59" s="7">
        <f t="shared" si="38"/>
        <v>-37.56</v>
      </c>
      <c r="M59" s="2"/>
      <c r="N59" s="6">
        <f t="shared" si="39"/>
        <v>-0.1613610001288826</v>
      </c>
      <c r="O59" s="11"/>
      <c r="P59" s="7">
        <v>195.21</v>
      </c>
      <c r="Q59" s="2"/>
      <c r="R59" s="6">
        <f t="shared" si="40"/>
        <v>1.3592865782200805E-2</v>
      </c>
      <c r="S59" s="2"/>
      <c r="T59" s="7">
        <v>232.77</v>
      </c>
      <c r="U59" s="2"/>
      <c r="V59" s="6">
        <f t="shared" si="41"/>
        <v>1.3905316960221369E-2</v>
      </c>
      <c r="W59" s="2"/>
      <c r="X59" s="7">
        <f t="shared" si="42"/>
        <v>-37.56</v>
      </c>
      <c r="Y59" s="2"/>
      <c r="Z59" s="6">
        <f t="shared" si="43"/>
        <v>-0.1613610001288826</v>
      </c>
    </row>
    <row r="60" spans="1:26" s="24" customFormat="1" hidden="1" outlineLevel="2" x14ac:dyDescent="0.25">
      <c r="A60" s="29"/>
      <c r="B60" s="11" t="str">
        <f>CONCATENATE("          ", "6243", " - ", "PAPER SUPPLIES")</f>
        <v xml:space="preserve">          6243 - PAPER SUPPLIES</v>
      </c>
      <c r="C60" s="11"/>
      <c r="D60" s="7"/>
      <c r="E60" s="2"/>
      <c r="F60" s="6">
        <f t="shared" si="36"/>
        <v>0</v>
      </c>
      <c r="G60" s="2"/>
      <c r="H60" s="7">
        <v>45.85</v>
      </c>
      <c r="I60" s="2"/>
      <c r="J60" s="6">
        <f t="shared" si="37"/>
        <v>2.73900752943313E-3</v>
      </c>
      <c r="K60" s="2"/>
      <c r="L60" s="7">
        <f t="shared" si="38"/>
        <v>-45.85</v>
      </c>
      <c r="M60" s="2"/>
      <c r="N60" s="6">
        <f t="shared" si="39"/>
        <v>-1</v>
      </c>
      <c r="O60" s="11"/>
      <c r="P60" s="7"/>
      <c r="Q60" s="2"/>
      <c r="R60" s="6">
        <f t="shared" si="40"/>
        <v>0</v>
      </c>
      <c r="S60" s="2"/>
      <c r="T60" s="7">
        <v>45.85</v>
      </c>
      <c r="U60" s="2"/>
      <c r="V60" s="6">
        <f t="shared" si="41"/>
        <v>2.73900752943313E-3</v>
      </c>
      <c r="W60" s="2"/>
      <c r="X60" s="7">
        <f t="shared" si="42"/>
        <v>-45.85</v>
      </c>
      <c r="Y60" s="2"/>
      <c r="Z60" s="6">
        <f t="shared" si="43"/>
        <v>-1</v>
      </c>
    </row>
    <row r="61" spans="1:26" s="24" customFormat="1" hidden="1" outlineLevel="2" x14ac:dyDescent="0.25">
      <c r="A61" s="29"/>
      <c r="B61" s="11" t="str">
        <f>CONCATENATE("          ", "6247", " - ", "STORE SUPPLIES")</f>
        <v xml:space="preserve">          6247 - STORE SUPPLIES</v>
      </c>
      <c r="C61" s="11"/>
      <c r="D61" s="7">
        <v>884.43</v>
      </c>
      <c r="E61" s="2"/>
      <c r="F61" s="6">
        <f t="shared" si="36"/>
        <v>6.1584643633788516E-2</v>
      </c>
      <c r="G61" s="2"/>
      <c r="H61" s="7">
        <v>130</v>
      </c>
      <c r="I61" s="2"/>
      <c r="J61" s="6">
        <f t="shared" si="37"/>
        <v>7.7659973571713612E-3</v>
      </c>
      <c r="K61" s="2"/>
      <c r="L61" s="7">
        <f t="shared" si="38"/>
        <v>754.43</v>
      </c>
      <c r="M61" s="2"/>
      <c r="N61" s="6">
        <f t="shared" si="39"/>
        <v>5.8033076923076923</v>
      </c>
      <c r="O61" s="11"/>
      <c r="P61" s="7">
        <v>884.43</v>
      </c>
      <c r="Q61" s="2"/>
      <c r="R61" s="6">
        <f t="shared" si="40"/>
        <v>6.1584643633788516E-2</v>
      </c>
      <c r="S61" s="2"/>
      <c r="T61" s="7">
        <v>130</v>
      </c>
      <c r="U61" s="2"/>
      <c r="V61" s="6">
        <f t="shared" si="41"/>
        <v>7.7659973571713612E-3</v>
      </c>
      <c r="W61" s="2"/>
      <c r="X61" s="7">
        <f t="shared" si="42"/>
        <v>754.43</v>
      </c>
      <c r="Y61" s="2"/>
      <c r="Z61" s="6">
        <f t="shared" si="43"/>
        <v>5.8033076923076923</v>
      </c>
    </row>
    <row r="62" spans="1:26" s="28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SUM(OSRRefD22_12x_0)</f>
        <v>12</v>
      </c>
      <c r="E62" s="1"/>
      <c r="F62" s="5">
        <f t="shared" ref="F62:F65" si="44">IF(D$12=0,0,D62/D$12)</f>
        <v>8.3558418824040601E-4</v>
      </c>
      <c r="G62" s="1"/>
      <c r="H62" s="1">
        <f>SUM(OSRRefH22_12x_0)</f>
        <v>12</v>
      </c>
      <c r="I62" s="1"/>
      <c r="J62" s="5">
        <f t="shared" ref="J62:J65" si="45">IF(H$12=0,0,H62/H$12)</f>
        <v>7.1686129450812563E-4</v>
      </c>
      <c r="K62" s="1"/>
      <c r="L62" s="1">
        <f t="shared" ref="L62:L65" si="46">+D62-H62</f>
        <v>0</v>
      </c>
      <c r="M62" s="1"/>
      <c r="N62" s="5">
        <f t="shared" ref="N62:N65" si="47">IF(H62=0,0,L62/H62)</f>
        <v>0</v>
      </c>
      <c r="O62" s="14"/>
      <c r="P62" s="1">
        <f>SUM(OSRRefP22_12x_0)</f>
        <v>12</v>
      </c>
      <c r="Q62" s="1"/>
      <c r="R62" s="5">
        <f t="shared" ref="R62:R65" si="48">IF(P$12=0,0,P62/P$12)</f>
        <v>8.3558418824040601E-4</v>
      </c>
      <c r="S62" s="1"/>
      <c r="T62" s="1">
        <f>SUM(OSRRefT22_12x_0)</f>
        <v>12</v>
      </c>
      <c r="U62" s="1"/>
      <c r="V62" s="5">
        <f t="shared" ref="V62:V65" si="49">IF(T$12=0,0,T62/T$12)</f>
        <v>7.1686129450812563E-4</v>
      </c>
      <c r="W62" s="1"/>
      <c r="X62" s="1">
        <f t="shared" ref="X62:X65" si="50">+P62-T62</f>
        <v>0</v>
      </c>
      <c r="Y62" s="1"/>
      <c r="Z62" s="5">
        <f t="shared" ref="Z62:Z65" si="51">IF(T62=0,0,X62/T62)</f>
        <v>0</v>
      </c>
    </row>
    <row r="63" spans="1:26" s="24" customFormat="1" hidden="1" outlineLevel="2" x14ac:dyDescent="0.25">
      <c r="A63" s="29"/>
      <c r="B63" s="11" t="str">
        <f>CONCATENATE("          ", "6309", " - ", "TELEPHONE")</f>
        <v xml:space="preserve">          6309 - TELEPHONE</v>
      </c>
      <c r="C63" s="11"/>
      <c r="D63" s="7">
        <v>12</v>
      </c>
      <c r="E63" s="2"/>
      <c r="F63" s="6">
        <f t="shared" si="44"/>
        <v>8.3558418824040601E-4</v>
      </c>
      <c r="G63" s="2"/>
      <c r="H63" s="7">
        <v>12</v>
      </c>
      <c r="I63" s="2"/>
      <c r="J63" s="6">
        <f t="shared" si="45"/>
        <v>7.1686129450812563E-4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12</v>
      </c>
      <c r="Q63" s="2"/>
      <c r="R63" s="6">
        <f t="shared" si="48"/>
        <v>8.3558418824040601E-4</v>
      </c>
      <c r="S63" s="2"/>
      <c r="T63" s="7">
        <v>12</v>
      </c>
      <c r="U63" s="2"/>
      <c r="V63" s="6">
        <f t="shared" si="49"/>
        <v>7.1686129450812563E-4</v>
      </c>
      <c r="W63" s="2"/>
      <c r="X63" s="7">
        <f t="shared" si="50"/>
        <v>0</v>
      </c>
      <c r="Y63" s="2"/>
      <c r="Z63" s="6">
        <f t="shared" si="51"/>
        <v>0</v>
      </c>
    </row>
    <row r="64" spans="1:26" s="28" customFormat="1" outlineLevel="1" collapsed="1" x14ac:dyDescent="0.25">
      <c r="A64" s="27"/>
      <c r="B64" s="14" t="str">
        <f>CONCATENATE("     ","Utilities                                         ")</f>
        <v xml:space="preserve">     Utilities                                         </v>
      </c>
      <c r="C64" s="14"/>
      <c r="D64" s="1">
        <f>SUM(OSRRefD22_13x_0)</f>
        <v>182</v>
      </c>
      <c r="E64" s="1"/>
      <c r="F64" s="5">
        <f t="shared" si="44"/>
        <v>1.267302685497949E-2</v>
      </c>
      <c r="G64" s="1"/>
      <c r="H64" s="1">
        <f>SUM(OSRRefH22_13x_0)</f>
        <v>205</v>
      </c>
      <c r="I64" s="1"/>
      <c r="J64" s="5">
        <f t="shared" si="45"/>
        <v>1.2246380447847146E-2</v>
      </c>
      <c r="K64" s="1"/>
      <c r="L64" s="1">
        <f t="shared" si="46"/>
        <v>-23</v>
      </c>
      <c r="M64" s="1"/>
      <c r="N64" s="5">
        <f t="shared" si="47"/>
        <v>-0.11219512195121951</v>
      </c>
      <c r="O64" s="14"/>
      <c r="P64" s="1">
        <f>SUM(OSRRefP22_13x_0)</f>
        <v>182</v>
      </c>
      <c r="Q64" s="1"/>
      <c r="R64" s="5">
        <f t="shared" si="48"/>
        <v>1.267302685497949E-2</v>
      </c>
      <c r="S64" s="1"/>
      <c r="T64" s="1">
        <f>SUM(OSRRefT22_13x_0)</f>
        <v>205</v>
      </c>
      <c r="U64" s="1"/>
      <c r="V64" s="5">
        <f t="shared" si="49"/>
        <v>1.2246380447847146E-2</v>
      </c>
      <c r="W64" s="1"/>
      <c r="X64" s="1">
        <f t="shared" si="50"/>
        <v>-23</v>
      </c>
      <c r="Y64" s="1"/>
      <c r="Z64" s="5">
        <f t="shared" si="51"/>
        <v>-0.11219512195121951</v>
      </c>
    </row>
    <row r="65" spans="1:26" s="24" customFormat="1" hidden="1" outlineLevel="2" x14ac:dyDescent="0.25">
      <c r="A65" s="29"/>
      <c r="B65" s="11" t="str">
        <f>CONCATENATE("          ", "6274", " - ", "UTILITIES")</f>
        <v xml:space="preserve">          6274 - UTILITIES</v>
      </c>
      <c r="C65" s="11"/>
      <c r="D65" s="7">
        <v>182</v>
      </c>
      <c r="E65" s="2"/>
      <c r="F65" s="6">
        <f t="shared" si="44"/>
        <v>1.267302685497949E-2</v>
      </c>
      <c r="G65" s="2"/>
      <c r="H65" s="7">
        <v>205</v>
      </c>
      <c r="I65" s="2"/>
      <c r="J65" s="6">
        <f t="shared" si="45"/>
        <v>1.2246380447847146E-2</v>
      </c>
      <c r="K65" s="2"/>
      <c r="L65" s="7">
        <f t="shared" si="46"/>
        <v>-23</v>
      </c>
      <c r="M65" s="2"/>
      <c r="N65" s="6">
        <f t="shared" si="47"/>
        <v>-0.11219512195121951</v>
      </c>
      <c r="O65" s="11"/>
      <c r="P65" s="7">
        <v>182</v>
      </c>
      <c r="Q65" s="2"/>
      <c r="R65" s="6">
        <f t="shared" si="48"/>
        <v>1.267302685497949E-2</v>
      </c>
      <c r="S65" s="2"/>
      <c r="T65" s="7">
        <v>205</v>
      </c>
      <c r="U65" s="2"/>
      <c r="V65" s="6">
        <f t="shared" si="49"/>
        <v>1.2246380447847146E-2</v>
      </c>
      <c r="W65" s="2"/>
      <c r="X65" s="7">
        <f t="shared" si="50"/>
        <v>-23</v>
      </c>
      <c r="Y65" s="2"/>
      <c r="Z65" s="6">
        <f t="shared" si="51"/>
        <v>-0.11219512195121951</v>
      </c>
    </row>
    <row r="66" spans="1:26" s="54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1">
        <f>+D20-D22+D67</f>
        <v>-12702.850000000002</v>
      </c>
      <c r="E69" s="13"/>
      <c r="F69" s="20">
        <f>IF(D$12=0,0,D69/D$12)</f>
        <v>-0.88452505046580354</v>
      </c>
      <c r="G69" s="13"/>
      <c r="H69" s="21">
        <f>+H20-H22+H67</f>
        <v>-4128.3200000000033</v>
      </c>
      <c r="I69" s="13"/>
      <c r="J69" s="20">
        <f>IF(H$12=0,0,H69/H$12)</f>
        <v>-0.24661940161198231</v>
      </c>
      <c r="K69" s="16"/>
      <c r="L69" s="21">
        <f>+D69-H69</f>
        <v>-8574.5299999999988</v>
      </c>
      <c r="M69" s="16"/>
      <c r="N69" s="20">
        <f>IF(H69=0,0,L69/H69)</f>
        <v>2.0770022672661015</v>
      </c>
      <c r="O69" s="26"/>
      <c r="P69" s="21">
        <f>+P20-P22+P67</f>
        <v>-12702.850000000002</v>
      </c>
      <c r="Q69" s="13"/>
      <c r="R69" s="20">
        <f>IF(P$12=0,0,P69/P$12)</f>
        <v>-0.88452505046580354</v>
      </c>
      <c r="S69" s="13"/>
      <c r="T69" s="21">
        <f>+T20-T22+T67</f>
        <v>-4128.3200000000033</v>
      </c>
      <c r="U69" s="13"/>
      <c r="V69" s="20">
        <f>IF(T$12=0,0,T69/T$12)</f>
        <v>-0.24661940161198231</v>
      </c>
      <c r="W69" s="16"/>
      <c r="X69" s="21">
        <f>+P69-T69</f>
        <v>-8574.5299999999988</v>
      </c>
      <c r="Y69" s="16"/>
      <c r="Z69" s="20">
        <f>IF(T69=0,0,X69/T69)</f>
        <v>2.0770022672661015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2986.12</v>
      </c>
      <c r="E71" s="4"/>
      <c r="F71" s="12">
        <f>IF(D$12=0,0,D71/D$12)</f>
        <v>0.20792955468237009</v>
      </c>
      <c r="G71" s="4"/>
      <c r="H71" s="4">
        <v>3436.66</v>
      </c>
      <c r="I71" s="4"/>
      <c r="J71" s="12">
        <f>IF(H$12=0,0,H71/H$12)</f>
        <v>0.20530071136535791</v>
      </c>
      <c r="K71" s="4"/>
      <c r="L71" s="4">
        <f>+D71-H71</f>
        <v>-450.53999999999996</v>
      </c>
      <c r="M71" s="4"/>
      <c r="N71" s="12">
        <f>IF(H71=0,0,L71/H71)</f>
        <v>-0.13109821745531999</v>
      </c>
      <c r="O71" s="10"/>
      <c r="P71" s="4">
        <v>2986.12</v>
      </c>
      <c r="Q71" s="4"/>
      <c r="R71" s="12">
        <f>IF(P$12=0,0,P71/P$12)</f>
        <v>0.20792955468237009</v>
      </c>
      <c r="S71" s="4"/>
      <c r="T71" s="4">
        <v>3436.66</v>
      </c>
      <c r="U71" s="4"/>
      <c r="V71" s="12">
        <f>IF(T$12=0,0,T71/T$12)</f>
        <v>0.20530071136535791</v>
      </c>
      <c r="W71" s="4"/>
      <c r="X71" s="4">
        <f>+P71-T71</f>
        <v>-450.53999999999996</v>
      </c>
      <c r="Y71" s="4"/>
      <c r="Z71" s="12">
        <f>IF(T71=0,0,X71/T71)</f>
        <v>-0.13109821745531999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-15688.970000000001</v>
      </c>
      <c r="E73" s="13"/>
      <c r="F73" s="34">
        <f>IF(D$12=0,0,D73/D$12)</f>
        <v>-1.0924546051481736</v>
      </c>
      <c r="G73" s="13"/>
      <c r="H73" s="33">
        <f>+H69-H71</f>
        <v>-7564.9800000000032</v>
      </c>
      <c r="I73" s="13"/>
      <c r="J73" s="34">
        <f>IF(H$12=0,0,H73/H$12)</f>
        <v>-0.45192011297734019</v>
      </c>
      <c r="K73" s="16"/>
      <c r="L73" s="33">
        <f>D73-H73</f>
        <v>-8123.989999999998</v>
      </c>
      <c r="M73" s="16"/>
      <c r="N73" s="34">
        <f>IF(H73=0,0,L73/H73)</f>
        <v>1.0738944451935093</v>
      </c>
      <c r="O73" s="26"/>
      <c r="P73" s="33">
        <f>+P69-P71</f>
        <v>-15688.970000000001</v>
      </c>
      <c r="Q73" s="13"/>
      <c r="R73" s="34">
        <f>IF(P$12=0,0,P73/P$12)</f>
        <v>-1.0924546051481736</v>
      </c>
      <c r="S73" s="13"/>
      <c r="T73" s="33">
        <f>+T69-T71</f>
        <v>-7564.9800000000032</v>
      </c>
      <c r="U73" s="13"/>
      <c r="V73" s="34">
        <f>IF(T$12=0,0,T73/T$12)</f>
        <v>-0.45192011297734019</v>
      </c>
      <c r="W73" s="16"/>
      <c r="X73" s="33">
        <f>P73-T73</f>
        <v>-8123.989999999998</v>
      </c>
      <c r="Y73" s="16"/>
      <c r="Z73" s="34">
        <f>IF(T73=0,0,X73/T73)</f>
        <v>1.0738944451935093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1">
        <f>SUM(D73:D75)</f>
        <v>-15688.970000000001</v>
      </c>
      <c r="E76" s="13"/>
      <c r="F76" s="30">
        <f>IF(D$12=0,0,D76/D$12)</f>
        <v>-1.0924546051481736</v>
      </c>
      <c r="G76" s="13"/>
      <c r="H76" s="31">
        <f>SUM(H73:H75)</f>
        <v>-7564.9800000000032</v>
      </c>
      <c r="I76" s="13"/>
      <c r="J76" s="30">
        <f>IF(H$12=0,0,H76/H$12)</f>
        <v>-0.45192011297734019</v>
      </c>
      <c r="K76" s="16"/>
      <c r="L76" s="31">
        <f>+D76-H76</f>
        <v>-8123.989999999998</v>
      </c>
      <c r="M76" s="16"/>
      <c r="N76" s="30">
        <f>IF(H76=0,0,L76/H76)</f>
        <v>1.0738944451935093</v>
      </c>
      <c r="O76" s="26"/>
      <c r="P76" s="31">
        <f>SUM(P73:P75)</f>
        <v>-15688.970000000001</v>
      </c>
      <c r="Q76" s="13"/>
      <c r="R76" s="30">
        <f>IF(P$12=0,0,P76/P$12)</f>
        <v>-1.0924546051481736</v>
      </c>
      <c r="S76" s="13"/>
      <c r="T76" s="31">
        <f>SUM(T73:T75)</f>
        <v>-7564.9800000000032</v>
      </c>
      <c r="U76" s="13"/>
      <c r="V76" s="30">
        <f>IF(T$12=0,0,T76/T$12)</f>
        <v>-0.45192011297734019</v>
      </c>
      <c r="W76" s="16"/>
      <c r="X76" s="31">
        <f>+P76-T76</f>
        <v>-8123.989999999998</v>
      </c>
      <c r="Y76" s="16"/>
      <c r="Z76" s="30">
        <f>IF(T76=0,0,X76/T76)</f>
        <v>1.0738944451935093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43726.68202025463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14491.7</v>
      </c>
      <c r="E12" s="4"/>
      <c r="F12" s="12"/>
      <c r="G12" s="4"/>
      <c r="H12" s="4">
        <f>SUM(OSRRefH13x_0)</f>
        <v>13910.429999999998</v>
      </c>
      <c r="I12" s="4"/>
      <c r="J12" s="12"/>
      <c r="K12" s="4"/>
      <c r="L12" s="4">
        <f t="shared" ref="L12:L14" si="0">+D12-H12</f>
        <v>581.27000000000226</v>
      </c>
      <c r="M12" s="4"/>
      <c r="N12" s="12">
        <f t="shared" ref="N12:N14" si="1">IF(H12=0,0,L12/H12)</f>
        <v>4.1786630607393321E-2</v>
      </c>
      <c r="O12" s="10"/>
      <c r="P12" s="4">
        <f>SUM(OSRRefP13x_0)</f>
        <v>14491.7</v>
      </c>
      <c r="Q12" s="4"/>
      <c r="R12" s="12"/>
      <c r="S12" s="4"/>
      <c r="T12" s="4">
        <f>SUM(OSRRefT13x_0)</f>
        <v>13910.429999999998</v>
      </c>
      <c r="U12" s="4"/>
      <c r="V12" s="12"/>
      <c r="W12" s="4"/>
      <c r="X12" s="4">
        <f t="shared" ref="X12:X14" si="2">+P12-T12</f>
        <v>581.27000000000226</v>
      </c>
      <c r="Y12" s="4"/>
      <c r="Z12" s="12">
        <f t="shared" ref="Z12:Z14" si="3">IF(T12=0,0,X12/T12)</f>
        <v>4.1786630607393321E-2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--2132.37</f>
        <v>2132.37</v>
      </c>
      <c r="E13" s="2"/>
      <c r="F13" s="22"/>
      <c r="G13" s="2"/>
      <c r="H13" s="2">
        <f>--2802.72</f>
        <v>2802.72</v>
      </c>
      <c r="I13" s="2"/>
      <c r="J13" s="22"/>
      <c r="K13" s="2"/>
      <c r="L13" s="2">
        <f t="shared" si="0"/>
        <v>-670.34999999999991</v>
      </c>
      <c r="M13" s="2"/>
      <c r="N13" s="22">
        <f t="shared" si="1"/>
        <v>-0.23917836958383284</v>
      </c>
      <c r="O13" s="11"/>
      <c r="P13" s="2">
        <f>--2132.37</f>
        <v>2132.37</v>
      </c>
      <c r="Q13" s="2"/>
      <c r="R13" s="22"/>
      <c r="S13" s="2"/>
      <c r="T13" s="2">
        <f>--2802.72</f>
        <v>2802.72</v>
      </c>
      <c r="U13" s="2"/>
      <c r="V13" s="22"/>
      <c r="W13" s="2"/>
      <c r="X13" s="2">
        <f t="shared" si="2"/>
        <v>-670.34999999999991</v>
      </c>
      <c r="Y13" s="2"/>
      <c r="Z13" s="22">
        <f t="shared" si="3"/>
        <v>-0.23917836958383284</v>
      </c>
    </row>
    <row r="14" spans="1:26" s="24" customFormat="1" hidden="1" outlineLevel="1" x14ac:dyDescent="0.25">
      <c r="A14" s="50"/>
      <c r="B14" s="11" t="str">
        <f>CONCATENATE("          ", "4132", " - ", "NON-TAXABLE SALES-JUICE")</f>
        <v xml:space="preserve">          4132 - NON-TAXABLE SALES-JUICE</v>
      </c>
      <c r="C14" s="11"/>
      <c r="D14" s="2">
        <f>--12359.33</f>
        <v>12359.33</v>
      </c>
      <c r="E14" s="2"/>
      <c r="F14" s="22"/>
      <c r="G14" s="2"/>
      <c r="H14" s="2">
        <f>--11107.71</f>
        <v>11107.71</v>
      </c>
      <c r="I14" s="2"/>
      <c r="J14" s="22"/>
      <c r="K14" s="2"/>
      <c r="L14" s="2">
        <f t="shared" si="0"/>
        <v>1251.6200000000008</v>
      </c>
      <c r="M14" s="2"/>
      <c r="N14" s="22">
        <f t="shared" si="1"/>
        <v>0.11268029143720901</v>
      </c>
      <c r="O14" s="11"/>
      <c r="P14" s="2">
        <f>--12359.33</f>
        <v>12359.33</v>
      </c>
      <c r="Q14" s="2"/>
      <c r="R14" s="22"/>
      <c r="S14" s="2"/>
      <c r="T14" s="2">
        <f>--11107.71</f>
        <v>11107.71</v>
      </c>
      <c r="U14" s="2"/>
      <c r="V14" s="22"/>
      <c r="W14" s="2"/>
      <c r="X14" s="2">
        <f t="shared" si="2"/>
        <v>1251.6200000000008</v>
      </c>
      <c r="Y14" s="2"/>
      <c r="Z14" s="22">
        <f t="shared" si="3"/>
        <v>0.11268029143720901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6629.08</v>
      </c>
      <c r="E16" s="4"/>
      <c r="F16" s="12">
        <f t="shared" ref="F16:F18" si="4">IF(D$12=0,0,D16/D$12)</f>
        <v>0.45743977587170587</v>
      </c>
      <c r="G16" s="4"/>
      <c r="H16" s="4">
        <f>SUM(OSRRefH16x_0)</f>
        <v>6693.8499999999995</v>
      </c>
      <c r="I16" s="4"/>
      <c r="J16" s="12">
        <f t="shared" ref="J16:J18" si="5">IF(H$12=0,0,H16/H$12)</f>
        <v>0.48121086120270906</v>
      </c>
      <c r="K16" s="4"/>
      <c r="L16" s="4">
        <f t="shared" ref="L16:L18" si="6">+D16-H16</f>
        <v>-64.769999999999527</v>
      </c>
      <c r="M16" s="4"/>
      <c r="N16" s="12">
        <f t="shared" ref="N16:N18" si="7">IF(H16=0,0,L16/H16)</f>
        <v>-9.6760459227499176E-3</v>
      </c>
      <c r="O16" s="10"/>
      <c r="P16" s="4">
        <f>SUM(OSRRefP16x_0)</f>
        <v>6629.08</v>
      </c>
      <c r="Q16" s="4"/>
      <c r="R16" s="12">
        <f t="shared" ref="R16:R18" si="8">IF(P$12=0,0,P16/P$12)</f>
        <v>0.45743977587170587</v>
      </c>
      <c r="S16" s="4"/>
      <c r="T16" s="4">
        <f>SUM(OSRRefT16x_0)</f>
        <v>6693.8499999999995</v>
      </c>
      <c r="U16" s="4"/>
      <c r="V16" s="12">
        <f t="shared" ref="V16:V18" si="9">IF(T$12=0,0,T16/T$12)</f>
        <v>0.48121086120270906</v>
      </c>
      <c r="W16" s="4"/>
      <c r="X16" s="4">
        <f t="shared" ref="X16:X18" si="10">+P16-T16</f>
        <v>-64.769999999999527</v>
      </c>
      <c r="Y16" s="4"/>
      <c r="Z16" s="12">
        <f t="shared" ref="Z16:Z18" si="11">IF(T16=0,0,X16/T16)</f>
        <v>-9.6760459227499176E-3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7678.71</v>
      </c>
      <c r="E17" s="2"/>
      <c r="F17" s="22">
        <f t="shared" si="4"/>
        <v>0.52986951151348705</v>
      </c>
      <c r="G17" s="2"/>
      <c r="H17" s="2">
        <v>7669.23</v>
      </c>
      <c r="I17" s="2"/>
      <c r="J17" s="22">
        <f t="shared" si="5"/>
        <v>0.55132947004513877</v>
      </c>
      <c r="K17" s="2"/>
      <c r="L17" s="2">
        <f t="shared" si="6"/>
        <v>9.4800000000004729</v>
      </c>
      <c r="M17" s="2"/>
      <c r="N17" s="22">
        <f t="shared" si="7"/>
        <v>1.2361084489577799E-3</v>
      </c>
      <c r="O17" s="11"/>
      <c r="P17" s="2">
        <v>7678.71</v>
      </c>
      <c r="Q17" s="2"/>
      <c r="R17" s="22">
        <f t="shared" si="8"/>
        <v>0.52986951151348705</v>
      </c>
      <c r="S17" s="2"/>
      <c r="T17" s="2">
        <v>7669.23</v>
      </c>
      <c r="U17" s="2"/>
      <c r="V17" s="22">
        <f t="shared" si="9"/>
        <v>0.55132947004513877</v>
      </c>
      <c r="W17" s="2"/>
      <c r="X17" s="2">
        <f t="shared" si="10"/>
        <v>9.4800000000004729</v>
      </c>
      <c r="Y17" s="2"/>
      <c r="Z17" s="22">
        <f t="shared" si="11"/>
        <v>1.2361084489577799E-3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-1049.6300000000001</v>
      </c>
      <c r="E18" s="2"/>
      <c r="F18" s="22">
        <f t="shared" si="4"/>
        <v>-7.2429735641781165E-2</v>
      </c>
      <c r="G18" s="2"/>
      <c r="H18" s="2">
        <v>-975.38</v>
      </c>
      <c r="I18" s="2"/>
      <c r="J18" s="22">
        <f t="shared" si="5"/>
        <v>-7.011860884242975E-2</v>
      </c>
      <c r="K18" s="2"/>
      <c r="L18" s="2">
        <f t="shared" si="6"/>
        <v>-74.250000000000114</v>
      </c>
      <c r="M18" s="2"/>
      <c r="N18" s="22">
        <f t="shared" si="7"/>
        <v>7.6124177243741015E-2</v>
      </c>
      <c r="O18" s="11"/>
      <c r="P18" s="2">
        <v>-1049.6300000000001</v>
      </c>
      <c r="Q18" s="2"/>
      <c r="R18" s="22">
        <f t="shared" si="8"/>
        <v>-7.2429735641781165E-2</v>
      </c>
      <c r="S18" s="2"/>
      <c r="T18" s="2">
        <v>-975.38</v>
      </c>
      <c r="U18" s="2"/>
      <c r="V18" s="22">
        <f t="shared" si="9"/>
        <v>-7.011860884242975E-2</v>
      </c>
      <c r="W18" s="2"/>
      <c r="X18" s="2">
        <f t="shared" si="10"/>
        <v>-74.250000000000114</v>
      </c>
      <c r="Y18" s="2"/>
      <c r="Z18" s="22">
        <f t="shared" si="11"/>
        <v>7.6124177243741015E-2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7862.6200000000008</v>
      </c>
      <c r="E20" s="13"/>
      <c r="F20" s="20">
        <f>IF(D$12=0,0,D20/D$12)</f>
        <v>0.54256022412829419</v>
      </c>
      <c r="G20" s="13"/>
      <c r="H20" s="21">
        <f>H12-H16</f>
        <v>7216.579999999999</v>
      </c>
      <c r="I20" s="13"/>
      <c r="J20" s="20">
        <f>IF(H$12=0,0,H20/H$12)</f>
        <v>0.51878913879729094</v>
      </c>
      <c r="K20" s="16"/>
      <c r="L20" s="21">
        <f>+D20-H20</f>
        <v>646.04000000000178</v>
      </c>
      <c r="M20" s="16"/>
      <c r="N20" s="20">
        <f>IF(H20=0,0,L20/H20)</f>
        <v>8.9521629359059537E-2</v>
      </c>
      <c r="O20" s="26"/>
      <c r="P20" s="21">
        <f>P12-P16</f>
        <v>7862.6200000000008</v>
      </c>
      <c r="Q20" s="13"/>
      <c r="R20" s="20">
        <f>IF(P$12=0,0,P20/P$12)</f>
        <v>0.54256022412829419</v>
      </c>
      <c r="S20" s="13"/>
      <c r="T20" s="21">
        <f>T12-T16</f>
        <v>7216.579999999999</v>
      </c>
      <c r="U20" s="13"/>
      <c r="V20" s="20">
        <f>IF(T$12=0,0,T20/T$12)</f>
        <v>0.51878913879729094</v>
      </c>
      <c r="W20" s="16"/>
      <c r="X20" s="21">
        <f>+P20-T20</f>
        <v>646.04000000000178</v>
      </c>
      <c r="Y20" s="16"/>
      <c r="Z20" s="20">
        <f>IF(T20=0,0,X20/T20)</f>
        <v>8.9521629359059537E-2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23831.420000000002</v>
      </c>
      <c r="E22" s="19"/>
      <c r="F22" s="35">
        <f t="shared" ref="F22:F31" si="12">IF(D$12=0,0,D22/D$12)</f>
        <v>1.6444875342437395</v>
      </c>
      <c r="G22" s="19"/>
      <c r="H22" s="19">
        <f>SUM(OSRRefH22x_0)</f>
        <v>23462.04</v>
      </c>
      <c r="I22" s="19"/>
      <c r="J22" s="35">
        <f t="shared" ref="J22:J31" si="13">IF(H$12=0,0,H22/H$12)</f>
        <v>1.6866509518397348</v>
      </c>
      <c r="K22" s="4"/>
      <c r="L22" s="19">
        <f t="shared" ref="L22:L31" si="14">+D22-H22</f>
        <v>369.38000000000102</v>
      </c>
      <c r="M22" s="4"/>
      <c r="N22" s="35">
        <f t="shared" ref="N22:N31" si="15">IF(H22=0,0,L22/H22)</f>
        <v>1.5743729019301007E-2</v>
      </c>
      <c r="O22" s="10"/>
      <c r="P22" s="19">
        <f>SUM(OSRRefP22x_0)</f>
        <v>23831.420000000002</v>
      </c>
      <c r="Q22" s="19"/>
      <c r="R22" s="35">
        <f t="shared" ref="R22:R31" si="16">IF(P$12=0,0,P22/P$12)</f>
        <v>1.6444875342437395</v>
      </c>
      <c r="S22" s="19"/>
      <c r="T22" s="19">
        <f>SUM(OSRRefT22x_0)</f>
        <v>23462.04</v>
      </c>
      <c r="U22" s="19"/>
      <c r="V22" s="35">
        <f t="shared" ref="V22:V31" si="17">IF(T$12=0,0,T22/T$12)</f>
        <v>1.6866509518397348</v>
      </c>
      <c r="W22" s="4"/>
      <c r="X22" s="19">
        <f t="shared" ref="X22:X31" si="18">+P22-T22</f>
        <v>369.38000000000102</v>
      </c>
      <c r="Y22" s="4"/>
      <c r="Z22" s="35">
        <f t="shared" ref="Z22:Z31" si="19">IF(T22=0,0,X22/T22)</f>
        <v>1.5743729019301007E-2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3963.5499999999997</v>
      </c>
      <c r="E23" s="1"/>
      <c r="F23" s="5">
        <f t="shared" si="12"/>
        <v>0.27350483380141732</v>
      </c>
      <c r="G23" s="1"/>
      <c r="H23" s="1">
        <f>SUM(OSRRefH22_0x_0)</f>
        <v>2432.5100000000002</v>
      </c>
      <c r="I23" s="1"/>
      <c r="J23" s="5">
        <f t="shared" si="13"/>
        <v>0.17486950439346594</v>
      </c>
      <c r="K23" s="1"/>
      <c r="L23" s="1">
        <f t="shared" si="14"/>
        <v>1531.0399999999995</v>
      </c>
      <c r="M23" s="1"/>
      <c r="N23" s="5">
        <f t="shared" si="15"/>
        <v>0.62940748445021788</v>
      </c>
      <c r="O23" s="14"/>
      <c r="P23" s="1">
        <f>SUM(OSRRefP22_0x_0)</f>
        <v>3963.5499999999997</v>
      </c>
      <c r="Q23" s="1"/>
      <c r="R23" s="5">
        <f t="shared" si="16"/>
        <v>0.27350483380141732</v>
      </c>
      <c r="S23" s="1"/>
      <c r="T23" s="1">
        <f>SUM(OSRRefT22_0x_0)</f>
        <v>2432.5100000000002</v>
      </c>
      <c r="U23" s="1"/>
      <c r="V23" s="5">
        <f t="shared" si="17"/>
        <v>0.17486950439346594</v>
      </c>
      <c r="W23" s="1"/>
      <c r="X23" s="1">
        <f t="shared" si="18"/>
        <v>1531.0399999999995</v>
      </c>
      <c r="Y23" s="1"/>
      <c r="Z23" s="5">
        <f t="shared" si="19"/>
        <v>0.62940748445021788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461.45</v>
      </c>
      <c r="E24" s="2"/>
      <c r="F24" s="6">
        <f t="shared" si="12"/>
        <v>3.1842364939931131E-2</v>
      </c>
      <c r="G24" s="2"/>
      <c r="H24" s="7">
        <v>434.43</v>
      </c>
      <c r="I24" s="2"/>
      <c r="J24" s="6">
        <f t="shared" si="13"/>
        <v>3.123052270850003E-2</v>
      </c>
      <c r="K24" s="2"/>
      <c r="L24" s="7">
        <f t="shared" si="14"/>
        <v>27.019999999999982</v>
      </c>
      <c r="M24" s="2"/>
      <c r="N24" s="6">
        <f t="shared" si="15"/>
        <v>6.2196441313905532E-2</v>
      </c>
      <c r="O24" s="11"/>
      <c r="P24" s="7">
        <v>461.45</v>
      </c>
      <c r="Q24" s="2"/>
      <c r="R24" s="6">
        <f t="shared" si="16"/>
        <v>3.1842364939931131E-2</v>
      </c>
      <c r="S24" s="2"/>
      <c r="T24" s="7">
        <v>434.43</v>
      </c>
      <c r="U24" s="2"/>
      <c r="V24" s="6">
        <f t="shared" si="17"/>
        <v>3.123052270850003E-2</v>
      </c>
      <c r="W24" s="2"/>
      <c r="X24" s="7">
        <f t="shared" si="18"/>
        <v>27.019999999999982</v>
      </c>
      <c r="Y24" s="2"/>
      <c r="Z24" s="6">
        <f t="shared" si="19"/>
        <v>6.2196441313905532E-2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202.56</v>
      </c>
      <c r="E25" s="2"/>
      <c r="F25" s="6">
        <f t="shared" si="12"/>
        <v>1.3977656175603965E-2</v>
      </c>
      <c r="G25" s="2"/>
      <c r="H25" s="7">
        <v>260.48</v>
      </c>
      <c r="I25" s="2"/>
      <c r="J25" s="6">
        <f t="shared" si="13"/>
        <v>1.8725517471422527E-2</v>
      </c>
      <c r="K25" s="2"/>
      <c r="L25" s="7">
        <f t="shared" si="14"/>
        <v>-57.920000000000016</v>
      </c>
      <c r="M25" s="2"/>
      <c r="N25" s="6">
        <f t="shared" si="15"/>
        <v>-0.22235872235872239</v>
      </c>
      <c r="O25" s="11"/>
      <c r="P25" s="7">
        <v>202.56</v>
      </c>
      <c r="Q25" s="2"/>
      <c r="R25" s="6">
        <f t="shared" si="16"/>
        <v>1.3977656175603965E-2</v>
      </c>
      <c r="S25" s="2"/>
      <c r="T25" s="7">
        <v>260.48</v>
      </c>
      <c r="U25" s="2"/>
      <c r="V25" s="6">
        <f t="shared" si="17"/>
        <v>1.8725517471422527E-2</v>
      </c>
      <c r="W25" s="2"/>
      <c r="X25" s="7">
        <f t="shared" si="18"/>
        <v>-57.920000000000016</v>
      </c>
      <c r="Y25" s="2"/>
      <c r="Z25" s="6">
        <f t="shared" si="19"/>
        <v>-0.22235872235872239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2283.4699999999998</v>
      </c>
      <c r="E26" s="2"/>
      <c r="F26" s="6">
        <f t="shared" si="12"/>
        <v>0.1575708854033688</v>
      </c>
      <c r="G26" s="2"/>
      <c r="H26" s="7">
        <v>737.49</v>
      </c>
      <c r="I26" s="2"/>
      <c r="J26" s="6">
        <f t="shared" si="13"/>
        <v>5.3017052671987863E-2</v>
      </c>
      <c r="K26" s="2"/>
      <c r="L26" s="7">
        <f t="shared" si="14"/>
        <v>1545.9799999999998</v>
      </c>
      <c r="M26" s="2"/>
      <c r="N26" s="6">
        <f t="shared" si="15"/>
        <v>2.0962724918303972</v>
      </c>
      <c r="O26" s="11"/>
      <c r="P26" s="7">
        <v>2283.4699999999998</v>
      </c>
      <c r="Q26" s="2"/>
      <c r="R26" s="6">
        <f t="shared" si="16"/>
        <v>0.1575708854033688</v>
      </c>
      <c r="S26" s="2"/>
      <c r="T26" s="7">
        <v>737.49</v>
      </c>
      <c r="U26" s="2"/>
      <c r="V26" s="6">
        <f t="shared" si="17"/>
        <v>5.3017052671987863E-2</v>
      </c>
      <c r="W26" s="2"/>
      <c r="X26" s="7">
        <f t="shared" si="18"/>
        <v>1545.9799999999998</v>
      </c>
      <c r="Y26" s="2"/>
      <c r="Z26" s="6">
        <f t="shared" si="19"/>
        <v>2.0962724918303972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17.309999999999999</v>
      </c>
      <c r="E27" s="2"/>
      <c r="F27" s="6">
        <f t="shared" si="12"/>
        <v>1.1944768384661564E-3</v>
      </c>
      <c r="G27" s="2"/>
      <c r="H27" s="7">
        <v>28.67</v>
      </c>
      <c r="I27" s="2"/>
      <c r="J27" s="6">
        <f t="shared" si="13"/>
        <v>2.0610434041219432E-3</v>
      </c>
      <c r="K27" s="2"/>
      <c r="L27" s="7">
        <f t="shared" si="14"/>
        <v>-11.360000000000003</v>
      </c>
      <c r="M27" s="2"/>
      <c r="N27" s="6">
        <f t="shared" si="15"/>
        <v>-0.39623299616323693</v>
      </c>
      <c r="O27" s="11"/>
      <c r="P27" s="7">
        <v>17.309999999999999</v>
      </c>
      <c r="Q27" s="2"/>
      <c r="R27" s="6">
        <f t="shared" si="16"/>
        <v>1.1944768384661564E-3</v>
      </c>
      <c r="S27" s="2"/>
      <c r="T27" s="7">
        <v>28.67</v>
      </c>
      <c r="U27" s="2"/>
      <c r="V27" s="6">
        <f t="shared" si="17"/>
        <v>2.0610434041219432E-3</v>
      </c>
      <c r="W27" s="2"/>
      <c r="X27" s="7">
        <f t="shared" si="18"/>
        <v>-11.360000000000003</v>
      </c>
      <c r="Y27" s="2"/>
      <c r="Z27" s="6">
        <f t="shared" si="19"/>
        <v>-0.39623299616323693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392.49</v>
      </c>
      <c r="E28" s="2"/>
      <c r="F28" s="6">
        <f t="shared" si="12"/>
        <v>2.7083778990732627E-2</v>
      </c>
      <c r="G28" s="2"/>
      <c r="H28" s="7">
        <v>526.54</v>
      </c>
      <c r="I28" s="2"/>
      <c r="J28" s="6">
        <f t="shared" si="13"/>
        <v>3.7852172794083289E-2</v>
      </c>
      <c r="K28" s="2"/>
      <c r="L28" s="7">
        <f t="shared" si="14"/>
        <v>-134.04999999999995</v>
      </c>
      <c r="M28" s="2"/>
      <c r="N28" s="6">
        <f t="shared" si="15"/>
        <v>-0.25458654613134796</v>
      </c>
      <c r="O28" s="11"/>
      <c r="P28" s="7">
        <v>392.49</v>
      </c>
      <c r="Q28" s="2"/>
      <c r="R28" s="6">
        <f t="shared" si="16"/>
        <v>2.7083778990732627E-2</v>
      </c>
      <c r="S28" s="2"/>
      <c r="T28" s="7">
        <v>526.54</v>
      </c>
      <c r="U28" s="2"/>
      <c r="V28" s="6">
        <f t="shared" si="17"/>
        <v>3.7852172794083289E-2</v>
      </c>
      <c r="W28" s="2"/>
      <c r="X28" s="7">
        <f t="shared" si="18"/>
        <v>-134.04999999999995</v>
      </c>
      <c r="Y28" s="2"/>
      <c r="Z28" s="6">
        <f t="shared" si="19"/>
        <v>-0.25458654613134796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280.8</v>
      </c>
      <c r="E29" s="2"/>
      <c r="F29" s="6">
        <f t="shared" si="12"/>
        <v>1.9376608679450995E-2</v>
      </c>
      <c r="G29" s="2"/>
      <c r="H29" s="7">
        <v>272.82</v>
      </c>
      <c r="I29" s="2"/>
      <c r="J29" s="6">
        <f t="shared" si="13"/>
        <v>1.9612621608390252E-2</v>
      </c>
      <c r="K29" s="2"/>
      <c r="L29" s="7">
        <f t="shared" si="14"/>
        <v>7.9800000000000182</v>
      </c>
      <c r="M29" s="2"/>
      <c r="N29" s="6">
        <f t="shared" si="15"/>
        <v>2.9250054981306423E-2</v>
      </c>
      <c r="O29" s="11"/>
      <c r="P29" s="7">
        <v>280.8</v>
      </c>
      <c r="Q29" s="2"/>
      <c r="R29" s="6">
        <f t="shared" si="16"/>
        <v>1.9376608679450995E-2</v>
      </c>
      <c r="S29" s="2"/>
      <c r="T29" s="7">
        <v>272.82</v>
      </c>
      <c r="U29" s="2"/>
      <c r="V29" s="6">
        <f t="shared" si="17"/>
        <v>1.9612621608390252E-2</v>
      </c>
      <c r="W29" s="2"/>
      <c r="X29" s="7">
        <f t="shared" si="18"/>
        <v>7.9800000000000182</v>
      </c>
      <c r="Y29" s="2"/>
      <c r="Z29" s="6">
        <f t="shared" si="19"/>
        <v>2.9250054981306423E-2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177.12</v>
      </c>
      <c r="E30" s="2"/>
      <c r="F30" s="6">
        <f t="shared" si="12"/>
        <v>1.2222168551653706E-2</v>
      </c>
      <c r="G30" s="2"/>
      <c r="H30" s="7">
        <v>172.08</v>
      </c>
      <c r="I30" s="2"/>
      <c r="J30" s="6">
        <f t="shared" si="13"/>
        <v>1.2370573734960028E-2</v>
      </c>
      <c r="K30" s="2"/>
      <c r="L30" s="7">
        <f t="shared" si="14"/>
        <v>5.039999999999992</v>
      </c>
      <c r="M30" s="2"/>
      <c r="N30" s="6">
        <f t="shared" si="15"/>
        <v>2.9288702928870244E-2</v>
      </c>
      <c r="O30" s="11"/>
      <c r="P30" s="7">
        <v>177.12</v>
      </c>
      <c r="Q30" s="2"/>
      <c r="R30" s="6">
        <f t="shared" si="16"/>
        <v>1.2222168551653706E-2</v>
      </c>
      <c r="S30" s="2"/>
      <c r="T30" s="7">
        <v>172.08</v>
      </c>
      <c r="U30" s="2"/>
      <c r="V30" s="6">
        <f t="shared" si="17"/>
        <v>1.2370573734960028E-2</v>
      </c>
      <c r="W30" s="2"/>
      <c r="X30" s="7">
        <f t="shared" si="18"/>
        <v>5.039999999999992</v>
      </c>
      <c r="Y30" s="2"/>
      <c r="Z30" s="6">
        <f t="shared" si="19"/>
        <v>2.9288702928870244E-2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148.35</v>
      </c>
      <c r="E31" s="2"/>
      <c r="F31" s="6">
        <f t="shared" si="12"/>
        <v>1.0236894222209953E-2</v>
      </c>
      <c r="G31" s="2"/>
      <c r="H31" s="7"/>
      <c r="I31" s="2"/>
      <c r="J31" s="6">
        <f t="shared" si="13"/>
        <v>0</v>
      </c>
      <c r="K31" s="2"/>
      <c r="L31" s="7">
        <f t="shared" si="14"/>
        <v>148.35</v>
      </c>
      <c r="M31" s="2"/>
      <c r="N31" s="6">
        <f t="shared" si="15"/>
        <v>0</v>
      </c>
      <c r="O31" s="11"/>
      <c r="P31" s="7">
        <v>148.35</v>
      </c>
      <c r="Q31" s="2"/>
      <c r="R31" s="6">
        <f t="shared" si="16"/>
        <v>1.0236894222209953E-2</v>
      </c>
      <c r="S31" s="2"/>
      <c r="T31" s="7"/>
      <c r="U31" s="2"/>
      <c r="V31" s="6">
        <f t="shared" si="17"/>
        <v>0</v>
      </c>
      <c r="W31" s="2"/>
      <c r="X31" s="7">
        <f t="shared" si="18"/>
        <v>148.35</v>
      </c>
      <c r="Y31" s="2"/>
      <c r="Z31" s="6">
        <f t="shared" si="19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7111.94</v>
      </c>
      <c r="E32" s="1"/>
      <c r="F32" s="5">
        <f t="shared" ref="F32:F36" si="20">IF(D$12=0,0,D32/D$12)</f>
        <v>0.49075953821842844</v>
      </c>
      <c r="G32" s="1"/>
      <c r="H32" s="1">
        <f>SUM(OSRRefH22_1x_0)</f>
        <v>6238.9</v>
      </c>
      <c r="I32" s="1"/>
      <c r="J32" s="5">
        <f t="shared" ref="J32:J36" si="21">IF(H$12=0,0,H32/H$12)</f>
        <v>0.44850518639610709</v>
      </c>
      <c r="K32" s="1"/>
      <c r="L32" s="1">
        <f t="shared" ref="L32:L36" si="22">+D32-H32</f>
        <v>873.04</v>
      </c>
      <c r="M32" s="1"/>
      <c r="N32" s="5">
        <f t="shared" ref="N32:N36" si="23">IF(H32=0,0,L32/H32)</f>
        <v>0.13993492442578018</v>
      </c>
      <c r="O32" s="14"/>
      <c r="P32" s="1">
        <f>SUM(OSRRefP22_1x_0)</f>
        <v>7111.94</v>
      </c>
      <c r="Q32" s="1"/>
      <c r="R32" s="5">
        <f t="shared" ref="R32:R36" si="24">IF(P$12=0,0,P32/P$12)</f>
        <v>0.49075953821842844</v>
      </c>
      <c r="S32" s="1"/>
      <c r="T32" s="1">
        <f>SUM(OSRRefT22_1x_0)</f>
        <v>6238.9</v>
      </c>
      <c r="U32" s="1"/>
      <c r="V32" s="5">
        <f t="shared" ref="V32:V36" si="25">IF(T$12=0,0,T32/T$12)</f>
        <v>0.44850518639610709</v>
      </c>
      <c r="W32" s="1"/>
      <c r="X32" s="1">
        <f t="shared" ref="X32:X36" si="26">+P32-T32</f>
        <v>873.04</v>
      </c>
      <c r="Y32" s="1"/>
      <c r="Z32" s="5">
        <f t="shared" ref="Z32:Z36" si="27">IF(T32=0,0,X32/T32)</f>
        <v>0.13993492442578018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4224</v>
      </c>
      <c r="E33" s="2"/>
      <c r="F33" s="6">
        <f t="shared" si="20"/>
        <v>0.29147719039174147</v>
      </c>
      <c r="G33" s="2"/>
      <c r="H33" s="7">
        <v>4290.7</v>
      </c>
      <c r="I33" s="2"/>
      <c r="J33" s="6">
        <f t="shared" si="21"/>
        <v>0.30845200328099132</v>
      </c>
      <c r="K33" s="2"/>
      <c r="L33" s="7">
        <f t="shared" si="22"/>
        <v>-66.699999999999818</v>
      </c>
      <c r="M33" s="2"/>
      <c r="N33" s="6">
        <f t="shared" si="23"/>
        <v>-1.5545249026965255E-2</v>
      </c>
      <c r="O33" s="11"/>
      <c r="P33" s="7">
        <v>4224</v>
      </c>
      <c r="Q33" s="2"/>
      <c r="R33" s="6">
        <f t="shared" si="24"/>
        <v>0.29147719039174147</v>
      </c>
      <c r="S33" s="2"/>
      <c r="T33" s="7">
        <v>4290.7</v>
      </c>
      <c r="U33" s="2"/>
      <c r="V33" s="6">
        <f t="shared" si="25"/>
        <v>0.30845200328099132</v>
      </c>
      <c r="W33" s="2"/>
      <c r="X33" s="7">
        <f t="shared" si="26"/>
        <v>-66.699999999999818</v>
      </c>
      <c r="Y33" s="2"/>
      <c r="Z33" s="6">
        <f t="shared" si="27"/>
        <v>-1.5545249026965255E-2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62.69</v>
      </c>
      <c r="E34" s="2"/>
      <c r="F34" s="6">
        <f t="shared" si="20"/>
        <v>4.3259244947107655E-3</v>
      </c>
      <c r="G34" s="2"/>
      <c r="H34" s="7"/>
      <c r="I34" s="2"/>
      <c r="J34" s="6">
        <f t="shared" si="21"/>
        <v>0</v>
      </c>
      <c r="K34" s="2"/>
      <c r="L34" s="7">
        <f t="shared" si="22"/>
        <v>62.69</v>
      </c>
      <c r="M34" s="2"/>
      <c r="N34" s="6">
        <f t="shared" si="23"/>
        <v>0</v>
      </c>
      <c r="O34" s="11"/>
      <c r="P34" s="7">
        <v>62.69</v>
      </c>
      <c r="Q34" s="2"/>
      <c r="R34" s="6">
        <f t="shared" si="24"/>
        <v>4.3259244947107655E-3</v>
      </c>
      <c r="S34" s="2"/>
      <c r="T34" s="7"/>
      <c r="U34" s="2"/>
      <c r="V34" s="6">
        <f t="shared" si="25"/>
        <v>0</v>
      </c>
      <c r="W34" s="2"/>
      <c r="X34" s="7">
        <f t="shared" si="26"/>
        <v>62.69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>
        <v>2717.25</v>
      </c>
      <c r="E35" s="2"/>
      <c r="F35" s="6">
        <f t="shared" si="20"/>
        <v>0.18750388153218739</v>
      </c>
      <c r="G35" s="2"/>
      <c r="H35" s="7">
        <v>1898.7</v>
      </c>
      <c r="I35" s="2"/>
      <c r="J35" s="6">
        <f t="shared" si="21"/>
        <v>0.13649470217671203</v>
      </c>
      <c r="K35" s="2"/>
      <c r="L35" s="7">
        <f t="shared" si="22"/>
        <v>818.55</v>
      </c>
      <c r="M35" s="2"/>
      <c r="N35" s="6">
        <f t="shared" si="23"/>
        <v>0.43111075999367987</v>
      </c>
      <c r="O35" s="11"/>
      <c r="P35" s="7">
        <v>2717.25</v>
      </c>
      <c r="Q35" s="2"/>
      <c r="R35" s="6">
        <f t="shared" si="24"/>
        <v>0.18750388153218739</v>
      </c>
      <c r="S35" s="2"/>
      <c r="T35" s="7">
        <v>1898.7</v>
      </c>
      <c r="U35" s="2"/>
      <c r="V35" s="6">
        <f t="shared" si="25"/>
        <v>0.13649470217671203</v>
      </c>
      <c r="W35" s="2"/>
      <c r="X35" s="7">
        <f t="shared" si="26"/>
        <v>818.55</v>
      </c>
      <c r="Y35" s="2"/>
      <c r="Z35" s="6">
        <f t="shared" si="27"/>
        <v>0.43111075999367987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>
        <v>108</v>
      </c>
      <c r="E36" s="2"/>
      <c r="F36" s="6">
        <f t="shared" si="20"/>
        <v>7.4525417997888446E-3</v>
      </c>
      <c r="G36" s="2"/>
      <c r="H36" s="7">
        <v>49.5</v>
      </c>
      <c r="I36" s="2"/>
      <c r="J36" s="6">
        <f t="shared" si="21"/>
        <v>3.5584809384037737E-3</v>
      </c>
      <c r="K36" s="2"/>
      <c r="L36" s="7">
        <f t="shared" si="22"/>
        <v>58.5</v>
      </c>
      <c r="M36" s="2"/>
      <c r="N36" s="6">
        <f t="shared" si="23"/>
        <v>1.1818181818181819</v>
      </c>
      <c r="O36" s="11"/>
      <c r="P36" s="7">
        <v>108</v>
      </c>
      <c r="Q36" s="2"/>
      <c r="R36" s="6">
        <f t="shared" si="24"/>
        <v>7.4525417997888446E-3</v>
      </c>
      <c r="S36" s="2"/>
      <c r="T36" s="7">
        <v>49.5</v>
      </c>
      <c r="U36" s="2"/>
      <c r="V36" s="6">
        <f t="shared" si="25"/>
        <v>3.5584809384037737E-3</v>
      </c>
      <c r="W36" s="2"/>
      <c r="X36" s="7">
        <f t="shared" si="26"/>
        <v>58.5</v>
      </c>
      <c r="Y36" s="2"/>
      <c r="Z36" s="6">
        <f t="shared" si="27"/>
        <v>1.1818181818181819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28">IF(D$12=0,0,D37/D$12)</f>
        <v>0</v>
      </c>
      <c r="G37" s="1"/>
      <c r="H37" s="1">
        <f>SUM(OSRRefH22_2x_0)</f>
        <v>36</v>
      </c>
      <c r="I37" s="1"/>
      <c r="J37" s="5">
        <f t="shared" ref="J37:J45" si="29">IF(H$12=0,0,H37/H$12)</f>
        <v>2.5879861370209263E-3</v>
      </c>
      <c r="K37" s="1"/>
      <c r="L37" s="1">
        <f t="shared" ref="L37:L45" si="30">+D37-H37</f>
        <v>-36</v>
      </c>
      <c r="M37" s="1"/>
      <c r="N37" s="5">
        <f t="shared" ref="N37:N45" si="31">IF(H37=0,0,L37/H37)</f>
        <v>-1</v>
      </c>
      <c r="O37" s="14"/>
      <c r="P37" s="1">
        <f>SUM(OSRRefP22_2x_0)</f>
        <v>0</v>
      </c>
      <c r="Q37" s="1"/>
      <c r="R37" s="5">
        <f t="shared" ref="R37:R45" si="32">IF(P$12=0,0,P37/P$12)</f>
        <v>0</v>
      </c>
      <c r="S37" s="1"/>
      <c r="T37" s="1">
        <f>SUM(OSRRefT22_2x_0)</f>
        <v>36</v>
      </c>
      <c r="U37" s="1"/>
      <c r="V37" s="5">
        <f t="shared" ref="V37:V45" si="33">IF(T$12=0,0,T37/T$12)</f>
        <v>2.5879861370209263E-3</v>
      </c>
      <c r="W37" s="1"/>
      <c r="X37" s="1">
        <f t="shared" ref="X37:X45" si="34">+P37-T37</f>
        <v>-36</v>
      </c>
      <c r="Y37" s="1"/>
      <c r="Z37" s="5">
        <f t="shared" ref="Z37:Z45" si="35">IF(T37=0,0,X37/T37)</f>
        <v>-1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8"/>
        <v>0</v>
      </c>
      <c r="G38" s="2"/>
      <c r="H38" s="7">
        <v>36</v>
      </c>
      <c r="I38" s="2"/>
      <c r="J38" s="6">
        <f t="shared" si="29"/>
        <v>2.5879861370209263E-3</v>
      </c>
      <c r="K38" s="2"/>
      <c r="L38" s="7">
        <f t="shared" si="30"/>
        <v>-36</v>
      </c>
      <c r="M38" s="2"/>
      <c r="N38" s="6">
        <f t="shared" si="31"/>
        <v>-1</v>
      </c>
      <c r="O38" s="11"/>
      <c r="P38" s="7"/>
      <c r="Q38" s="2"/>
      <c r="R38" s="6">
        <f t="shared" si="32"/>
        <v>0</v>
      </c>
      <c r="S38" s="2"/>
      <c r="T38" s="7">
        <v>36</v>
      </c>
      <c r="U38" s="2"/>
      <c r="V38" s="6">
        <f t="shared" si="33"/>
        <v>2.5879861370209263E-3</v>
      </c>
      <c r="W38" s="2"/>
      <c r="X38" s="7">
        <f t="shared" si="34"/>
        <v>-36</v>
      </c>
      <c r="Y38" s="2"/>
      <c r="Z38" s="6">
        <f t="shared" si="35"/>
        <v>-1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-7.77</v>
      </c>
      <c r="E39" s="1"/>
      <c r="F39" s="5">
        <f t="shared" si="28"/>
        <v>-5.3616897948480853E-4</v>
      </c>
      <c r="G39" s="1"/>
      <c r="H39" s="1">
        <f>SUM(OSRRefH22_3x_0)</f>
        <v>-1.23</v>
      </c>
      <c r="I39" s="1"/>
      <c r="J39" s="5">
        <f t="shared" si="29"/>
        <v>-8.8422859681548308E-5</v>
      </c>
      <c r="K39" s="1"/>
      <c r="L39" s="1">
        <f t="shared" si="30"/>
        <v>-6.5399999999999991</v>
      </c>
      <c r="M39" s="1"/>
      <c r="N39" s="5">
        <f t="shared" si="31"/>
        <v>5.3170731707317067</v>
      </c>
      <c r="O39" s="14"/>
      <c r="P39" s="1">
        <f>SUM(OSRRefP22_3x_0)</f>
        <v>-7.77</v>
      </c>
      <c r="Q39" s="1"/>
      <c r="R39" s="5">
        <f t="shared" si="32"/>
        <v>-5.3616897948480853E-4</v>
      </c>
      <c r="S39" s="1"/>
      <c r="T39" s="1">
        <f>SUM(OSRRefT22_3x_0)</f>
        <v>-1.23</v>
      </c>
      <c r="U39" s="1"/>
      <c r="V39" s="5">
        <f t="shared" si="33"/>
        <v>-8.8422859681548308E-5</v>
      </c>
      <c r="W39" s="1"/>
      <c r="X39" s="1">
        <f t="shared" si="34"/>
        <v>-6.5399999999999991</v>
      </c>
      <c r="Y39" s="1"/>
      <c r="Z39" s="5">
        <f t="shared" si="35"/>
        <v>5.3170731707317067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-7.77</v>
      </c>
      <c r="E40" s="2"/>
      <c r="F40" s="6">
        <f t="shared" si="28"/>
        <v>-5.3616897948480853E-4</v>
      </c>
      <c r="G40" s="2"/>
      <c r="H40" s="7">
        <v>-1.23</v>
      </c>
      <c r="I40" s="2"/>
      <c r="J40" s="6">
        <f t="shared" si="29"/>
        <v>-8.8422859681548308E-5</v>
      </c>
      <c r="K40" s="2"/>
      <c r="L40" s="7">
        <f t="shared" si="30"/>
        <v>-6.5399999999999991</v>
      </c>
      <c r="M40" s="2"/>
      <c r="N40" s="6">
        <f t="shared" si="31"/>
        <v>5.3170731707317067</v>
      </c>
      <c r="O40" s="11"/>
      <c r="P40" s="7">
        <v>-7.77</v>
      </c>
      <c r="Q40" s="2"/>
      <c r="R40" s="6">
        <f t="shared" si="32"/>
        <v>-5.3616897948480853E-4</v>
      </c>
      <c r="S40" s="2"/>
      <c r="T40" s="7">
        <v>-1.23</v>
      </c>
      <c r="U40" s="2"/>
      <c r="V40" s="6">
        <f t="shared" si="33"/>
        <v>-8.8422859681548308E-5</v>
      </c>
      <c r="W40" s="2"/>
      <c r="X40" s="7">
        <f t="shared" si="34"/>
        <v>-6.5399999999999991</v>
      </c>
      <c r="Y40" s="2"/>
      <c r="Z40" s="6">
        <f t="shared" si="35"/>
        <v>5.3170731707317067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403.75</v>
      </c>
      <c r="E41" s="1"/>
      <c r="F41" s="5">
        <f t="shared" si="28"/>
        <v>2.7860775478377276E-2</v>
      </c>
      <c r="G41" s="1"/>
      <c r="H41" s="1">
        <f>SUM(OSRRefH22_4x_0)</f>
        <v>312.3</v>
      </c>
      <c r="I41" s="1"/>
      <c r="J41" s="5">
        <f t="shared" si="29"/>
        <v>2.2450779738656536E-2</v>
      </c>
      <c r="K41" s="1"/>
      <c r="L41" s="1">
        <f t="shared" si="30"/>
        <v>91.449999999999989</v>
      </c>
      <c r="M41" s="1"/>
      <c r="N41" s="5">
        <f t="shared" si="31"/>
        <v>0.2928274095421069</v>
      </c>
      <c r="O41" s="14"/>
      <c r="P41" s="1">
        <f>SUM(OSRRefP22_4x_0)</f>
        <v>403.75</v>
      </c>
      <c r="Q41" s="1"/>
      <c r="R41" s="5">
        <f t="shared" si="32"/>
        <v>2.7860775478377276E-2</v>
      </c>
      <c r="S41" s="1"/>
      <c r="T41" s="1">
        <f>SUM(OSRRefT22_4x_0)</f>
        <v>312.3</v>
      </c>
      <c r="U41" s="1"/>
      <c r="V41" s="5">
        <f t="shared" si="33"/>
        <v>2.2450779738656536E-2</v>
      </c>
      <c r="W41" s="1"/>
      <c r="X41" s="1">
        <f t="shared" si="34"/>
        <v>91.449999999999989</v>
      </c>
      <c r="Y41" s="1"/>
      <c r="Z41" s="5">
        <f t="shared" si="35"/>
        <v>0.2928274095421069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403.75</v>
      </c>
      <c r="E42" s="2"/>
      <c r="F42" s="6">
        <f t="shared" si="28"/>
        <v>2.7860775478377276E-2</v>
      </c>
      <c r="G42" s="2"/>
      <c r="H42" s="7">
        <v>312.3</v>
      </c>
      <c r="I42" s="2"/>
      <c r="J42" s="6">
        <f t="shared" si="29"/>
        <v>2.2450779738656536E-2</v>
      </c>
      <c r="K42" s="2"/>
      <c r="L42" s="7">
        <f t="shared" si="30"/>
        <v>91.449999999999989</v>
      </c>
      <c r="M42" s="2"/>
      <c r="N42" s="6">
        <f t="shared" si="31"/>
        <v>0.2928274095421069</v>
      </c>
      <c r="O42" s="11"/>
      <c r="P42" s="7">
        <v>403.75</v>
      </c>
      <c r="Q42" s="2"/>
      <c r="R42" s="6">
        <f t="shared" si="32"/>
        <v>2.7860775478377276E-2</v>
      </c>
      <c r="S42" s="2"/>
      <c r="T42" s="7">
        <v>312.3</v>
      </c>
      <c r="U42" s="2"/>
      <c r="V42" s="6">
        <f t="shared" si="33"/>
        <v>2.2450779738656536E-2</v>
      </c>
      <c r="W42" s="2"/>
      <c r="X42" s="7">
        <f t="shared" si="34"/>
        <v>91.449999999999989</v>
      </c>
      <c r="Y42" s="2"/>
      <c r="Z42" s="6">
        <f t="shared" si="35"/>
        <v>0.2928274095421069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5421.37</v>
      </c>
      <c r="E43" s="1"/>
      <c r="F43" s="5">
        <f t="shared" si="28"/>
        <v>0.37410172719556711</v>
      </c>
      <c r="G43" s="1"/>
      <c r="H43" s="1">
        <f>SUM(OSRRefH22_5x_0)</f>
        <v>5280.6</v>
      </c>
      <c r="I43" s="1"/>
      <c r="J43" s="5">
        <f t="shared" si="29"/>
        <v>0.37961443319868621</v>
      </c>
      <c r="K43" s="1"/>
      <c r="L43" s="1">
        <f t="shared" si="30"/>
        <v>140.76999999999953</v>
      </c>
      <c r="M43" s="1"/>
      <c r="N43" s="5">
        <f t="shared" si="31"/>
        <v>2.6657955535355739E-2</v>
      </c>
      <c r="O43" s="14"/>
      <c r="P43" s="1">
        <f>SUM(OSRRefP22_5x_0)</f>
        <v>5421.37</v>
      </c>
      <c r="Q43" s="1"/>
      <c r="R43" s="5">
        <f t="shared" si="32"/>
        <v>0.37410172719556711</v>
      </c>
      <c r="S43" s="1"/>
      <c r="T43" s="1">
        <f>SUM(OSRRefT22_5x_0)</f>
        <v>5280.6</v>
      </c>
      <c r="U43" s="1"/>
      <c r="V43" s="5">
        <f t="shared" si="33"/>
        <v>0.37961443319868621</v>
      </c>
      <c r="W43" s="1"/>
      <c r="X43" s="1">
        <f t="shared" si="34"/>
        <v>140.76999999999953</v>
      </c>
      <c r="Y43" s="1"/>
      <c r="Z43" s="5">
        <f t="shared" si="35"/>
        <v>2.6657955535355739E-2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7">
        <v>5080.51</v>
      </c>
      <c r="E44" s="2"/>
      <c r="F44" s="6">
        <f t="shared" si="28"/>
        <v>0.35058067721523356</v>
      </c>
      <c r="G44" s="2"/>
      <c r="H44" s="7">
        <v>5080.51</v>
      </c>
      <c r="I44" s="2"/>
      <c r="J44" s="6">
        <f t="shared" si="29"/>
        <v>0.36523026247211632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5080.51</v>
      </c>
      <c r="Q44" s="2"/>
      <c r="R44" s="6">
        <f t="shared" si="32"/>
        <v>0.35058067721523356</v>
      </c>
      <c r="S44" s="2"/>
      <c r="T44" s="7">
        <v>5080.51</v>
      </c>
      <c r="U44" s="2"/>
      <c r="V44" s="6">
        <f t="shared" si="33"/>
        <v>0.36523026247211632</v>
      </c>
      <c r="W44" s="2"/>
      <c r="X44" s="7">
        <f t="shared" si="34"/>
        <v>0</v>
      </c>
      <c r="Y44" s="2"/>
      <c r="Z44" s="6">
        <f t="shared" si="35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340.86</v>
      </c>
      <c r="E45" s="2"/>
      <c r="F45" s="6">
        <f t="shared" si="28"/>
        <v>2.352104998033357E-2</v>
      </c>
      <c r="G45" s="2"/>
      <c r="H45" s="7">
        <v>200.09</v>
      </c>
      <c r="I45" s="2"/>
      <c r="J45" s="6">
        <f t="shared" si="29"/>
        <v>1.438417072656992E-2</v>
      </c>
      <c r="K45" s="2"/>
      <c r="L45" s="7">
        <f t="shared" si="30"/>
        <v>140.77000000000001</v>
      </c>
      <c r="M45" s="2"/>
      <c r="N45" s="6">
        <f t="shared" si="31"/>
        <v>0.70353340996551561</v>
      </c>
      <c r="O45" s="11"/>
      <c r="P45" s="7">
        <v>340.86</v>
      </c>
      <c r="Q45" s="2"/>
      <c r="R45" s="6">
        <f t="shared" si="32"/>
        <v>2.352104998033357E-2</v>
      </c>
      <c r="S45" s="2"/>
      <c r="T45" s="7">
        <v>200.09</v>
      </c>
      <c r="U45" s="2"/>
      <c r="V45" s="6">
        <f t="shared" si="33"/>
        <v>1.438417072656992E-2</v>
      </c>
      <c r="W45" s="2"/>
      <c r="X45" s="7">
        <f t="shared" si="34"/>
        <v>140.77000000000001</v>
      </c>
      <c r="Y45" s="2"/>
      <c r="Z45" s="6">
        <f t="shared" si="35"/>
        <v>0.70353340996551561</v>
      </c>
    </row>
    <row r="46" spans="1:26" s="28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146.47</v>
      </c>
      <c r="E46" s="1"/>
      <c r="F46" s="5">
        <f t="shared" ref="F46:F59" si="36">IF(D$12=0,0,D46/D$12)</f>
        <v>1.0107164790880297E-2</v>
      </c>
      <c r="G46" s="1"/>
      <c r="H46" s="1">
        <f>SUM(OSRRefH22_6x_0)</f>
        <v>144.75</v>
      </c>
      <c r="I46" s="1"/>
      <c r="J46" s="5">
        <f t="shared" ref="J46:J59" si="37">IF(H$12=0,0,H46/H$12)</f>
        <v>1.0405860925938308E-2</v>
      </c>
      <c r="K46" s="1"/>
      <c r="L46" s="1">
        <f t="shared" ref="L46:L59" si="38">+D46-H46</f>
        <v>1.7199999999999989</v>
      </c>
      <c r="M46" s="1"/>
      <c r="N46" s="5">
        <f t="shared" ref="N46:N59" si="39">IF(H46=0,0,L46/H46)</f>
        <v>1.1882556131260786E-2</v>
      </c>
      <c r="O46" s="14"/>
      <c r="P46" s="1">
        <f>SUM(OSRRefP22_6x_0)</f>
        <v>146.47</v>
      </c>
      <c r="Q46" s="1"/>
      <c r="R46" s="5">
        <f t="shared" ref="R46:R59" si="40">IF(P$12=0,0,P46/P$12)</f>
        <v>1.0107164790880297E-2</v>
      </c>
      <c r="S46" s="1"/>
      <c r="T46" s="1">
        <f>SUM(OSRRefT22_6x_0)</f>
        <v>144.75</v>
      </c>
      <c r="U46" s="1"/>
      <c r="V46" s="5">
        <f t="shared" ref="V46:V59" si="41">IF(T$12=0,0,T46/T$12)</f>
        <v>1.0405860925938308E-2</v>
      </c>
      <c r="W46" s="1"/>
      <c r="X46" s="1">
        <f t="shared" ref="X46:X59" si="42">+P46-T46</f>
        <v>1.7199999999999989</v>
      </c>
      <c r="Y46" s="1"/>
      <c r="Z46" s="5">
        <f t="shared" ref="Z46:Z59" si="43">IF(T46=0,0,X46/T46)</f>
        <v>1.1882556131260786E-2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146.47</v>
      </c>
      <c r="E47" s="2"/>
      <c r="F47" s="6">
        <f t="shared" si="36"/>
        <v>1.0107164790880297E-2</v>
      </c>
      <c r="G47" s="2"/>
      <c r="H47" s="7">
        <v>144.75</v>
      </c>
      <c r="I47" s="2"/>
      <c r="J47" s="6">
        <f t="shared" si="37"/>
        <v>1.0405860925938308E-2</v>
      </c>
      <c r="K47" s="2"/>
      <c r="L47" s="7">
        <f t="shared" si="38"/>
        <v>1.7199999999999989</v>
      </c>
      <c r="M47" s="2"/>
      <c r="N47" s="6">
        <f t="shared" si="39"/>
        <v>1.1882556131260786E-2</v>
      </c>
      <c r="O47" s="11"/>
      <c r="P47" s="7">
        <v>146.47</v>
      </c>
      <c r="Q47" s="2"/>
      <c r="R47" s="6">
        <f t="shared" si="40"/>
        <v>1.0107164790880297E-2</v>
      </c>
      <c r="S47" s="2"/>
      <c r="T47" s="7">
        <v>144.75</v>
      </c>
      <c r="U47" s="2"/>
      <c r="V47" s="6">
        <f t="shared" si="41"/>
        <v>1.0405860925938308E-2</v>
      </c>
      <c r="W47" s="2"/>
      <c r="X47" s="7">
        <f t="shared" si="42"/>
        <v>1.7199999999999989</v>
      </c>
      <c r="Y47" s="2"/>
      <c r="Z47" s="6">
        <f t="shared" si="43"/>
        <v>1.1882556131260786E-2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740.3</v>
      </c>
      <c r="E48" s="1"/>
      <c r="F48" s="5">
        <f t="shared" si="36"/>
        <v>5.1084413836885938E-2</v>
      </c>
      <c r="G48" s="1"/>
      <c r="H48" s="1">
        <f>SUM(OSRRefH22_7x_0)</f>
        <v>704.2</v>
      </c>
      <c r="I48" s="1"/>
      <c r="J48" s="5">
        <f t="shared" si="37"/>
        <v>5.0623884380281564E-2</v>
      </c>
      <c r="K48" s="1"/>
      <c r="L48" s="1">
        <f t="shared" si="38"/>
        <v>36.099999999999909</v>
      </c>
      <c r="M48" s="1"/>
      <c r="N48" s="5">
        <f t="shared" si="39"/>
        <v>5.1263845498437814E-2</v>
      </c>
      <c r="O48" s="14"/>
      <c r="P48" s="1">
        <f>SUM(OSRRefP22_7x_0)</f>
        <v>740.3</v>
      </c>
      <c r="Q48" s="1"/>
      <c r="R48" s="5">
        <f t="shared" si="40"/>
        <v>5.1084413836885938E-2</v>
      </c>
      <c r="S48" s="1"/>
      <c r="T48" s="1">
        <f>SUM(OSRRefT22_7x_0)</f>
        <v>704.2</v>
      </c>
      <c r="U48" s="1"/>
      <c r="V48" s="5">
        <f t="shared" si="41"/>
        <v>5.0623884380281564E-2</v>
      </c>
      <c r="W48" s="1"/>
      <c r="X48" s="1">
        <f t="shared" si="42"/>
        <v>36.099999999999909</v>
      </c>
      <c r="Y48" s="1"/>
      <c r="Z48" s="5">
        <f t="shared" si="43"/>
        <v>5.1263845498437814E-2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>
        <v>740.3</v>
      </c>
      <c r="E49" s="2"/>
      <c r="F49" s="6">
        <f t="shared" si="36"/>
        <v>5.1084413836885938E-2</v>
      </c>
      <c r="G49" s="2"/>
      <c r="H49" s="7">
        <v>704.2</v>
      </c>
      <c r="I49" s="2"/>
      <c r="J49" s="6">
        <f t="shared" si="37"/>
        <v>5.0623884380281564E-2</v>
      </c>
      <c r="K49" s="2"/>
      <c r="L49" s="7">
        <f t="shared" si="38"/>
        <v>36.099999999999909</v>
      </c>
      <c r="M49" s="2"/>
      <c r="N49" s="6">
        <f t="shared" si="39"/>
        <v>5.1263845498437814E-2</v>
      </c>
      <c r="O49" s="11"/>
      <c r="P49" s="7">
        <v>740.3</v>
      </c>
      <c r="Q49" s="2"/>
      <c r="R49" s="6">
        <f t="shared" si="40"/>
        <v>5.1084413836885938E-2</v>
      </c>
      <c r="S49" s="2"/>
      <c r="T49" s="7">
        <v>704.2</v>
      </c>
      <c r="U49" s="2"/>
      <c r="V49" s="6">
        <f t="shared" si="41"/>
        <v>5.0623884380281564E-2</v>
      </c>
      <c r="W49" s="2"/>
      <c r="X49" s="7">
        <f t="shared" si="42"/>
        <v>36.099999999999909</v>
      </c>
      <c r="Y49" s="2"/>
      <c r="Z49" s="6">
        <f t="shared" si="43"/>
        <v>5.1263845498437814E-2</v>
      </c>
    </row>
    <row r="50" spans="1:26" s="28" customFormat="1" outlineLevel="1" collapsed="1" x14ac:dyDescent="0.25">
      <c r="A50" s="27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243.54</v>
      </c>
      <c r="E50" s="1"/>
      <c r="F50" s="5">
        <f t="shared" si="36"/>
        <v>1.6805481758523845E-2</v>
      </c>
      <c r="G50" s="1"/>
      <c r="H50" s="1">
        <f>SUM(OSRRefH22_8x_0)</f>
        <v>229.44</v>
      </c>
      <c r="I50" s="1"/>
      <c r="J50" s="5">
        <f t="shared" si="37"/>
        <v>1.6494098313280036E-2</v>
      </c>
      <c r="K50" s="1"/>
      <c r="L50" s="1">
        <f t="shared" si="38"/>
        <v>14.099999999999994</v>
      </c>
      <c r="M50" s="1"/>
      <c r="N50" s="5">
        <f t="shared" si="39"/>
        <v>6.1453974895397466E-2</v>
      </c>
      <c r="O50" s="14"/>
      <c r="P50" s="1">
        <f>SUM(OSRRefP22_8x_0)</f>
        <v>243.54</v>
      </c>
      <c r="Q50" s="1"/>
      <c r="R50" s="5">
        <f t="shared" si="40"/>
        <v>1.6805481758523845E-2</v>
      </c>
      <c r="S50" s="1"/>
      <c r="T50" s="1">
        <f>SUM(OSRRefT22_8x_0)</f>
        <v>229.44</v>
      </c>
      <c r="U50" s="1"/>
      <c r="V50" s="5">
        <f t="shared" si="41"/>
        <v>1.6494098313280036E-2</v>
      </c>
      <c r="W50" s="1"/>
      <c r="X50" s="1">
        <f t="shared" si="42"/>
        <v>14.099999999999994</v>
      </c>
      <c r="Y50" s="1"/>
      <c r="Z50" s="5">
        <f t="shared" si="43"/>
        <v>6.1453974895397466E-2</v>
      </c>
    </row>
    <row r="51" spans="1:26" s="24" customFormat="1" hidden="1" outlineLevel="2" x14ac:dyDescent="0.25">
      <c r="A51" s="29"/>
      <c r="B51" s="11" t="str">
        <f>CONCATENATE("          ", "6314", " - ", "LIABILITY INSURANCE")</f>
        <v xml:space="preserve">          6314 - LIABILITY INSURANCE</v>
      </c>
      <c r="C51" s="11"/>
      <c r="D51" s="7">
        <v>243.54</v>
      </c>
      <c r="E51" s="2"/>
      <c r="F51" s="6">
        <f t="shared" si="36"/>
        <v>1.6805481758523845E-2</v>
      </c>
      <c r="G51" s="2"/>
      <c r="H51" s="7">
        <v>229.44</v>
      </c>
      <c r="I51" s="2"/>
      <c r="J51" s="6">
        <f t="shared" si="37"/>
        <v>1.6494098313280036E-2</v>
      </c>
      <c r="K51" s="2"/>
      <c r="L51" s="7">
        <f t="shared" si="38"/>
        <v>14.099999999999994</v>
      </c>
      <c r="M51" s="2"/>
      <c r="N51" s="6">
        <f t="shared" si="39"/>
        <v>6.1453974895397466E-2</v>
      </c>
      <c r="O51" s="11"/>
      <c r="P51" s="7">
        <v>243.54</v>
      </c>
      <c r="Q51" s="2"/>
      <c r="R51" s="6">
        <f t="shared" si="40"/>
        <v>1.6805481758523845E-2</v>
      </c>
      <c r="S51" s="2"/>
      <c r="T51" s="7">
        <v>229.44</v>
      </c>
      <c r="U51" s="2"/>
      <c r="V51" s="6">
        <f t="shared" si="41"/>
        <v>1.6494098313280036E-2</v>
      </c>
      <c r="W51" s="2"/>
      <c r="X51" s="7">
        <f t="shared" si="42"/>
        <v>14.099999999999994</v>
      </c>
      <c r="Y51" s="2"/>
      <c r="Z51" s="6">
        <f t="shared" si="43"/>
        <v>6.1453974895397466E-2</v>
      </c>
    </row>
    <row r="52" spans="1:26" s="28" customFormat="1" outlineLevel="1" collapsed="1" x14ac:dyDescent="0.25">
      <c r="A52" s="27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SUM(OSRRefD22_9x_0)</f>
        <v>4110</v>
      </c>
      <c r="E52" s="1"/>
      <c r="F52" s="5">
        <f t="shared" si="36"/>
        <v>0.28361061849196434</v>
      </c>
      <c r="G52" s="1"/>
      <c r="H52" s="1">
        <f>SUM(OSRRefH22_9x_0)</f>
        <v>4280</v>
      </c>
      <c r="I52" s="1"/>
      <c r="J52" s="5">
        <f t="shared" si="37"/>
        <v>0.30768279629026568</v>
      </c>
      <c r="K52" s="1"/>
      <c r="L52" s="1">
        <f t="shared" si="38"/>
        <v>-170</v>
      </c>
      <c r="M52" s="1"/>
      <c r="N52" s="5">
        <f t="shared" si="39"/>
        <v>-3.9719626168224297E-2</v>
      </c>
      <c r="O52" s="14"/>
      <c r="P52" s="1">
        <f>SUM(OSRRefP22_9x_0)</f>
        <v>4110</v>
      </c>
      <c r="Q52" s="1"/>
      <c r="R52" s="5">
        <f t="shared" si="40"/>
        <v>0.28361061849196434</v>
      </c>
      <c r="S52" s="1"/>
      <c r="T52" s="1">
        <f>SUM(OSRRefT22_9x_0)</f>
        <v>4280</v>
      </c>
      <c r="U52" s="1"/>
      <c r="V52" s="5">
        <f t="shared" si="41"/>
        <v>0.30768279629026568</v>
      </c>
      <c r="W52" s="1"/>
      <c r="X52" s="1">
        <f t="shared" si="42"/>
        <v>-170</v>
      </c>
      <c r="Y52" s="1"/>
      <c r="Z52" s="5">
        <f t="shared" si="43"/>
        <v>-3.9719626168224297E-2</v>
      </c>
    </row>
    <row r="53" spans="1:26" s="24" customFormat="1" hidden="1" outlineLevel="2" x14ac:dyDescent="0.25">
      <c r="A53" s="29"/>
      <c r="B53" s="11" t="str">
        <f>CONCATENATE("          ", "6401", " - ", "INTEREST EXPENSE")</f>
        <v xml:space="preserve">          6401 - INTEREST EXPENSE</v>
      </c>
      <c r="C53" s="11"/>
      <c r="D53" s="7">
        <v>4110</v>
      </c>
      <c r="E53" s="2"/>
      <c r="F53" s="6">
        <f t="shared" si="36"/>
        <v>0.28361061849196434</v>
      </c>
      <c r="G53" s="2"/>
      <c r="H53" s="7">
        <v>4280</v>
      </c>
      <c r="I53" s="2"/>
      <c r="J53" s="6">
        <f t="shared" si="37"/>
        <v>0.30768279629026568</v>
      </c>
      <c r="K53" s="2"/>
      <c r="L53" s="7">
        <f t="shared" si="38"/>
        <v>-170</v>
      </c>
      <c r="M53" s="2"/>
      <c r="N53" s="6">
        <f t="shared" si="39"/>
        <v>-3.9719626168224297E-2</v>
      </c>
      <c r="O53" s="11"/>
      <c r="P53" s="7">
        <v>4110</v>
      </c>
      <c r="Q53" s="2"/>
      <c r="R53" s="6">
        <f t="shared" si="40"/>
        <v>0.28361061849196434</v>
      </c>
      <c r="S53" s="2"/>
      <c r="T53" s="7">
        <v>4280</v>
      </c>
      <c r="U53" s="2"/>
      <c r="V53" s="6">
        <f t="shared" si="41"/>
        <v>0.30768279629026568</v>
      </c>
      <c r="W53" s="2"/>
      <c r="X53" s="7">
        <f t="shared" si="42"/>
        <v>-170</v>
      </c>
      <c r="Y53" s="2"/>
      <c r="Z53" s="6">
        <f t="shared" si="43"/>
        <v>-3.9719626168224297E-2</v>
      </c>
    </row>
    <row r="54" spans="1:26" s="28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0</v>
      </c>
      <c r="E54" s="1"/>
      <c r="F54" s="5">
        <f t="shared" si="36"/>
        <v>0</v>
      </c>
      <c r="G54" s="1"/>
      <c r="H54" s="1">
        <f>SUM(OSRRefH22_10x_0)</f>
        <v>226.54</v>
      </c>
      <c r="I54" s="1"/>
      <c r="J54" s="5">
        <f t="shared" si="37"/>
        <v>1.628562165224224E-2</v>
      </c>
      <c r="K54" s="1"/>
      <c r="L54" s="1">
        <f t="shared" si="38"/>
        <v>-226.54</v>
      </c>
      <c r="M54" s="1"/>
      <c r="N54" s="5">
        <f t="shared" si="39"/>
        <v>-1</v>
      </c>
      <c r="O54" s="14"/>
      <c r="P54" s="1">
        <f>SUM(OSRRefP22_10x_0)</f>
        <v>0</v>
      </c>
      <c r="Q54" s="1"/>
      <c r="R54" s="5">
        <f t="shared" si="40"/>
        <v>0</v>
      </c>
      <c r="S54" s="1"/>
      <c r="T54" s="1">
        <f>SUM(OSRRefT22_10x_0)</f>
        <v>226.54</v>
      </c>
      <c r="U54" s="1"/>
      <c r="V54" s="5">
        <f t="shared" si="41"/>
        <v>1.628562165224224E-2</v>
      </c>
      <c r="W54" s="1"/>
      <c r="X54" s="1">
        <f t="shared" si="42"/>
        <v>-226.54</v>
      </c>
      <c r="Y54" s="1"/>
      <c r="Z54" s="5">
        <f t="shared" si="43"/>
        <v>-1</v>
      </c>
    </row>
    <row r="55" spans="1:26" s="24" customFormat="1" hidden="1" outlineLevel="2" x14ac:dyDescent="0.25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6"/>
        <v>0</v>
      </c>
      <c r="G55" s="2"/>
      <c r="H55" s="7">
        <v>226.54</v>
      </c>
      <c r="I55" s="2"/>
      <c r="J55" s="6">
        <f t="shared" si="37"/>
        <v>1.628562165224224E-2</v>
      </c>
      <c r="K55" s="2"/>
      <c r="L55" s="7">
        <f t="shared" si="38"/>
        <v>-226.54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226.54</v>
      </c>
      <c r="U55" s="2"/>
      <c r="V55" s="6">
        <f t="shared" si="41"/>
        <v>1.628562165224224E-2</v>
      </c>
      <c r="W55" s="2"/>
      <c r="X55" s="7">
        <f t="shared" si="42"/>
        <v>-226.54</v>
      </c>
      <c r="Y55" s="2"/>
      <c r="Z55" s="6">
        <f t="shared" si="43"/>
        <v>-1</v>
      </c>
    </row>
    <row r="56" spans="1:26" s="28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SUM(OSRRefD22_11x_0)</f>
        <v>436.71000000000004</v>
      </c>
      <c r="E56" s="1"/>
      <c r="F56" s="5">
        <f t="shared" si="36"/>
        <v>3.0135180827646171E-2</v>
      </c>
      <c r="G56" s="1"/>
      <c r="H56" s="1">
        <f>SUM(OSRRefH22_11x_0)</f>
        <v>399.35</v>
      </c>
      <c r="I56" s="1"/>
      <c r="J56" s="5">
        <f t="shared" si="37"/>
        <v>2.8708673994980751E-2</v>
      </c>
      <c r="K56" s="1"/>
      <c r="L56" s="1">
        <f t="shared" si="38"/>
        <v>37.360000000000014</v>
      </c>
      <c r="M56" s="1"/>
      <c r="N56" s="5">
        <f t="shared" si="39"/>
        <v>9.3552022035808216E-2</v>
      </c>
      <c r="O56" s="14"/>
      <c r="P56" s="1">
        <f>SUM(OSRRefP22_11x_0)</f>
        <v>436.71000000000004</v>
      </c>
      <c r="Q56" s="1"/>
      <c r="R56" s="5">
        <f t="shared" si="40"/>
        <v>3.0135180827646171E-2</v>
      </c>
      <c r="S56" s="1"/>
      <c r="T56" s="1">
        <f>SUM(OSRRefT22_11x_0)</f>
        <v>399.35</v>
      </c>
      <c r="U56" s="1"/>
      <c r="V56" s="5">
        <f t="shared" si="41"/>
        <v>2.8708673994980751E-2</v>
      </c>
      <c r="W56" s="1"/>
      <c r="X56" s="1">
        <f t="shared" si="42"/>
        <v>37.360000000000014</v>
      </c>
      <c r="Y56" s="1"/>
      <c r="Z56" s="5">
        <f t="shared" si="43"/>
        <v>9.3552022035808216E-2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7">
        <v>157.35</v>
      </c>
      <c r="E57" s="2"/>
      <c r="F57" s="6">
        <f t="shared" si="36"/>
        <v>1.0857939372192357E-2</v>
      </c>
      <c r="G57" s="2"/>
      <c r="H57" s="7">
        <v>157.35</v>
      </c>
      <c r="I57" s="2"/>
      <c r="J57" s="6">
        <f t="shared" si="37"/>
        <v>1.1311656073895632E-2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157.35</v>
      </c>
      <c r="Q57" s="2"/>
      <c r="R57" s="6">
        <f t="shared" si="40"/>
        <v>1.0857939372192357E-2</v>
      </c>
      <c r="S57" s="2"/>
      <c r="T57" s="7">
        <v>157.35</v>
      </c>
      <c r="U57" s="2"/>
      <c r="V57" s="6">
        <f t="shared" si="41"/>
        <v>1.1311656073895632E-2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25">
      <c r="A58" s="29"/>
      <c r="B58" s="11" t="str">
        <f>CONCATENATE("          ", "6284", " - ", "TRASH REMOVAL EXPENSE")</f>
        <v xml:space="preserve">          6284 - TRASH REMOVAL EXPENSE</v>
      </c>
      <c r="C58" s="11"/>
      <c r="D58" s="7">
        <v>237</v>
      </c>
      <c r="E58" s="2"/>
      <c r="F58" s="6">
        <f t="shared" si="36"/>
        <v>1.6354188949536632E-2</v>
      </c>
      <c r="G58" s="2"/>
      <c r="H58" s="7">
        <v>180</v>
      </c>
      <c r="I58" s="2"/>
      <c r="J58" s="6">
        <f t="shared" si="37"/>
        <v>1.2939930685104632E-2</v>
      </c>
      <c r="K58" s="2"/>
      <c r="L58" s="7">
        <f t="shared" si="38"/>
        <v>57</v>
      </c>
      <c r="M58" s="2"/>
      <c r="N58" s="6">
        <f t="shared" si="39"/>
        <v>0.31666666666666665</v>
      </c>
      <c r="O58" s="11"/>
      <c r="P58" s="7">
        <v>237</v>
      </c>
      <c r="Q58" s="2"/>
      <c r="R58" s="6">
        <f t="shared" si="40"/>
        <v>1.6354188949536632E-2</v>
      </c>
      <c r="S58" s="2"/>
      <c r="T58" s="7">
        <v>180</v>
      </c>
      <c r="U58" s="2"/>
      <c r="V58" s="6">
        <f t="shared" si="41"/>
        <v>1.2939930685104632E-2</v>
      </c>
      <c r="W58" s="2"/>
      <c r="X58" s="7">
        <f t="shared" si="42"/>
        <v>57</v>
      </c>
      <c r="Y58" s="2"/>
      <c r="Z58" s="6">
        <f t="shared" si="43"/>
        <v>0.31666666666666665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>
        <v>42.36</v>
      </c>
      <c r="E59" s="2"/>
      <c r="F59" s="6">
        <f t="shared" si="36"/>
        <v>2.9230525059171799E-3</v>
      </c>
      <c r="G59" s="2"/>
      <c r="H59" s="7">
        <v>62</v>
      </c>
      <c r="I59" s="2"/>
      <c r="J59" s="6">
        <f t="shared" si="37"/>
        <v>4.4570872359804845E-3</v>
      </c>
      <c r="K59" s="2"/>
      <c r="L59" s="7">
        <f t="shared" si="38"/>
        <v>-19.64</v>
      </c>
      <c r="M59" s="2"/>
      <c r="N59" s="6">
        <f t="shared" si="39"/>
        <v>-0.3167741935483871</v>
      </c>
      <c r="O59" s="11"/>
      <c r="P59" s="7">
        <v>42.36</v>
      </c>
      <c r="Q59" s="2"/>
      <c r="R59" s="6">
        <f t="shared" si="40"/>
        <v>2.9230525059171799E-3</v>
      </c>
      <c r="S59" s="2"/>
      <c r="T59" s="7">
        <v>62</v>
      </c>
      <c r="U59" s="2"/>
      <c r="V59" s="6">
        <f t="shared" si="41"/>
        <v>4.4570872359804845E-3</v>
      </c>
      <c r="W59" s="2"/>
      <c r="X59" s="7">
        <f t="shared" si="42"/>
        <v>-19.64</v>
      </c>
      <c r="Y59" s="2"/>
      <c r="Z59" s="6">
        <f t="shared" si="43"/>
        <v>-0.3167741935483871</v>
      </c>
    </row>
    <row r="60" spans="1:26" s="28" customFormat="1" outlineLevel="1" collapsed="1" x14ac:dyDescent="0.25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SUM(OSRRefD22_12x_0)</f>
        <v>176.4</v>
      </c>
      <c r="E60" s="1"/>
      <c r="F60" s="5">
        <f t="shared" ref="F60:F65" si="44">IF(D$12=0,0,D60/D$12)</f>
        <v>1.2172484939655113E-2</v>
      </c>
      <c r="G60" s="1"/>
      <c r="H60" s="1">
        <f>SUM(OSRRefH22_12x_0)</f>
        <v>0</v>
      </c>
      <c r="I60" s="1"/>
      <c r="J60" s="5">
        <f t="shared" ref="J60:J65" si="45">IF(H$12=0,0,H60/H$12)</f>
        <v>0</v>
      </c>
      <c r="K60" s="1"/>
      <c r="L60" s="1">
        <f t="shared" ref="L60:L65" si="46">+D60-H60</f>
        <v>176.4</v>
      </c>
      <c r="M60" s="1"/>
      <c r="N60" s="5">
        <f t="shared" ref="N60:N65" si="47">IF(H60=0,0,L60/H60)</f>
        <v>0</v>
      </c>
      <c r="O60" s="14"/>
      <c r="P60" s="1">
        <f>SUM(OSRRefP22_12x_0)</f>
        <v>176.4</v>
      </c>
      <c r="Q60" s="1"/>
      <c r="R60" s="5">
        <f t="shared" ref="R60:R65" si="48">IF(P$12=0,0,P60/P$12)</f>
        <v>1.2172484939655113E-2</v>
      </c>
      <c r="S60" s="1"/>
      <c r="T60" s="1">
        <f>SUM(OSRRefT22_12x_0)</f>
        <v>0</v>
      </c>
      <c r="U60" s="1"/>
      <c r="V60" s="5">
        <f t="shared" ref="V60:V65" si="49">IF(T$12=0,0,T60/T$12)</f>
        <v>0</v>
      </c>
      <c r="W60" s="1"/>
      <c r="X60" s="1">
        <f t="shared" ref="X60:X65" si="50">+P60-T60</f>
        <v>176.4</v>
      </c>
      <c r="Y60" s="1"/>
      <c r="Z60" s="5">
        <f t="shared" ref="Z60:Z65" si="51">IF(T60=0,0,X60/T60)</f>
        <v>0</v>
      </c>
    </row>
    <row r="61" spans="1:26" s="24" customFormat="1" hidden="1" outlineLevel="2" x14ac:dyDescent="0.25">
      <c r="A61" s="29"/>
      <c r="B61" s="11" t="str">
        <f>CONCATENATE("          ", "6275", " - ", "SUBSCRIPTIONS")</f>
        <v xml:space="preserve">          6275 - SUBSCRIPTIONS</v>
      </c>
      <c r="C61" s="11"/>
      <c r="D61" s="7">
        <v>176.4</v>
      </c>
      <c r="E61" s="2"/>
      <c r="F61" s="6">
        <f t="shared" si="44"/>
        <v>1.2172484939655113E-2</v>
      </c>
      <c r="G61" s="2"/>
      <c r="H61" s="7"/>
      <c r="I61" s="2"/>
      <c r="J61" s="6">
        <f t="shared" si="45"/>
        <v>0</v>
      </c>
      <c r="K61" s="2"/>
      <c r="L61" s="7">
        <f t="shared" si="46"/>
        <v>176.4</v>
      </c>
      <c r="M61" s="2"/>
      <c r="N61" s="6">
        <f t="shared" si="47"/>
        <v>0</v>
      </c>
      <c r="O61" s="11"/>
      <c r="P61" s="7">
        <v>176.4</v>
      </c>
      <c r="Q61" s="2"/>
      <c r="R61" s="6">
        <f t="shared" si="48"/>
        <v>1.2172484939655113E-2</v>
      </c>
      <c r="S61" s="2"/>
      <c r="T61" s="7"/>
      <c r="U61" s="2"/>
      <c r="V61" s="6">
        <f t="shared" si="49"/>
        <v>0</v>
      </c>
      <c r="W61" s="2"/>
      <c r="X61" s="7">
        <f t="shared" si="50"/>
        <v>176.4</v>
      </c>
      <c r="Y61" s="2"/>
      <c r="Z61" s="6">
        <f t="shared" si="51"/>
        <v>0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SUM(OSRRefD22_13x_0)</f>
        <v>276.91000000000003</v>
      </c>
      <c r="E62" s="1"/>
      <c r="F62" s="5">
        <f t="shared" si="44"/>
        <v>1.9108179164625268E-2</v>
      </c>
      <c r="G62" s="1"/>
      <c r="H62" s="1">
        <f>SUM(OSRRefH22_13x_0)</f>
        <v>2271.63</v>
      </c>
      <c r="I62" s="1"/>
      <c r="J62" s="5">
        <f t="shared" si="45"/>
        <v>0.16330408190113463</v>
      </c>
      <c r="K62" s="1"/>
      <c r="L62" s="1">
        <f t="shared" si="46"/>
        <v>-1994.72</v>
      </c>
      <c r="M62" s="1"/>
      <c r="N62" s="5">
        <f t="shared" si="47"/>
        <v>-0.8781007470406712</v>
      </c>
      <c r="O62" s="14"/>
      <c r="P62" s="1">
        <f>SUM(OSRRefP22_13x_0)</f>
        <v>276.91000000000003</v>
      </c>
      <c r="Q62" s="1"/>
      <c r="R62" s="5">
        <f t="shared" si="48"/>
        <v>1.9108179164625268E-2</v>
      </c>
      <c r="S62" s="1"/>
      <c r="T62" s="1">
        <f>SUM(OSRRefT22_13x_0)</f>
        <v>2271.63</v>
      </c>
      <c r="U62" s="1"/>
      <c r="V62" s="5">
        <f t="shared" si="49"/>
        <v>0.16330408190113463</v>
      </c>
      <c r="W62" s="1"/>
      <c r="X62" s="1">
        <f t="shared" si="50"/>
        <v>-1994.72</v>
      </c>
      <c r="Y62" s="1"/>
      <c r="Z62" s="5">
        <f t="shared" si="51"/>
        <v>-0.8781007470406712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/>
      <c r="E63" s="2"/>
      <c r="F63" s="6">
        <f t="shared" si="44"/>
        <v>0</v>
      </c>
      <c r="G63" s="2"/>
      <c r="H63" s="7">
        <v>1763.54</v>
      </c>
      <c r="I63" s="2"/>
      <c r="J63" s="6">
        <f t="shared" si="45"/>
        <v>0.12677825200227458</v>
      </c>
      <c r="K63" s="2"/>
      <c r="L63" s="7">
        <f t="shared" si="46"/>
        <v>-1763.54</v>
      </c>
      <c r="M63" s="2"/>
      <c r="N63" s="6">
        <f t="shared" si="47"/>
        <v>-1</v>
      </c>
      <c r="O63" s="11"/>
      <c r="P63" s="7"/>
      <c r="Q63" s="2"/>
      <c r="R63" s="6">
        <f t="shared" si="48"/>
        <v>0</v>
      </c>
      <c r="S63" s="2"/>
      <c r="T63" s="7">
        <v>1763.54</v>
      </c>
      <c r="U63" s="2"/>
      <c r="V63" s="6">
        <f t="shared" si="49"/>
        <v>0.12677825200227458</v>
      </c>
      <c r="W63" s="2"/>
      <c r="X63" s="7">
        <f t="shared" si="50"/>
        <v>-1763.54</v>
      </c>
      <c r="Y63" s="2"/>
      <c r="Z63" s="6">
        <f t="shared" si="51"/>
        <v>-1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44"/>
        <v>0</v>
      </c>
      <c r="G64" s="2"/>
      <c r="H64" s="7">
        <v>140.53</v>
      </c>
      <c r="I64" s="2"/>
      <c r="J64" s="6">
        <f t="shared" si="45"/>
        <v>1.0102491439876411E-2</v>
      </c>
      <c r="K64" s="2"/>
      <c r="L64" s="7">
        <f t="shared" si="46"/>
        <v>-140.53</v>
      </c>
      <c r="M64" s="2"/>
      <c r="N64" s="6">
        <f t="shared" si="47"/>
        <v>-1</v>
      </c>
      <c r="O64" s="11"/>
      <c r="P64" s="7"/>
      <c r="Q64" s="2"/>
      <c r="R64" s="6">
        <f t="shared" si="48"/>
        <v>0</v>
      </c>
      <c r="S64" s="2"/>
      <c r="T64" s="7">
        <v>140.53</v>
      </c>
      <c r="U64" s="2"/>
      <c r="V64" s="6">
        <f t="shared" si="49"/>
        <v>1.0102491439876411E-2</v>
      </c>
      <c r="W64" s="2"/>
      <c r="X64" s="7">
        <f t="shared" si="50"/>
        <v>-140.53</v>
      </c>
      <c r="Y64" s="2"/>
      <c r="Z64" s="6">
        <f t="shared" si="51"/>
        <v>-1</v>
      </c>
    </row>
    <row r="65" spans="1:26" s="24" customFormat="1" hidden="1" outlineLevel="2" x14ac:dyDescent="0.25">
      <c r="A65" s="29"/>
      <c r="B65" s="11" t="str">
        <f>CONCATENATE("          ", "6247", " - ", "STORE SUPPLIES")</f>
        <v xml:space="preserve">          6247 - STORE SUPPLIES</v>
      </c>
      <c r="C65" s="11"/>
      <c r="D65" s="7">
        <v>276.91000000000003</v>
      </c>
      <c r="E65" s="2"/>
      <c r="F65" s="6">
        <f t="shared" si="44"/>
        <v>1.9108179164625268E-2</v>
      </c>
      <c r="G65" s="2"/>
      <c r="H65" s="7">
        <v>367.56</v>
      </c>
      <c r="I65" s="2"/>
      <c r="J65" s="6">
        <f t="shared" si="45"/>
        <v>2.6423338458983658E-2</v>
      </c>
      <c r="K65" s="2"/>
      <c r="L65" s="7">
        <f t="shared" si="46"/>
        <v>-90.649999999999977</v>
      </c>
      <c r="M65" s="2"/>
      <c r="N65" s="6">
        <f t="shared" si="47"/>
        <v>-0.24662640113178794</v>
      </c>
      <c r="O65" s="11"/>
      <c r="P65" s="7">
        <v>276.91000000000003</v>
      </c>
      <c r="Q65" s="2"/>
      <c r="R65" s="6">
        <f t="shared" si="48"/>
        <v>1.9108179164625268E-2</v>
      </c>
      <c r="S65" s="2"/>
      <c r="T65" s="7">
        <v>367.56</v>
      </c>
      <c r="U65" s="2"/>
      <c r="V65" s="6">
        <f t="shared" si="49"/>
        <v>2.6423338458983658E-2</v>
      </c>
      <c r="W65" s="2"/>
      <c r="X65" s="7">
        <f t="shared" si="50"/>
        <v>-90.649999999999977</v>
      </c>
      <c r="Y65" s="2"/>
      <c r="Z65" s="6">
        <f t="shared" si="51"/>
        <v>-0.24662640113178794</v>
      </c>
    </row>
    <row r="66" spans="1:26" s="28" customFormat="1" outlineLevel="1" collapsed="1" x14ac:dyDescent="0.25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SUM(OSRRefD22_14x_0)</f>
        <v>37.25</v>
      </c>
      <c r="E66" s="1"/>
      <c r="F66" s="5">
        <f t="shared" ref="F66:F69" si="52">IF(D$12=0,0,D66/D$12)</f>
        <v>2.5704368707605042E-3</v>
      </c>
      <c r="G66" s="1"/>
      <c r="H66" s="1">
        <f>SUM(OSRRefH22_14x_0)</f>
        <v>38.049999999999997</v>
      </c>
      <c r="I66" s="1"/>
      <c r="J66" s="5">
        <f t="shared" ref="J66:J69" si="53">IF(H$12=0,0,H66/H$12)</f>
        <v>2.7353575698235064E-3</v>
      </c>
      <c r="K66" s="1"/>
      <c r="L66" s="1">
        <f t="shared" ref="L66:L69" si="54">+D66-H66</f>
        <v>-0.79999999999999716</v>
      </c>
      <c r="M66" s="1"/>
      <c r="N66" s="5">
        <f t="shared" ref="N66:N69" si="55">IF(H66=0,0,L66/H66)</f>
        <v>-2.1024967148488758E-2</v>
      </c>
      <c r="O66" s="14"/>
      <c r="P66" s="1">
        <f>SUM(OSRRefP22_14x_0)</f>
        <v>37.25</v>
      </c>
      <c r="Q66" s="1"/>
      <c r="R66" s="5">
        <f t="shared" ref="R66:R69" si="56">IF(P$12=0,0,P66/P$12)</f>
        <v>2.5704368707605042E-3</v>
      </c>
      <c r="S66" s="1"/>
      <c r="T66" s="1">
        <f>SUM(OSRRefT22_14x_0)</f>
        <v>38.049999999999997</v>
      </c>
      <c r="U66" s="1"/>
      <c r="V66" s="5">
        <f t="shared" ref="V66:V69" si="57">IF(T$12=0,0,T66/T$12)</f>
        <v>2.7353575698235064E-3</v>
      </c>
      <c r="W66" s="1"/>
      <c r="X66" s="1">
        <f t="shared" ref="X66:X69" si="58">+P66-T66</f>
        <v>-0.79999999999999716</v>
      </c>
      <c r="Y66" s="1"/>
      <c r="Z66" s="5">
        <f t="shared" ref="Z66:Z69" si="59">IF(T66=0,0,X66/T66)</f>
        <v>-2.1024967148488758E-2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7">
        <v>37.25</v>
      </c>
      <c r="E67" s="2"/>
      <c r="F67" s="6">
        <f t="shared" si="52"/>
        <v>2.5704368707605042E-3</v>
      </c>
      <c r="G67" s="2"/>
      <c r="H67" s="7">
        <v>38.049999999999997</v>
      </c>
      <c r="I67" s="2"/>
      <c r="J67" s="6">
        <f t="shared" si="53"/>
        <v>2.7353575698235064E-3</v>
      </c>
      <c r="K67" s="2"/>
      <c r="L67" s="7">
        <f t="shared" si="54"/>
        <v>-0.79999999999999716</v>
      </c>
      <c r="M67" s="2"/>
      <c r="N67" s="6">
        <f t="shared" si="55"/>
        <v>-2.1024967148488758E-2</v>
      </c>
      <c r="O67" s="11"/>
      <c r="P67" s="7">
        <v>37.25</v>
      </c>
      <c r="Q67" s="2"/>
      <c r="R67" s="6">
        <f t="shared" si="56"/>
        <v>2.5704368707605042E-3</v>
      </c>
      <c r="S67" s="2"/>
      <c r="T67" s="7">
        <v>38.049999999999997</v>
      </c>
      <c r="U67" s="2"/>
      <c r="V67" s="6">
        <f t="shared" si="57"/>
        <v>2.7353575698235064E-3</v>
      </c>
      <c r="W67" s="2"/>
      <c r="X67" s="7">
        <f t="shared" si="58"/>
        <v>-0.79999999999999716</v>
      </c>
      <c r="Y67" s="2"/>
      <c r="Z67" s="6">
        <f t="shared" si="59"/>
        <v>-2.1024967148488758E-2</v>
      </c>
    </row>
    <row r="68" spans="1:26" s="28" customFormat="1" outlineLevel="1" collapsed="1" x14ac:dyDescent="0.25">
      <c r="A68" s="27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SUM(OSRRefD22_15x_0)</f>
        <v>771</v>
      </c>
      <c r="E68" s="1"/>
      <c r="F68" s="5">
        <f t="shared" si="52"/>
        <v>5.3202867848492583E-2</v>
      </c>
      <c r="G68" s="1"/>
      <c r="H68" s="1">
        <f>SUM(OSRRefH22_15x_0)</f>
        <v>869</v>
      </c>
      <c r="I68" s="1"/>
      <c r="J68" s="5">
        <f t="shared" si="53"/>
        <v>6.2471109807532912E-2</v>
      </c>
      <c r="K68" s="1"/>
      <c r="L68" s="1">
        <f t="shared" si="54"/>
        <v>-98</v>
      </c>
      <c r="M68" s="1"/>
      <c r="N68" s="5">
        <f t="shared" si="55"/>
        <v>-0.11277330264672036</v>
      </c>
      <c r="O68" s="14"/>
      <c r="P68" s="1">
        <f>SUM(OSRRefP22_15x_0)</f>
        <v>771</v>
      </c>
      <c r="Q68" s="1"/>
      <c r="R68" s="5">
        <f t="shared" si="56"/>
        <v>5.3202867848492583E-2</v>
      </c>
      <c r="S68" s="1"/>
      <c r="T68" s="1">
        <f>SUM(OSRRefT22_15x_0)</f>
        <v>869</v>
      </c>
      <c r="U68" s="1"/>
      <c r="V68" s="5">
        <f t="shared" si="57"/>
        <v>6.2471109807532912E-2</v>
      </c>
      <c r="W68" s="1"/>
      <c r="X68" s="1">
        <f t="shared" si="58"/>
        <v>-98</v>
      </c>
      <c r="Y68" s="1"/>
      <c r="Z68" s="5">
        <f t="shared" si="59"/>
        <v>-0.11277330264672036</v>
      </c>
    </row>
    <row r="69" spans="1:26" s="24" customFormat="1" hidden="1" outlineLevel="2" x14ac:dyDescent="0.25">
      <c r="A69" s="29"/>
      <c r="B69" s="11" t="str">
        <f>CONCATENATE("          ", "6274", " - ", "UTILITIES")</f>
        <v xml:space="preserve">          6274 - UTILITIES</v>
      </c>
      <c r="C69" s="11"/>
      <c r="D69" s="7">
        <v>771</v>
      </c>
      <c r="E69" s="2"/>
      <c r="F69" s="6">
        <f t="shared" si="52"/>
        <v>5.3202867848492583E-2</v>
      </c>
      <c r="G69" s="2"/>
      <c r="H69" s="7">
        <v>869</v>
      </c>
      <c r="I69" s="2"/>
      <c r="J69" s="6">
        <f t="shared" si="53"/>
        <v>6.2471109807532912E-2</v>
      </c>
      <c r="K69" s="2"/>
      <c r="L69" s="7">
        <f t="shared" si="54"/>
        <v>-98</v>
      </c>
      <c r="M69" s="2"/>
      <c r="N69" s="6">
        <f t="shared" si="55"/>
        <v>-0.11277330264672036</v>
      </c>
      <c r="O69" s="11"/>
      <c r="P69" s="7">
        <v>771</v>
      </c>
      <c r="Q69" s="2"/>
      <c r="R69" s="6">
        <f t="shared" si="56"/>
        <v>5.3202867848492583E-2</v>
      </c>
      <c r="S69" s="2"/>
      <c r="T69" s="7">
        <v>869</v>
      </c>
      <c r="U69" s="2"/>
      <c r="V69" s="6">
        <f t="shared" si="57"/>
        <v>6.2471109807532912E-2</v>
      </c>
      <c r="W69" s="2"/>
      <c r="X69" s="7">
        <f t="shared" si="58"/>
        <v>-98</v>
      </c>
      <c r="Y69" s="2"/>
      <c r="Z69" s="6">
        <f t="shared" si="59"/>
        <v>-0.11277330264672036</v>
      </c>
    </row>
    <row r="70" spans="1:26" s="54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6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3</v>
      </c>
      <c r="C73" s="25"/>
      <c r="D73" s="21">
        <f>+D20-D22+D71</f>
        <v>-15968.800000000001</v>
      </c>
      <c r="E73" s="13"/>
      <c r="F73" s="20">
        <f>IF(D$12=0,0,D73/D$12)</f>
        <v>-1.1019273101154454</v>
      </c>
      <c r="G73" s="13"/>
      <c r="H73" s="21">
        <f>+H20-H22+H71</f>
        <v>-16245.460000000003</v>
      </c>
      <c r="I73" s="13"/>
      <c r="J73" s="20">
        <f>IF(H$12=0,0,H73/H$12)</f>
        <v>-1.1678618130424441</v>
      </c>
      <c r="K73" s="16"/>
      <c r="L73" s="21">
        <f>+D73-H73</f>
        <v>276.66000000000167</v>
      </c>
      <c r="M73" s="16"/>
      <c r="N73" s="20">
        <f>IF(H73=0,0,L73/H73)</f>
        <v>-1.7029988686069933E-2</v>
      </c>
      <c r="O73" s="26"/>
      <c r="P73" s="21">
        <f>+P20-P22+P71</f>
        <v>-15968.800000000001</v>
      </c>
      <c r="Q73" s="13"/>
      <c r="R73" s="20">
        <f>IF(P$12=0,0,P73/P$12)</f>
        <v>-1.1019273101154454</v>
      </c>
      <c r="S73" s="13"/>
      <c r="T73" s="21">
        <f>+T20-T22+T71</f>
        <v>-16245.460000000003</v>
      </c>
      <c r="U73" s="13"/>
      <c r="V73" s="20">
        <f>IF(T$12=0,0,T73/T$12)</f>
        <v>-1.1678618130424441</v>
      </c>
      <c r="W73" s="16"/>
      <c r="X73" s="21">
        <f>+P73-T73</f>
        <v>276.66000000000167</v>
      </c>
      <c r="Y73" s="16"/>
      <c r="Z73" s="20">
        <f>IF(T73=0,0,X73/T73)</f>
        <v>-1.7029988686069933E-2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3013.25</v>
      </c>
      <c r="E75" s="4"/>
      <c r="F75" s="12">
        <f>IF(D$12=0,0,D75/D$12)</f>
        <v>0.20792936646494198</v>
      </c>
      <c r="G75" s="4"/>
      <c r="H75" s="4">
        <v>2855.82</v>
      </c>
      <c r="I75" s="4"/>
      <c r="J75" s="12">
        <f>IF(H$12=0,0,H75/H$12)</f>
        <v>0.20530062693964174</v>
      </c>
      <c r="K75" s="4"/>
      <c r="L75" s="4">
        <f>+D75-H75</f>
        <v>157.42999999999984</v>
      </c>
      <c r="M75" s="4"/>
      <c r="N75" s="12">
        <f>IF(H75=0,0,L75/H75)</f>
        <v>5.5126023348810442E-2</v>
      </c>
      <c r="O75" s="10"/>
      <c r="P75" s="4">
        <v>3013.25</v>
      </c>
      <c r="Q75" s="4"/>
      <c r="R75" s="12">
        <f>IF(P$12=0,0,P75/P$12)</f>
        <v>0.20792936646494198</v>
      </c>
      <c r="S75" s="4"/>
      <c r="T75" s="4">
        <v>2855.82</v>
      </c>
      <c r="U75" s="4"/>
      <c r="V75" s="12">
        <f>IF(T$12=0,0,T75/T$12)</f>
        <v>0.20530062693964174</v>
      </c>
      <c r="W75" s="4"/>
      <c r="X75" s="4">
        <f>+P75-T75</f>
        <v>157.42999999999984</v>
      </c>
      <c r="Y75" s="4"/>
      <c r="Z75" s="12">
        <f>IF(T75=0,0,X75/T75)</f>
        <v>5.5126023348810442E-2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4</v>
      </c>
      <c r="C77" s="25"/>
      <c r="D77" s="33">
        <f>+D73-D75</f>
        <v>-18982.050000000003</v>
      </c>
      <c r="E77" s="13"/>
      <c r="F77" s="34">
        <f>IF(D$12=0,0,D77/D$12)</f>
        <v>-1.3098566765803876</v>
      </c>
      <c r="G77" s="13"/>
      <c r="H77" s="33">
        <f>+H73-H75</f>
        <v>-19101.280000000002</v>
      </c>
      <c r="I77" s="13"/>
      <c r="J77" s="34">
        <f>IF(H$12=0,0,H77/H$12)</f>
        <v>-1.3731624399820856</v>
      </c>
      <c r="K77" s="16"/>
      <c r="L77" s="33">
        <f>D77-H77</f>
        <v>119.22999999999956</v>
      </c>
      <c r="M77" s="16"/>
      <c r="N77" s="34">
        <f>IF(H77=0,0,L77/H77)</f>
        <v>-6.2419900655872043E-3</v>
      </c>
      <c r="O77" s="26"/>
      <c r="P77" s="33">
        <f>+P73-P75</f>
        <v>-18982.050000000003</v>
      </c>
      <c r="Q77" s="13"/>
      <c r="R77" s="34">
        <f>IF(P$12=0,0,P77/P$12)</f>
        <v>-1.3098566765803876</v>
      </c>
      <c r="S77" s="13"/>
      <c r="T77" s="33">
        <f>+T73-T75</f>
        <v>-19101.280000000002</v>
      </c>
      <c r="U77" s="13"/>
      <c r="V77" s="34">
        <f>IF(T$12=0,0,T77/T$12)</f>
        <v>-1.3731624399820856</v>
      </c>
      <c r="W77" s="16"/>
      <c r="X77" s="33">
        <f>P77-T77</f>
        <v>119.22999999999956</v>
      </c>
      <c r="Y77" s="16"/>
      <c r="Z77" s="34">
        <f>IF(T77=0,0,X77/T77)</f>
        <v>-6.2419900655872043E-3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5</v>
      </c>
      <c r="C80" s="25"/>
      <c r="D80" s="31">
        <f>SUM(D77:D79)</f>
        <v>-18982.050000000003</v>
      </c>
      <c r="E80" s="13"/>
      <c r="F80" s="30">
        <f>IF(D$12=0,0,D80/D$12)</f>
        <v>-1.3098566765803876</v>
      </c>
      <c r="G80" s="13"/>
      <c r="H80" s="31">
        <f>SUM(H77:H79)</f>
        <v>-19101.280000000002</v>
      </c>
      <c r="I80" s="13"/>
      <c r="J80" s="30">
        <f>IF(H$12=0,0,H80/H$12)</f>
        <v>-1.3731624399820856</v>
      </c>
      <c r="K80" s="16"/>
      <c r="L80" s="31">
        <f>+D80-H80</f>
        <v>119.22999999999956</v>
      </c>
      <c r="M80" s="16"/>
      <c r="N80" s="30">
        <f>IF(H80=0,0,L80/H80)</f>
        <v>-6.2419900655872043E-3</v>
      </c>
      <c r="O80" s="26"/>
      <c r="P80" s="31">
        <f>SUM(P77:P79)</f>
        <v>-18982.050000000003</v>
      </c>
      <c r="Q80" s="13"/>
      <c r="R80" s="30">
        <f>IF(P$12=0,0,P80/P$12)</f>
        <v>-1.3098566765803876</v>
      </c>
      <c r="S80" s="13"/>
      <c r="T80" s="31">
        <f>SUM(T77:T79)</f>
        <v>-19101.280000000002</v>
      </c>
      <c r="U80" s="13"/>
      <c r="V80" s="30">
        <f>IF(T$12=0,0,T80/T$12)</f>
        <v>-1.3731624399820856</v>
      </c>
      <c r="W80" s="16"/>
      <c r="X80" s="31">
        <f>+P80-T80</f>
        <v>119.22999999999956</v>
      </c>
      <c r="Y80" s="16"/>
      <c r="Z80" s="30">
        <f>IF(T80=0,0,X80/T80)</f>
        <v>-6.2419900655872043E-3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>
        <v>43726.68206608796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3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237</v>
      </c>
      <c r="E12" s="4"/>
      <c r="F12" s="12"/>
      <c r="G12" s="4"/>
      <c r="H12" s="4">
        <f>SUM(OSRRefH13x_0)</f>
        <v>160.25</v>
      </c>
      <c r="I12" s="4"/>
      <c r="J12" s="12"/>
      <c r="K12" s="4"/>
      <c r="L12" s="4">
        <f t="shared" ref="L12:L13" si="0">+D12-H12</f>
        <v>76.75</v>
      </c>
      <c r="M12" s="4"/>
      <c r="N12" s="12">
        <f t="shared" ref="N12:N13" si="1">IF(H12=0,0,L12/H12)</f>
        <v>0.47893915756630268</v>
      </c>
      <c r="O12" s="10"/>
      <c r="P12" s="4">
        <f>SUM(OSRRefP13x_0)</f>
        <v>237</v>
      </c>
      <c r="Q12" s="4"/>
      <c r="R12" s="12"/>
      <c r="S12" s="4"/>
      <c r="T12" s="4">
        <f>SUM(OSRRefT13x_0)</f>
        <v>160.25</v>
      </c>
      <c r="U12" s="4"/>
      <c r="V12" s="12"/>
      <c r="W12" s="4"/>
      <c r="X12" s="4">
        <f t="shared" ref="X12:X13" si="2">+P12-T12</f>
        <v>76.75</v>
      </c>
      <c r="Y12" s="4"/>
      <c r="Z12" s="12">
        <f t="shared" ref="Z12:Z13" si="3">IF(T12=0,0,X12/T12)</f>
        <v>0.47893915756630268</v>
      </c>
    </row>
    <row r="13" spans="1:26" s="24" customFormat="1" hidden="1" outlineLevel="1" x14ac:dyDescent="0.25">
      <c r="A13" s="50"/>
      <c r="B13" s="11" t="str">
        <f>CONCATENATE("          ", "4153", " - ", "NON-TAXABLE SALES-FOOD")</f>
        <v xml:space="preserve">          4153 - NON-TAXABLE SALES-FOOD</v>
      </c>
      <c r="C13" s="11"/>
      <c r="D13" s="2">
        <f>--237</f>
        <v>237</v>
      </c>
      <c r="E13" s="2"/>
      <c r="F13" s="22"/>
      <c r="G13" s="2"/>
      <c r="H13" s="2">
        <f>--160.25</f>
        <v>160.25</v>
      </c>
      <c r="I13" s="2"/>
      <c r="J13" s="22"/>
      <c r="K13" s="2"/>
      <c r="L13" s="2">
        <f t="shared" si="0"/>
        <v>76.75</v>
      </c>
      <c r="M13" s="2"/>
      <c r="N13" s="22">
        <f t="shared" si="1"/>
        <v>0.47893915756630268</v>
      </c>
      <c r="O13" s="11"/>
      <c r="P13" s="2">
        <f>--237</f>
        <v>237</v>
      </c>
      <c r="Q13" s="2"/>
      <c r="R13" s="22"/>
      <c r="S13" s="2"/>
      <c r="T13" s="2">
        <f>--160.25</f>
        <v>160.25</v>
      </c>
      <c r="U13" s="2"/>
      <c r="V13" s="22"/>
      <c r="W13" s="2"/>
      <c r="X13" s="2">
        <f t="shared" si="2"/>
        <v>76.75</v>
      </c>
      <c r="Y13" s="2"/>
      <c r="Z13" s="22">
        <f t="shared" si="3"/>
        <v>0.47893915756630268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-2250.04</v>
      </c>
      <c r="E15" s="4"/>
      <c r="F15" s="12">
        <f t="shared" ref="F15:F16" si="4">IF(D$12=0,0,D15/D$12)</f>
        <v>-9.4938396624472574</v>
      </c>
      <c r="G15" s="4"/>
      <c r="H15" s="4">
        <f>SUM(OSRRefH16x_0)</f>
        <v>103</v>
      </c>
      <c r="I15" s="4"/>
      <c r="J15" s="12">
        <f t="shared" ref="J15:J16" si="5">IF(H$12=0,0,H15/H$12)</f>
        <v>0.64274570982839319</v>
      </c>
      <c r="K15" s="4"/>
      <c r="L15" s="4">
        <f t="shared" ref="L15:L16" si="6">+D15-H15</f>
        <v>-2353.04</v>
      </c>
      <c r="M15" s="4"/>
      <c r="N15" s="12">
        <f t="shared" ref="N15:N16" si="7">IF(H15=0,0,L15/H15)</f>
        <v>-22.84504854368932</v>
      </c>
      <c r="O15" s="10"/>
      <c r="P15" s="4">
        <f>SUM(OSRRefP16x_0)</f>
        <v>-2250.04</v>
      </c>
      <c r="Q15" s="4"/>
      <c r="R15" s="12">
        <f t="shared" ref="R15:R16" si="8">IF(P$12=0,0,P15/P$12)</f>
        <v>-9.4938396624472574</v>
      </c>
      <c r="S15" s="4"/>
      <c r="T15" s="4">
        <f>SUM(OSRRefT16x_0)</f>
        <v>103</v>
      </c>
      <c r="U15" s="4"/>
      <c r="V15" s="12">
        <f t="shared" ref="V15:V16" si="9">IF(T$12=0,0,T15/T$12)</f>
        <v>0.64274570982839319</v>
      </c>
      <c r="W15" s="4"/>
      <c r="X15" s="4">
        <f t="shared" ref="X15:X16" si="10">+P15-T15</f>
        <v>-2353.04</v>
      </c>
      <c r="Y15" s="4"/>
      <c r="Z15" s="12">
        <f t="shared" ref="Z15:Z16" si="11">IF(T15=0,0,X15/T15)</f>
        <v>-22.84504854368932</v>
      </c>
    </row>
    <row r="16" spans="1:26" s="24" customFormat="1" hidden="1" outlineLevel="1" x14ac:dyDescent="0.25">
      <c r="A16" s="50"/>
      <c r="B16" s="11" t="str">
        <f>CONCATENATE("          ", "5059", " - ", "PURCHASES @ COST-FOOD")</f>
        <v xml:space="preserve">          5059 - PURCHASES @ COST-FOOD</v>
      </c>
      <c r="C16" s="11"/>
      <c r="D16" s="2">
        <v>-2250.04</v>
      </c>
      <c r="E16" s="2"/>
      <c r="F16" s="22">
        <f t="shared" si="4"/>
        <v>-9.4938396624472574</v>
      </c>
      <c r="G16" s="2"/>
      <c r="H16" s="2">
        <v>103</v>
      </c>
      <c r="I16" s="2"/>
      <c r="J16" s="22">
        <f t="shared" si="5"/>
        <v>0.64274570982839319</v>
      </c>
      <c r="K16" s="2"/>
      <c r="L16" s="2">
        <f t="shared" si="6"/>
        <v>-2353.04</v>
      </c>
      <c r="M16" s="2"/>
      <c r="N16" s="22">
        <f t="shared" si="7"/>
        <v>-22.84504854368932</v>
      </c>
      <c r="O16" s="11"/>
      <c r="P16" s="2">
        <v>-2250.04</v>
      </c>
      <c r="Q16" s="2"/>
      <c r="R16" s="22">
        <f t="shared" si="8"/>
        <v>-9.4938396624472574</v>
      </c>
      <c r="S16" s="2"/>
      <c r="T16" s="2">
        <v>103</v>
      </c>
      <c r="U16" s="2"/>
      <c r="V16" s="22">
        <f t="shared" si="9"/>
        <v>0.64274570982839319</v>
      </c>
      <c r="W16" s="2"/>
      <c r="X16" s="2">
        <f t="shared" si="10"/>
        <v>-2353.04</v>
      </c>
      <c r="Y16" s="2"/>
      <c r="Z16" s="22">
        <f t="shared" si="11"/>
        <v>-22.84504854368932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>
        <f>D12-D15</f>
        <v>2487.04</v>
      </c>
      <c r="E18" s="13"/>
      <c r="F18" s="20">
        <f>IF(D$12=0,0,D18/D$12)</f>
        <v>10.493839662447257</v>
      </c>
      <c r="G18" s="13"/>
      <c r="H18" s="21">
        <f>H12-H15</f>
        <v>57.25</v>
      </c>
      <c r="I18" s="13"/>
      <c r="J18" s="20">
        <f>IF(H$12=0,0,H18/H$12)</f>
        <v>0.35725429017160687</v>
      </c>
      <c r="K18" s="16"/>
      <c r="L18" s="21">
        <f>+D18-H18</f>
        <v>2429.79</v>
      </c>
      <c r="M18" s="16"/>
      <c r="N18" s="20">
        <f>IF(H18=0,0,L18/H18)</f>
        <v>42.441746724890827</v>
      </c>
      <c r="O18" s="26"/>
      <c r="P18" s="21">
        <f>P12-P15</f>
        <v>2487.04</v>
      </c>
      <c r="Q18" s="13"/>
      <c r="R18" s="20">
        <f>IF(P$12=0,0,P18/P$12)</f>
        <v>10.493839662447257</v>
      </c>
      <c r="S18" s="13"/>
      <c r="T18" s="21">
        <f>T12-T15</f>
        <v>57.25</v>
      </c>
      <c r="U18" s="13"/>
      <c r="V18" s="20">
        <f>IF(T$12=0,0,T18/T$12)</f>
        <v>0.35725429017160687</v>
      </c>
      <c r="W18" s="16"/>
      <c r="X18" s="21">
        <f>+P18-T18</f>
        <v>2429.79</v>
      </c>
      <c r="Y18" s="16"/>
      <c r="Z18" s="20">
        <f>IF(T18=0,0,X18/T18)</f>
        <v>42.441746724890827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>
        <f>SUM(OSRRefD22x_0)</f>
        <v>53.96</v>
      </c>
      <c r="E20" s="19"/>
      <c r="F20" s="35">
        <f t="shared" ref="F20:F22" si="12">IF(D$12=0,0,D20/D$12)</f>
        <v>0.22767932489451478</v>
      </c>
      <c r="G20" s="19"/>
      <c r="H20" s="19">
        <f>SUM(OSRRefH22x_0)</f>
        <v>46.22</v>
      </c>
      <c r="I20" s="19"/>
      <c r="J20" s="35">
        <f t="shared" ref="J20:J22" si="13">IF(H$12=0,0,H20/H$12)</f>
        <v>0.28842433697347891</v>
      </c>
      <c r="K20" s="4"/>
      <c r="L20" s="19">
        <f t="shared" ref="L20:L22" si="14">+D20-H20</f>
        <v>7.740000000000002</v>
      </c>
      <c r="M20" s="4"/>
      <c r="N20" s="35">
        <f t="shared" ref="N20:N22" si="15">IF(H20=0,0,L20/H20)</f>
        <v>0.16745997403721338</v>
      </c>
      <c r="O20" s="10"/>
      <c r="P20" s="19">
        <f>SUM(OSRRefP22x_0)</f>
        <v>53.96</v>
      </c>
      <c r="Q20" s="19"/>
      <c r="R20" s="35">
        <f t="shared" ref="R20:R22" si="16">IF(P$12=0,0,P20/P$12)</f>
        <v>0.22767932489451478</v>
      </c>
      <c r="S20" s="19"/>
      <c r="T20" s="19">
        <f>SUM(OSRRefT22x_0)</f>
        <v>46.22</v>
      </c>
      <c r="U20" s="19"/>
      <c r="V20" s="35">
        <f t="shared" ref="V20:V22" si="17">IF(T$12=0,0,T20/T$12)</f>
        <v>0.28842433697347891</v>
      </c>
      <c r="W20" s="4"/>
      <c r="X20" s="19">
        <f t="shared" ref="X20:X22" si="18">+P20-T20</f>
        <v>7.740000000000002</v>
      </c>
      <c r="Y20" s="4"/>
      <c r="Z20" s="35">
        <f t="shared" ref="Z20:Z22" si="19">IF(T20=0,0,X20/T20)</f>
        <v>0.16745997403721338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53.96</v>
      </c>
      <c r="E21" s="1"/>
      <c r="F21" s="5">
        <f t="shared" si="12"/>
        <v>0.22767932489451478</v>
      </c>
      <c r="G21" s="1"/>
      <c r="H21" s="1">
        <f>SUM(OSRRefH22_0x_0)</f>
        <v>46.22</v>
      </c>
      <c r="I21" s="1"/>
      <c r="J21" s="5">
        <f t="shared" si="13"/>
        <v>0.28842433697347891</v>
      </c>
      <c r="K21" s="1"/>
      <c r="L21" s="1">
        <f t="shared" si="14"/>
        <v>7.740000000000002</v>
      </c>
      <c r="M21" s="1"/>
      <c r="N21" s="5">
        <f t="shared" si="15"/>
        <v>0.16745997403721338</v>
      </c>
      <c r="O21" s="14"/>
      <c r="P21" s="1">
        <f>SUM(OSRRefP22_0x_0)</f>
        <v>53.96</v>
      </c>
      <c r="Q21" s="1"/>
      <c r="R21" s="5">
        <f t="shared" si="16"/>
        <v>0.22767932489451478</v>
      </c>
      <c r="S21" s="1"/>
      <c r="T21" s="1">
        <f>SUM(OSRRefT22_0x_0)</f>
        <v>46.22</v>
      </c>
      <c r="U21" s="1"/>
      <c r="V21" s="5">
        <f t="shared" si="17"/>
        <v>0.28842433697347891</v>
      </c>
      <c r="W21" s="1"/>
      <c r="X21" s="1">
        <f t="shared" si="18"/>
        <v>7.740000000000002</v>
      </c>
      <c r="Y21" s="1"/>
      <c r="Z21" s="5">
        <f t="shared" si="19"/>
        <v>0.16745997403721338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53.96</v>
      </c>
      <c r="E22" s="2"/>
      <c r="F22" s="6">
        <f t="shared" si="12"/>
        <v>0.22767932489451478</v>
      </c>
      <c r="G22" s="2"/>
      <c r="H22" s="7">
        <v>46.22</v>
      </c>
      <c r="I22" s="2"/>
      <c r="J22" s="6">
        <f t="shared" si="13"/>
        <v>0.28842433697347891</v>
      </c>
      <c r="K22" s="2"/>
      <c r="L22" s="7">
        <f t="shared" si="14"/>
        <v>7.740000000000002</v>
      </c>
      <c r="M22" s="2"/>
      <c r="N22" s="6">
        <f t="shared" si="15"/>
        <v>0.16745997403721338</v>
      </c>
      <c r="O22" s="11"/>
      <c r="P22" s="7">
        <v>53.96</v>
      </c>
      <c r="Q22" s="2"/>
      <c r="R22" s="6">
        <f t="shared" si="16"/>
        <v>0.22767932489451478</v>
      </c>
      <c r="S22" s="2"/>
      <c r="T22" s="7">
        <v>46.22</v>
      </c>
      <c r="U22" s="2"/>
      <c r="V22" s="6">
        <f t="shared" si="17"/>
        <v>0.28842433697347891</v>
      </c>
      <c r="W22" s="2"/>
      <c r="X22" s="7">
        <f t="shared" si="18"/>
        <v>7.740000000000002</v>
      </c>
      <c r="Y22" s="2"/>
      <c r="Z22" s="6">
        <f t="shared" si="19"/>
        <v>0.16745997403721338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0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3</v>
      </c>
      <c r="C26" s="25"/>
      <c r="D26" s="21">
        <f>+D18-D20+D24</f>
        <v>2433.08</v>
      </c>
      <c r="E26" s="13"/>
      <c r="F26" s="20">
        <f>IF(D$12=0,0,D26/D$12)</f>
        <v>10.266160337552742</v>
      </c>
      <c r="G26" s="13"/>
      <c r="H26" s="21">
        <f>+H18-H20+H24</f>
        <v>11.030000000000001</v>
      </c>
      <c r="I26" s="13"/>
      <c r="J26" s="20">
        <f>IF(H$12=0,0,H26/H$12)</f>
        <v>6.882995319812793E-2</v>
      </c>
      <c r="K26" s="16"/>
      <c r="L26" s="21">
        <f>+D26-H26</f>
        <v>2422.0499999999997</v>
      </c>
      <c r="M26" s="16"/>
      <c r="N26" s="20">
        <f>IF(H26=0,0,L26/H26)</f>
        <v>219.58748866727103</v>
      </c>
      <c r="O26" s="26"/>
      <c r="P26" s="21">
        <f>+P18-P20+P24</f>
        <v>2433.08</v>
      </c>
      <c r="Q26" s="13"/>
      <c r="R26" s="20">
        <f>IF(P$12=0,0,P26/P$12)</f>
        <v>10.266160337552742</v>
      </c>
      <c r="S26" s="13"/>
      <c r="T26" s="21">
        <f>+T18-T20+T24</f>
        <v>11.030000000000001</v>
      </c>
      <c r="U26" s="13"/>
      <c r="V26" s="20">
        <f>IF(T$12=0,0,T26/T$12)</f>
        <v>6.882995319812793E-2</v>
      </c>
      <c r="W26" s="16"/>
      <c r="X26" s="21">
        <f>+P26-T26</f>
        <v>2422.0499999999997</v>
      </c>
      <c r="Y26" s="16"/>
      <c r="Z26" s="20">
        <f>IF(T26=0,0,X26/T26)</f>
        <v>219.58748866727103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13</v>
      </c>
      <c r="C28" s="10"/>
      <c r="D28" s="4">
        <v>49.28</v>
      </c>
      <c r="E28" s="4"/>
      <c r="F28" s="12">
        <f>IF(D$12=0,0,D28/D$12)</f>
        <v>0.2079324894514768</v>
      </c>
      <c r="G28" s="4"/>
      <c r="H28" s="4">
        <v>32.9</v>
      </c>
      <c r="I28" s="4"/>
      <c r="J28" s="12">
        <f>IF(H$12=0,0,H28/H$12)</f>
        <v>0.20530421216848674</v>
      </c>
      <c r="K28" s="4"/>
      <c r="L28" s="4">
        <f>+D28-H28</f>
        <v>16.380000000000003</v>
      </c>
      <c r="M28" s="4"/>
      <c r="N28" s="12">
        <f>IF(H28=0,0,L28/H28)</f>
        <v>0.49787234042553202</v>
      </c>
      <c r="O28" s="10"/>
      <c r="P28" s="4">
        <v>49.28</v>
      </c>
      <c r="Q28" s="4"/>
      <c r="R28" s="12">
        <f>IF(P$12=0,0,P28/P$12)</f>
        <v>0.2079324894514768</v>
      </c>
      <c r="S28" s="4"/>
      <c r="T28" s="4">
        <v>32.9</v>
      </c>
      <c r="U28" s="4"/>
      <c r="V28" s="12">
        <f>IF(T$12=0,0,T28/T$12)</f>
        <v>0.20530421216848674</v>
      </c>
      <c r="W28" s="4"/>
      <c r="X28" s="4">
        <f>+P28-T28</f>
        <v>16.380000000000003</v>
      </c>
      <c r="Y28" s="4"/>
      <c r="Z28" s="12">
        <f>IF(T28=0,0,X28/T28)</f>
        <v>0.49787234042553202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5" t="s">
        <v>4</v>
      </c>
      <c r="C30" s="25"/>
      <c r="D30" s="33">
        <f>+D26-D28</f>
        <v>2383.7999999999997</v>
      </c>
      <c r="E30" s="13"/>
      <c r="F30" s="34">
        <f>IF(D$12=0,0,D30/D$12)</f>
        <v>10.058227848101264</v>
      </c>
      <c r="G30" s="13"/>
      <c r="H30" s="33">
        <f>+H26-H28</f>
        <v>-21.869999999999997</v>
      </c>
      <c r="I30" s="13"/>
      <c r="J30" s="34">
        <f>IF(H$12=0,0,H30/H$12)</f>
        <v>-0.13647425897035881</v>
      </c>
      <c r="K30" s="16"/>
      <c r="L30" s="33">
        <f>D30-H30</f>
        <v>2405.6699999999996</v>
      </c>
      <c r="M30" s="16"/>
      <c r="N30" s="34">
        <f>IF(H30=0,0,L30/H30)</f>
        <v>-109.99862825788752</v>
      </c>
      <c r="O30" s="26"/>
      <c r="P30" s="33">
        <f>+P26-P28</f>
        <v>2383.7999999999997</v>
      </c>
      <c r="Q30" s="13"/>
      <c r="R30" s="34">
        <f>IF(P$12=0,0,P30/P$12)</f>
        <v>10.058227848101264</v>
      </c>
      <c r="S30" s="13"/>
      <c r="T30" s="33">
        <f>+T26-T28</f>
        <v>-21.869999999999997</v>
      </c>
      <c r="U30" s="13"/>
      <c r="V30" s="34">
        <f>IF(T$12=0,0,T30/T$12)</f>
        <v>-0.13647425897035881</v>
      </c>
      <c r="W30" s="16"/>
      <c r="X30" s="33">
        <f>P30-T30</f>
        <v>2405.6699999999996</v>
      </c>
      <c r="Y30" s="16"/>
      <c r="Z30" s="34">
        <f>IF(T30=0,0,X30/T30)</f>
        <v>-109.99862825788752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5" t="s">
        <v>5</v>
      </c>
      <c r="C33" s="25"/>
      <c r="D33" s="31">
        <f>SUM(D30:D32)</f>
        <v>2383.7999999999997</v>
      </c>
      <c r="E33" s="13"/>
      <c r="F33" s="30">
        <f>IF(D$12=0,0,D33/D$12)</f>
        <v>10.058227848101264</v>
      </c>
      <c r="G33" s="13"/>
      <c r="H33" s="31">
        <f>SUM(H30:H32)</f>
        <v>-21.869999999999997</v>
      </c>
      <c r="I33" s="13"/>
      <c r="J33" s="30">
        <f>IF(H$12=0,0,H33/H$12)</f>
        <v>-0.13647425897035881</v>
      </c>
      <c r="K33" s="16"/>
      <c r="L33" s="31">
        <f>+D33-H33</f>
        <v>2405.6699999999996</v>
      </c>
      <c r="M33" s="16"/>
      <c r="N33" s="30">
        <f>IF(H33=0,0,L33/H33)</f>
        <v>-109.99862825788752</v>
      </c>
      <c r="O33" s="26"/>
      <c r="P33" s="31">
        <f>SUM(P30:P32)</f>
        <v>2383.7999999999997</v>
      </c>
      <c r="Q33" s="13"/>
      <c r="R33" s="30">
        <f>IF(P$12=0,0,P33/P$12)</f>
        <v>10.058227848101264</v>
      </c>
      <c r="S33" s="13"/>
      <c r="T33" s="31">
        <f>SUM(T30:T32)</f>
        <v>-21.869999999999997</v>
      </c>
      <c r="U33" s="13"/>
      <c r="V33" s="30">
        <f>IF(T$12=0,0,T33/T$12)</f>
        <v>-0.13647425897035881</v>
      </c>
      <c r="W33" s="16"/>
      <c r="X33" s="31">
        <f>+P33-T33</f>
        <v>2405.6699999999996</v>
      </c>
      <c r="Y33" s="16"/>
      <c r="Z33" s="30">
        <f>IF(T33=0,0,X33/T33)</f>
        <v>-109.99862825788752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25">
      <c r="A35" s="9"/>
      <c r="B35" s="56">
        <v>43726.682105671294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3" t="s">
        <v>313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309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688899.69</v>
      </c>
      <c r="E12" s="4"/>
      <c r="F12" s="12"/>
      <c r="G12" s="4"/>
      <c r="H12" s="4">
        <f>SUM(OSRRefH13x_0)</f>
        <v>731729.78</v>
      </c>
      <c r="I12" s="4"/>
      <c r="J12" s="12"/>
      <c r="K12" s="4"/>
      <c r="L12" s="4">
        <f t="shared" ref="L12:L22" si="0">+D12-H12</f>
        <v>-42830.090000000084</v>
      </c>
      <c r="M12" s="4"/>
      <c r="N12" s="12">
        <f t="shared" ref="N12:N22" si="1">IF(H12=0,0,L12/H12)</f>
        <v>-5.8532659419711031E-2</v>
      </c>
      <c r="O12" s="10"/>
      <c r="P12" s="4">
        <f>SUM(OSRRefP13x_0)</f>
        <v>688899.69</v>
      </c>
      <c r="Q12" s="4"/>
      <c r="R12" s="12"/>
      <c r="S12" s="4"/>
      <c r="T12" s="4">
        <f>SUM(OSRRefT13x_0)</f>
        <v>731729.78</v>
      </c>
      <c r="U12" s="4"/>
      <c r="V12" s="12"/>
      <c r="W12" s="4"/>
      <c r="X12" s="4">
        <f t="shared" ref="X12:X22" si="2">+P12-T12</f>
        <v>-42830.090000000084</v>
      </c>
      <c r="Y12" s="4"/>
      <c r="Z12" s="12">
        <f t="shared" ref="Z12:Z22" si="3">IF(T12=0,0,X12/T12)</f>
        <v>-5.8532659419711031E-2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--18878.7</f>
        <v>18878.7</v>
      </c>
      <c r="E13" s="2"/>
      <c r="F13" s="22"/>
      <c r="G13" s="2"/>
      <c r="H13" s="2">
        <f>--20325.56</f>
        <v>20325.560000000001</v>
      </c>
      <c r="I13" s="2"/>
      <c r="J13" s="22"/>
      <c r="K13" s="2"/>
      <c r="L13" s="2">
        <f t="shared" si="0"/>
        <v>-1446.8600000000006</v>
      </c>
      <c r="M13" s="2"/>
      <c r="N13" s="22">
        <f t="shared" si="1"/>
        <v>-7.1184262573823334E-2</v>
      </c>
      <c r="O13" s="11"/>
      <c r="P13" s="2">
        <f>--18878.7</f>
        <v>18878.7</v>
      </c>
      <c r="Q13" s="2"/>
      <c r="R13" s="22"/>
      <c r="S13" s="2"/>
      <c r="T13" s="2">
        <f>--20325.56</f>
        <v>20325.560000000001</v>
      </c>
      <c r="U13" s="2"/>
      <c r="V13" s="22"/>
      <c r="W13" s="2"/>
      <c r="X13" s="2">
        <f t="shared" si="2"/>
        <v>-1446.8600000000006</v>
      </c>
      <c r="Y13" s="2"/>
      <c r="Z13" s="22">
        <f t="shared" si="3"/>
        <v>-7.1184262573823334E-2</v>
      </c>
    </row>
    <row r="14" spans="1:26" s="24" customFormat="1" hidden="1" outlineLevel="1" x14ac:dyDescent="0.25">
      <c r="A14" s="50"/>
      <c r="B14" s="11" t="str">
        <f>CONCATENATE("          ", "4052", " - ", "TAXABLE SALES-FOOD")</f>
        <v xml:space="preserve">          4052 - TAXABLE SALES-FOOD</v>
      </c>
      <c r="C14" s="11"/>
      <c r="D14" s="2">
        <f>--43778.84</f>
        <v>43778.84</v>
      </c>
      <c r="E14" s="2"/>
      <c r="F14" s="22"/>
      <c r="G14" s="2"/>
      <c r="H14" s="2">
        <f>--99639.78</f>
        <v>99639.78</v>
      </c>
      <c r="I14" s="2"/>
      <c r="J14" s="22"/>
      <c r="K14" s="2"/>
      <c r="L14" s="2">
        <f t="shared" si="0"/>
        <v>-55860.94</v>
      </c>
      <c r="M14" s="2"/>
      <c r="N14" s="22">
        <f t="shared" si="1"/>
        <v>-0.56062889741426569</v>
      </c>
      <c r="O14" s="11"/>
      <c r="P14" s="2">
        <f>--43778.84</f>
        <v>43778.84</v>
      </c>
      <c r="Q14" s="2"/>
      <c r="R14" s="22"/>
      <c r="S14" s="2"/>
      <c r="T14" s="2">
        <f>--99639.78</f>
        <v>99639.78</v>
      </c>
      <c r="U14" s="2"/>
      <c r="V14" s="22"/>
      <c r="W14" s="2"/>
      <c r="X14" s="2">
        <f t="shared" si="2"/>
        <v>-55860.94</v>
      </c>
      <c r="Y14" s="2"/>
      <c r="Z14" s="22">
        <f t="shared" si="3"/>
        <v>-0.56062889741426569</v>
      </c>
    </row>
    <row r="15" spans="1:26" s="24" customFormat="1" hidden="1" outlineLevel="1" x14ac:dyDescent="0.25">
      <c r="A15" s="50"/>
      <c r="B15" s="11" t="str">
        <f>CONCATENATE("          ", "4053", " - ", "TAXABLE SALES-FOOD")</f>
        <v xml:space="preserve">          4053 - TAXABLE SALES-FOOD</v>
      </c>
      <c r="C15" s="11"/>
      <c r="D15" s="2">
        <f>--26075.21</f>
        <v>26075.21</v>
      </c>
      <c r="E15" s="2"/>
      <c r="F15" s="22"/>
      <c r="G15" s="2"/>
      <c r="H15" s="2">
        <f>--14026.7</f>
        <v>14026.7</v>
      </c>
      <c r="I15" s="2"/>
      <c r="J15" s="22"/>
      <c r="K15" s="2"/>
      <c r="L15" s="2">
        <f t="shared" si="0"/>
        <v>12048.509999999998</v>
      </c>
      <c r="M15" s="2"/>
      <c r="N15" s="22">
        <f t="shared" si="1"/>
        <v>0.85896967925456436</v>
      </c>
      <c r="O15" s="11"/>
      <c r="P15" s="2">
        <f>--26075.21</f>
        <v>26075.21</v>
      </c>
      <c r="Q15" s="2"/>
      <c r="R15" s="22"/>
      <c r="S15" s="2"/>
      <c r="T15" s="2">
        <f>--14026.7</f>
        <v>14026.7</v>
      </c>
      <c r="U15" s="2"/>
      <c r="V15" s="22"/>
      <c r="W15" s="2"/>
      <c r="X15" s="2">
        <f t="shared" si="2"/>
        <v>12048.509999999998</v>
      </c>
      <c r="Y15" s="2"/>
      <c r="Z15" s="22">
        <f t="shared" si="3"/>
        <v>0.85896967925456436</v>
      </c>
    </row>
    <row r="16" spans="1:26" s="24" customFormat="1" hidden="1" outlineLevel="1" x14ac:dyDescent="0.25">
      <c r="A16" s="50"/>
      <c r="B16" s="11" t="str">
        <f>CONCATENATE("          ", "4055", " - ", "TAXABLE SALES-FOOD")</f>
        <v xml:space="preserve">          4055 - TAXABLE SALES-FOOD</v>
      </c>
      <c r="C16" s="11"/>
      <c r="D16" s="2">
        <f>--14243.63</f>
        <v>14243.63</v>
      </c>
      <c r="E16" s="2"/>
      <c r="F16" s="22"/>
      <c r="G16" s="2"/>
      <c r="H16" s="2">
        <f>--18095.82</f>
        <v>18095.82</v>
      </c>
      <c r="I16" s="2"/>
      <c r="J16" s="22"/>
      <c r="K16" s="2"/>
      <c r="L16" s="2">
        <f t="shared" si="0"/>
        <v>-3852.1900000000005</v>
      </c>
      <c r="M16" s="2"/>
      <c r="N16" s="22">
        <f t="shared" si="1"/>
        <v>-0.21287733852348226</v>
      </c>
      <c r="O16" s="11"/>
      <c r="P16" s="2">
        <f>--14243.63</f>
        <v>14243.63</v>
      </c>
      <c r="Q16" s="2"/>
      <c r="R16" s="22"/>
      <c r="S16" s="2"/>
      <c r="T16" s="2">
        <f>--18095.82</f>
        <v>18095.82</v>
      </c>
      <c r="U16" s="2"/>
      <c r="V16" s="22"/>
      <c r="W16" s="2"/>
      <c r="X16" s="2">
        <f t="shared" si="2"/>
        <v>-3852.1900000000005</v>
      </c>
      <c r="Y16" s="2"/>
      <c r="Z16" s="22">
        <f t="shared" si="3"/>
        <v>-0.21287733852348226</v>
      </c>
    </row>
    <row r="17" spans="1:26" s="24" customFormat="1" hidden="1" outlineLevel="1" x14ac:dyDescent="0.25">
      <c r="A17" s="50"/>
      <c r="B17" s="11" t="str">
        <f>CONCATENATE("          ", "4058", " - ", "TAXABLE SALES-FOOD")</f>
        <v xml:space="preserve">          4058 - TAXABLE SALES-FOOD</v>
      </c>
      <c r="C17" s="11"/>
      <c r="D17" s="2">
        <f>--8401.66</f>
        <v>8401.66</v>
      </c>
      <c r="E17" s="2"/>
      <c r="F17" s="22"/>
      <c r="G17" s="2"/>
      <c r="H17" s="2">
        <f>--15184.02</f>
        <v>15184.02</v>
      </c>
      <c r="I17" s="2"/>
      <c r="J17" s="22"/>
      <c r="K17" s="2"/>
      <c r="L17" s="2">
        <f t="shared" si="0"/>
        <v>-6782.3600000000006</v>
      </c>
      <c r="M17" s="2"/>
      <c r="N17" s="22">
        <f t="shared" si="1"/>
        <v>-0.44667749383891753</v>
      </c>
      <c r="O17" s="11"/>
      <c r="P17" s="2">
        <f>--8401.66</f>
        <v>8401.66</v>
      </c>
      <c r="Q17" s="2"/>
      <c r="R17" s="22"/>
      <c r="S17" s="2"/>
      <c r="T17" s="2">
        <f>--15184.02</f>
        <v>15184.02</v>
      </c>
      <c r="U17" s="2"/>
      <c r="V17" s="22"/>
      <c r="W17" s="2"/>
      <c r="X17" s="2">
        <f t="shared" si="2"/>
        <v>-6782.3600000000006</v>
      </c>
      <c r="Y17" s="2"/>
      <c r="Z17" s="22">
        <f t="shared" si="3"/>
        <v>-0.44667749383891753</v>
      </c>
    </row>
    <row r="18" spans="1:26" s="24" customFormat="1" hidden="1" outlineLevel="1" x14ac:dyDescent="0.25">
      <c r="A18" s="50"/>
      <c r="B18" s="11" t="str">
        <f>CONCATENATE("          ", "4151", " - ", "NON-TAXABLE SALES-FOOD")</f>
        <v xml:space="preserve">          4151 - NON-TAXABLE SALES-FOOD</v>
      </c>
      <c r="C18" s="11"/>
      <c r="D18" s="2">
        <f>--519646.5</f>
        <v>519646.5</v>
      </c>
      <c r="E18" s="2"/>
      <c r="F18" s="22"/>
      <c r="G18" s="2"/>
      <c r="H18" s="2">
        <f>--488517.12</f>
        <v>488517.12</v>
      </c>
      <c r="I18" s="2"/>
      <c r="J18" s="22"/>
      <c r="K18" s="2"/>
      <c r="L18" s="2">
        <f t="shared" si="0"/>
        <v>31129.380000000005</v>
      </c>
      <c r="M18" s="2"/>
      <c r="N18" s="22">
        <f t="shared" si="1"/>
        <v>6.3722188487478196E-2</v>
      </c>
      <c r="O18" s="11"/>
      <c r="P18" s="2">
        <f>--519646.5</f>
        <v>519646.5</v>
      </c>
      <c r="Q18" s="2"/>
      <c r="R18" s="22"/>
      <c r="S18" s="2"/>
      <c r="T18" s="2">
        <f>--488517.12</f>
        <v>488517.12</v>
      </c>
      <c r="U18" s="2"/>
      <c r="V18" s="22"/>
      <c r="W18" s="2"/>
      <c r="X18" s="2">
        <f t="shared" si="2"/>
        <v>31129.380000000005</v>
      </c>
      <c r="Y18" s="2"/>
      <c r="Z18" s="22">
        <f t="shared" si="3"/>
        <v>6.3722188487478196E-2</v>
      </c>
    </row>
    <row r="19" spans="1:26" s="24" customFormat="1" hidden="1" outlineLevel="1" x14ac:dyDescent="0.25">
      <c r="A19" s="50"/>
      <c r="B19" s="11" t="str">
        <f>CONCATENATE("          ", "4152", " - ", "NON-TAXABLE SALES-FOOD")</f>
        <v xml:space="preserve">          4152 - NON-TAXABLE SALES-FOOD</v>
      </c>
      <c r="C19" s="11"/>
      <c r="D19" s="2">
        <f>--3667.09</f>
        <v>3667.09</v>
      </c>
      <c r="E19" s="2"/>
      <c r="F19" s="22"/>
      <c r="G19" s="2"/>
      <c r="H19" s="2">
        <f>--3833.74</f>
        <v>3833.74</v>
      </c>
      <c r="I19" s="2"/>
      <c r="J19" s="22"/>
      <c r="K19" s="2"/>
      <c r="L19" s="2">
        <f t="shared" si="0"/>
        <v>-166.64999999999964</v>
      </c>
      <c r="M19" s="2"/>
      <c r="N19" s="22">
        <f t="shared" si="1"/>
        <v>-4.3469301517578045E-2</v>
      </c>
      <c r="O19" s="11"/>
      <c r="P19" s="2">
        <f>--3667.09</f>
        <v>3667.09</v>
      </c>
      <c r="Q19" s="2"/>
      <c r="R19" s="22"/>
      <c r="S19" s="2"/>
      <c r="T19" s="2">
        <f>--3833.74</f>
        <v>3833.74</v>
      </c>
      <c r="U19" s="2"/>
      <c r="V19" s="22"/>
      <c r="W19" s="2"/>
      <c r="X19" s="2">
        <f t="shared" si="2"/>
        <v>-166.64999999999964</v>
      </c>
      <c r="Y19" s="2"/>
      <c r="Z19" s="22">
        <f t="shared" si="3"/>
        <v>-4.3469301517578045E-2</v>
      </c>
    </row>
    <row r="20" spans="1:26" s="24" customFormat="1" hidden="1" outlineLevel="1" x14ac:dyDescent="0.25">
      <c r="A20" s="50"/>
      <c r="B20" s="11" t="str">
        <f>CONCATENATE("          ", "4153", " - ", "NON-TAXABLE SALES-FOOD")</f>
        <v xml:space="preserve">          4153 - NON-TAXABLE SALES-FOOD</v>
      </c>
      <c r="C20" s="11"/>
      <c r="D20" s="2">
        <f>--19011.71</f>
        <v>19011.71</v>
      </c>
      <c r="E20" s="2"/>
      <c r="F20" s="22"/>
      <c r="G20" s="2"/>
      <c r="H20" s="2">
        <f>--27426.74</f>
        <v>27426.74</v>
      </c>
      <c r="I20" s="2"/>
      <c r="J20" s="22"/>
      <c r="K20" s="2"/>
      <c r="L20" s="2">
        <f t="shared" si="0"/>
        <v>-8415.0300000000025</v>
      </c>
      <c r="M20" s="2"/>
      <c r="N20" s="22">
        <f t="shared" si="1"/>
        <v>-0.30681845527394075</v>
      </c>
      <c r="O20" s="11"/>
      <c r="P20" s="2">
        <f>--19011.71</f>
        <v>19011.71</v>
      </c>
      <c r="Q20" s="2"/>
      <c r="R20" s="22"/>
      <c r="S20" s="2"/>
      <c r="T20" s="2">
        <f>--27426.74</f>
        <v>27426.74</v>
      </c>
      <c r="U20" s="2"/>
      <c r="V20" s="22"/>
      <c r="W20" s="2"/>
      <c r="X20" s="2">
        <f t="shared" si="2"/>
        <v>-8415.0300000000025</v>
      </c>
      <c r="Y20" s="2"/>
      <c r="Z20" s="22">
        <f t="shared" si="3"/>
        <v>-0.30681845527394075</v>
      </c>
    </row>
    <row r="21" spans="1:26" s="24" customFormat="1" hidden="1" outlineLevel="1" x14ac:dyDescent="0.25">
      <c r="A21" s="50"/>
      <c r="B21" s="11" t="str">
        <f>CONCATENATE("          ", "4155", " - ", "NON-TAXABLE SALES-FOOD")</f>
        <v xml:space="preserve">          4155 - NON-TAXABLE SALES-FOOD</v>
      </c>
      <c r="C21" s="11"/>
      <c r="D21" s="2">
        <f>--25636.66</f>
        <v>25636.66</v>
      </c>
      <c r="E21" s="2"/>
      <c r="F21" s="22"/>
      <c r="G21" s="2"/>
      <c r="H21" s="2">
        <f>--22267.51</f>
        <v>22267.51</v>
      </c>
      <c r="I21" s="2"/>
      <c r="J21" s="22"/>
      <c r="K21" s="2"/>
      <c r="L21" s="2">
        <f t="shared" si="0"/>
        <v>3369.1500000000015</v>
      </c>
      <c r="M21" s="2"/>
      <c r="N21" s="22">
        <f t="shared" si="1"/>
        <v>0.15130340123345634</v>
      </c>
      <c r="O21" s="11"/>
      <c r="P21" s="2">
        <f>--25636.66</f>
        <v>25636.66</v>
      </c>
      <c r="Q21" s="2"/>
      <c r="R21" s="22"/>
      <c r="S21" s="2"/>
      <c r="T21" s="2">
        <f>--22267.51</f>
        <v>22267.51</v>
      </c>
      <c r="U21" s="2"/>
      <c r="V21" s="22"/>
      <c r="W21" s="2"/>
      <c r="X21" s="2">
        <f t="shared" si="2"/>
        <v>3369.1500000000015</v>
      </c>
      <c r="Y21" s="2"/>
      <c r="Z21" s="22">
        <f t="shared" si="3"/>
        <v>0.15130340123345634</v>
      </c>
    </row>
    <row r="22" spans="1:26" s="24" customFormat="1" hidden="1" outlineLevel="1" x14ac:dyDescent="0.25">
      <c r="A22" s="50"/>
      <c r="B22" s="11" t="str">
        <f>CONCATENATE("          ", "4158", " - ", "NON-TAXABLE SALES-FOOD")</f>
        <v xml:space="preserve">          4158 - NON-TAXABLE SALES-FOOD</v>
      </c>
      <c r="C22" s="11"/>
      <c r="D22" s="2">
        <f>--9559.69</f>
        <v>9559.69</v>
      </c>
      <c r="E22" s="2"/>
      <c r="F22" s="22"/>
      <c r="G22" s="2"/>
      <c r="H22" s="2">
        <f>--22412.79</f>
        <v>22412.79</v>
      </c>
      <c r="I22" s="2"/>
      <c r="J22" s="22"/>
      <c r="K22" s="2"/>
      <c r="L22" s="2">
        <f t="shared" si="0"/>
        <v>-12853.1</v>
      </c>
      <c r="M22" s="2"/>
      <c r="N22" s="22">
        <f t="shared" si="1"/>
        <v>-0.57347166506267178</v>
      </c>
      <c r="O22" s="11"/>
      <c r="P22" s="2">
        <f>--9559.69</f>
        <v>9559.69</v>
      </c>
      <c r="Q22" s="2"/>
      <c r="R22" s="22"/>
      <c r="S22" s="2"/>
      <c r="T22" s="2">
        <f>--22412.79</f>
        <v>22412.79</v>
      </c>
      <c r="U22" s="2"/>
      <c r="V22" s="22"/>
      <c r="W22" s="2"/>
      <c r="X22" s="2">
        <f t="shared" si="2"/>
        <v>-12853.1</v>
      </c>
      <c r="Y22" s="2"/>
      <c r="Z22" s="22">
        <f t="shared" si="3"/>
        <v>-0.57347166506267178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6" t="s">
        <v>8</v>
      </c>
      <c r="C24" s="10"/>
      <c r="D24" s="4">
        <f>SUM(OSRRefD16x_0)</f>
        <v>228028.7</v>
      </c>
      <c r="E24" s="4"/>
      <c r="F24" s="12">
        <f t="shared" ref="F24:F26" si="4">IF(D$12=0,0,D24/D$12)</f>
        <v>0.33100421340006703</v>
      </c>
      <c r="G24" s="4"/>
      <c r="H24" s="4">
        <f>SUM(OSRRefH16x_0)</f>
        <v>213560.99999999997</v>
      </c>
      <c r="I24" s="4"/>
      <c r="J24" s="12">
        <f t="shared" ref="J24:J26" si="5">IF(H$12=0,0,H24/H$12)</f>
        <v>0.29185774016194882</v>
      </c>
      <c r="K24" s="4"/>
      <c r="L24" s="4">
        <f t="shared" ref="L24:L26" si="6">+D24-H24</f>
        <v>14467.700000000041</v>
      </c>
      <c r="M24" s="4"/>
      <c r="N24" s="12">
        <f t="shared" ref="N24:N26" si="7">IF(H24=0,0,L24/H24)</f>
        <v>6.7745047082566776E-2</v>
      </c>
      <c r="O24" s="10"/>
      <c r="P24" s="4">
        <f>SUM(OSRRefP16x_0)</f>
        <v>228028.7</v>
      </c>
      <c r="Q24" s="4"/>
      <c r="R24" s="12">
        <f t="shared" ref="R24:R26" si="8">IF(P$12=0,0,P24/P$12)</f>
        <v>0.33100421340006703</v>
      </c>
      <c r="S24" s="4"/>
      <c r="T24" s="4">
        <f>SUM(OSRRefT16x_0)</f>
        <v>213560.99999999997</v>
      </c>
      <c r="U24" s="4"/>
      <c r="V24" s="12">
        <f t="shared" ref="V24:V26" si="9">IF(T$12=0,0,T24/T$12)</f>
        <v>0.29185774016194882</v>
      </c>
      <c r="W24" s="4"/>
      <c r="X24" s="4">
        <f t="shared" ref="X24:X26" si="10">+P24-T24</f>
        <v>14467.700000000041</v>
      </c>
      <c r="Y24" s="4"/>
      <c r="Z24" s="12">
        <f t="shared" ref="Z24:Z26" si="11">IF(T24=0,0,X24/T24)</f>
        <v>6.7745047082566776E-2</v>
      </c>
    </row>
    <row r="25" spans="1:26" s="24" customFormat="1" hidden="1" outlineLevel="1" x14ac:dyDescent="0.25">
      <c r="A25" s="50"/>
      <c r="B25" s="11" t="str">
        <f>CONCATENATE("          ", "5053", " - ", "PURCHASES @ COST-FOOD")</f>
        <v xml:space="preserve">          5053 - PURCHASES @ COST-FOOD</v>
      </c>
      <c r="C25" s="11"/>
      <c r="D25" s="2">
        <v>232073.7</v>
      </c>
      <c r="E25" s="2"/>
      <c r="F25" s="22">
        <f t="shared" si="4"/>
        <v>0.33687589553132186</v>
      </c>
      <c r="G25" s="2"/>
      <c r="H25" s="2">
        <v>220306.13999999998</v>
      </c>
      <c r="I25" s="2"/>
      <c r="J25" s="22">
        <f t="shared" si="5"/>
        <v>0.30107581517319137</v>
      </c>
      <c r="K25" s="2"/>
      <c r="L25" s="2">
        <f t="shared" si="6"/>
        <v>11767.560000000027</v>
      </c>
      <c r="M25" s="2"/>
      <c r="N25" s="22">
        <f t="shared" si="7"/>
        <v>5.3414580274521749E-2</v>
      </c>
      <c r="O25" s="11"/>
      <c r="P25" s="2">
        <v>232073.7</v>
      </c>
      <c r="Q25" s="2"/>
      <c r="R25" s="22">
        <f t="shared" si="8"/>
        <v>0.33687589553132186</v>
      </c>
      <c r="S25" s="2"/>
      <c r="T25" s="2">
        <v>220306.13999999998</v>
      </c>
      <c r="U25" s="2"/>
      <c r="V25" s="22">
        <f t="shared" si="9"/>
        <v>0.30107581517319137</v>
      </c>
      <c r="W25" s="2"/>
      <c r="X25" s="2">
        <f t="shared" si="10"/>
        <v>11767.560000000027</v>
      </c>
      <c r="Y25" s="2"/>
      <c r="Z25" s="22">
        <f t="shared" si="11"/>
        <v>5.3414580274521749E-2</v>
      </c>
    </row>
    <row r="26" spans="1:26" s="24" customFormat="1" hidden="1" outlineLevel="1" x14ac:dyDescent="0.25">
      <c r="A26" s="50"/>
      <c r="B26" s="11" t="str">
        <f>CONCATENATE("          ", "5059", " - ", "PURCHASES @ COST-FOOD")</f>
        <v xml:space="preserve">          5059 - PURCHASES @ COST-FOOD</v>
      </c>
      <c r="C26" s="11"/>
      <c r="D26" s="2">
        <v>-4045</v>
      </c>
      <c r="E26" s="2"/>
      <c r="F26" s="22">
        <f t="shared" si="4"/>
        <v>-5.8716821312548425E-3</v>
      </c>
      <c r="G26" s="2"/>
      <c r="H26" s="2">
        <v>-6745.14</v>
      </c>
      <c r="I26" s="2"/>
      <c r="J26" s="22">
        <f t="shared" si="5"/>
        <v>-9.2180750112425391E-3</v>
      </c>
      <c r="K26" s="2"/>
      <c r="L26" s="2">
        <f t="shared" si="6"/>
        <v>2700.1400000000003</v>
      </c>
      <c r="M26" s="2"/>
      <c r="N26" s="22">
        <f t="shared" si="7"/>
        <v>-0.40030896319424064</v>
      </c>
      <c r="O26" s="11"/>
      <c r="P26" s="2">
        <v>-4045</v>
      </c>
      <c r="Q26" s="2"/>
      <c r="R26" s="22">
        <f t="shared" si="8"/>
        <v>-5.8716821312548425E-3</v>
      </c>
      <c r="S26" s="2"/>
      <c r="T26" s="2">
        <v>-6745.14</v>
      </c>
      <c r="U26" s="2"/>
      <c r="V26" s="22">
        <f t="shared" si="9"/>
        <v>-9.2180750112425391E-3</v>
      </c>
      <c r="W26" s="2"/>
      <c r="X26" s="2">
        <f t="shared" si="10"/>
        <v>2700.1400000000003</v>
      </c>
      <c r="Y26" s="2"/>
      <c r="Z26" s="22">
        <f t="shared" si="11"/>
        <v>-0.40030896319424064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1">
        <f>D12-D24</f>
        <v>460870.98999999993</v>
      </c>
      <c r="E28" s="13"/>
      <c r="F28" s="20">
        <f>IF(D$12=0,0,D28/D$12)</f>
        <v>0.66899578659993297</v>
      </c>
      <c r="G28" s="13"/>
      <c r="H28" s="21">
        <f>H12-H24</f>
        <v>518168.78</v>
      </c>
      <c r="I28" s="13"/>
      <c r="J28" s="20">
        <f>IF(H$12=0,0,H28/H$12)</f>
        <v>0.70814225983805112</v>
      </c>
      <c r="K28" s="16"/>
      <c r="L28" s="21">
        <f>+D28-H28</f>
        <v>-57297.790000000095</v>
      </c>
      <c r="M28" s="16"/>
      <c r="N28" s="20">
        <f>IF(H28=0,0,L28/H28)</f>
        <v>-0.11057746474034984</v>
      </c>
      <c r="O28" s="26"/>
      <c r="P28" s="21">
        <f>P12-P24</f>
        <v>460870.98999999993</v>
      </c>
      <c r="Q28" s="13"/>
      <c r="R28" s="20">
        <f>IF(P$12=0,0,P28/P$12)</f>
        <v>0.66899578659993297</v>
      </c>
      <c r="S28" s="13"/>
      <c r="T28" s="21">
        <f>T12-T24</f>
        <v>518168.78</v>
      </c>
      <c r="U28" s="13"/>
      <c r="V28" s="20">
        <f>IF(T$12=0,0,T28/T$12)</f>
        <v>0.70814225983805112</v>
      </c>
      <c r="W28" s="16"/>
      <c r="X28" s="21">
        <f>+P28-T28</f>
        <v>-57297.790000000095</v>
      </c>
      <c r="Y28" s="16"/>
      <c r="Z28" s="20">
        <f>IF(T28=0,0,X28/T28)</f>
        <v>-0.11057746474034984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19">
        <f>SUM(OSRRefD22x_0)</f>
        <v>809379.65999999992</v>
      </c>
      <c r="E30" s="19"/>
      <c r="F30" s="35">
        <f t="shared" ref="F30:F40" si="12">IF(D$12=0,0,D30/D$12)</f>
        <v>1.1748875369649245</v>
      </c>
      <c r="G30" s="19"/>
      <c r="H30" s="19">
        <f>SUM(OSRRefH22x_0)</f>
        <v>715349.95000000019</v>
      </c>
      <c r="I30" s="19"/>
      <c r="J30" s="35">
        <f t="shared" ref="J30:J40" si="13">IF(H$12=0,0,H30/H$12)</f>
        <v>0.97761491954038027</v>
      </c>
      <c r="K30" s="4"/>
      <c r="L30" s="19">
        <f t="shared" ref="L30:L40" si="14">+D30-H30</f>
        <v>94029.70999999973</v>
      </c>
      <c r="M30" s="4"/>
      <c r="N30" s="35">
        <f t="shared" ref="N30:N40" si="15">IF(H30=0,0,L30/H30)</f>
        <v>0.13144574903513967</v>
      </c>
      <c r="O30" s="10"/>
      <c r="P30" s="19">
        <f>SUM(OSRRefP22x_0)</f>
        <v>809379.65999999992</v>
      </c>
      <c r="Q30" s="19"/>
      <c r="R30" s="35">
        <f t="shared" ref="R30:R40" si="16">IF(P$12=0,0,P30/P$12)</f>
        <v>1.1748875369649245</v>
      </c>
      <c r="S30" s="19"/>
      <c r="T30" s="19">
        <f>SUM(OSRRefT22x_0)</f>
        <v>715349.95000000019</v>
      </c>
      <c r="U30" s="19"/>
      <c r="V30" s="35">
        <f t="shared" ref="V30:V40" si="17">IF(T$12=0,0,T30/T$12)</f>
        <v>0.97761491954038027</v>
      </c>
      <c r="W30" s="4"/>
      <c r="X30" s="19">
        <f t="shared" ref="X30:X40" si="18">+P30-T30</f>
        <v>94029.70999999973</v>
      </c>
      <c r="Y30" s="4"/>
      <c r="Z30" s="35">
        <f t="shared" ref="Z30:Z40" si="19">IF(T30=0,0,X30/T30)</f>
        <v>0.13144574903513967</v>
      </c>
    </row>
    <row r="31" spans="1:26" s="28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167115.46000000002</v>
      </c>
      <c r="E31" s="1"/>
      <c r="F31" s="5">
        <f t="shared" si="12"/>
        <v>0.24258315459541002</v>
      </c>
      <c r="G31" s="1"/>
      <c r="H31" s="1">
        <f>SUM(OSRRefH22_0x_0)</f>
        <v>126533.27</v>
      </c>
      <c r="I31" s="1"/>
      <c r="J31" s="5">
        <f t="shared" si="13"/>
        <v>0.17292349369735915</v>
      </c>
      <c r="K31" s="1"/>
      <c r="L31" s="1">
        <f t="shared" si="14"/>
        <v>40582.190000000017</v>
      </c>
      <c r="M31" s="1"/>
      <c r="N31" s="5">
        <f t="shared" si="15"/>
        <v>0.32072347454546946</v>
      </c>
      <c r="O31" s="14"/>
      <c r="P31" s="1">
        <f>SUM(OSRRefP22_0x_0)</f>
        <v>167115.46000000002</v>
      </c>
      <c r="Q31" s="1"/>
      <c r="R31" s="5">
        <f t="shared" si="16"/>
        <v>0.24258315459541002</v>
      </c>
      <c r="S31" s="1"/>
      <c r="T31" s="1">
        <f>SUM(OSRRefT22_0x_0)</f>
        <v>126533.27</v>
      </c>
      <c r="U31" s="1"/>
      <c r="V31" s="5">
        <f t="shared" si="17"/>
        <v>0.17292349369735915</v>
      </c>
      <c r="W31" s="1"/>
      <c r="X31" s="1">
        <f t="shared" si="18"/>
        <v>40582.190000000017</v>
      </c>
      <c r="Y31" s="1"/>
      <c r="Z31" s="5">
        <f t="shared" si="19"/>
        <v>0.32072347454546946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23591.030000000002</v>
      </c>
      <c r="E32" s="2"/>
      <c r="F32" s="6">
        <f t="shared" si="12"/>
        <v>3.4244506627663027E-2</v>
      </c>
      <c r="G32" s="2"/>
      <c r="H32" s="7">
        <v>20808.22</v>
      </c>
      <c r="I32" s="2"/>
      <c r="J32" s="6">
        <f t="shared" si="13"/>
        <v>2.843702766887525E-2</v>
      </c>
      <c r="K32" s="2"/>
      <c r="L32" s="7">
        <f t="shared" si="14"/>
        <v>2782.8100000000013</v>
      </c>
      <c r="M32" s="2"/>
      <c r="N32" s="6">
        <f t="shared" si="15"/>
        <v>0.13373609083333418</v>
      </c>
      <c r="O32" s="11"/>
      <c r="P32" s="7">
        <v>23591.030000000002</v>
      </c>
      <c r="Q32" s="2"/>
      <c r="R32" s="6">
        <f t="shared" si="16"/>
        <v>3.4244506627663027E-2</v>
      </c>
      <c r="S32" s="2"/>
      <c r="T32" s="7">
        <v>20808.22</v>
      </c>
      <c r="U32" s="2"/>
      <c r="V32" s="6">
        <f t="shared" si="17"/>
        <v>2.843702766887525E-2</v>
      </c>
      <c r="W32" s="2"/>
      <c r="X32" s="7">
        <f t="shared" si="18"/>
        <v>2782.8100000000013</v>
      </c>
      <c r="Y32" s="2"/>
      <c r="Z32" s="6">
        <f t="shared" si="19"/>
        <v>0.13373609083333418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12003.56</v>
      </c>
      <c r="E33" s="2"/>
      <c r="F33" s="6">
        <f t="shared" si="12"/>
        <v>1.7424249385276976E-2</v>
      </c>
      <c r="G33" s="2"/>
      <c r="H33" s="7">
        <v>13768.07</v>
      </c>
      <c r="I33" s="2"/>
      <c r="J33" s="6">
        <f t="shared" si="13"/>
        <v>1.8815784701286861E-2</v>
      </c>
      <c r="K33" s="2"/>
      <c r="L33" s="7">
        <f t="shared" si="14"/>
        <v>-1764.5100000000002</v>
      </c>
      <c r="M33" s="2"/>
      <c r="N33" s="6">
        <f t="shared" si="15"/>
        <v>-0.12815957501668718</v>
      </c>
      <c r="O33" s="11"/>
      <c r="P33" s="7">
        <v>12003.56</v>
      </c>
      <c r="Q33" s="2"/>
      <c r="R33" s="6">
        <f t="shared" si="16"/>
        <v>1.7424249385276976E-2</v>
      </c>
      <c r="S33" s="2"/>
      <c r="T33" s="7">
        <v>13768.07</v>
      </c>
      <c r="U33" s="2"/>
      <c r="V33" s="6">
        <f t="shared" si="17"/>
        <v>1.8815784701286861E-2</v>
      </c>
      <c r="W33" s="2"/>
      <c r="X33" s="7">
        <f t="shared" si="18"/>
        <v>-1764.5100000000002</v>
      </c>
      <c r="Y33" s="2"/>
      <c r="Z33" s="6">
        <f t="shared" si="19"/>
        <v>-0.12815957501668718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65063.590000000004</v>
      </c>
      <c r="E34" s="2"/>
      <c r="F34" s="6">
        <f t="shared" si="12"/>
        <v>9.4445665957550384E-2</v>
      </c>
      <c r="G34" s="2"/>
      <c r="H34" s="7">
        <v>27191.86</v>
      </c>
      <c r="I34" s="2"/>
      <c r="J34" s="6">
        <f t="shared" si="13"/>
        <v>3.7161067846657819E-2</v>
      </c>
      <c r="K34" s="2"/>
      <c r="L34" s="7">
        <f t="shared" si="14"/>
        <v>37871.730000000003</v>
      </c>
      <c r="M34" s="2"/>
      <c r="N34" s="6">
        <f t="shared" si="15"/>
        <v>1.3927598185633496</v>
      </c>
      <c r="O34" s="11"/>
      <c r="P34" s="7">
        <v>65063.590000000004</v>
      </c>
      <c r="Q34" s="2"/>
      <c r="R34" s="6">
        <f t="shared" si="16"/>
        <v>9.4445665957550384E-2</v>
      </c>
      <c r="S34" s="2"/>
      <c r="T34" s="7">
        <v>27191.86</v>
      </c>
      <c r="U34" s="2"/>
      <c r="V34" s="6">
        <f t="shared" si="17"/>
        <v>3.7161067846657819E-2</v>
      </c>
      <c r="W34" s="2"/>
      <c r="X34" s="7">
        <f t="shared" si="18"/>
        <v>37871.730000000003</v>
      </c>
      <c r="Y34" s="2"/>
      <c r="Z34" s="6">
        <f t="shared" si="19"/>
        <v>1.3927598185633496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823.47</v>
      </c>
      <c r="E35" s="2"/>
      <c r="F35" s="6">
        <f t="shared" si="12"/>
        <v>1.1953409356302658E-3</v>
      </c>
      <c r="G35" s="2"/>
      <c r="H35" s="7">
        <v>1037.6600000000001</v>
      </c>
      <c r="I35" s="2"/>
      <c r="J35" s="6">
        <f t="shared" si="13"/>
        <v>1.4180917988605029E-3</v>
      </c>
      <c r="K35" s="2"/>
      <c r="L35" s="7">
        <f t="shared" si="14"/>
        <v>-214.19000000000005</v>
      </c>
      <c r="M35" s="2"/>
      <c r="N35" s="6">
        <f t="shared" si="15"/>
        <v>-0.20641635988666812</v>
      </c>
      <c r="O35" s="11"/>
      <c r="P35" s="7">
        <v>823.47</v>
      </c>
      <c r="Q35" s="2"/>
      <c r="R35" s="6">
        <f t="shared" si="16"/>
        <v>1.1953409356302658E-3</v>
      </c>
      <c r="S35" s="2"/>
      <c r="T35" s="7">
        <v>1037.6600000000001</v>
      </c>
      <c r="U35" s="2"/>
      <c r="V35" s="6">
        <f t="shared" si="17"/>
        <v>1.4180917988605029E-3</v>
      </c>
      <c r="W35" s="2"/>
      <c r="X35" s="7">
        <f t="shared" si="18"/>
        <v>-214.19000000000005</v>
      </c>
      <c r="Y35" s="2"/>
      <c r="Z35" s="6">
        <f t="shared" si="19"/>
        <v>-0.20641635988666812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9742.1200000000008</v>
      </c>
      <c r="E36" s="2"/>
      <c r="F36" s="6">
        <f t="shared" si="12"/>
        <v>1.4141565370714568E-2</v>
      </c>
      <c r="G36" s="2"/>
      <c r="H36" s="7">
        <v>13488.9</v>
      </c>
      <c r="I36" s="2"/>
      <c r="J36" s="6">
        <f t="shared" si="13"/>
        <v>1.8434264080382241E-2</v>
      </c>
      <c r="K36" s="2"/>
      <c r="L36" s="7">
        <f t="shared" si="14"/>
        <v>-3746.7799999999988</v>
      </c>
      <c r="M36" s="2"/>
      <c r="N36" s="6">
        <f t="shared" si="15"/>
        <v>-0.27776764599040688</v>
      </c>
      <c r="O36" s="11"/>
      <c r="P36" s="7">
        <v>9742.1200000000008</v>
      </c>
      <c r="Q36" s="2"/>
      <c r="R36" s="6">
        <f t="shared" si="16"/>
        <v>1.4141565370714568E-2</v>
      </c>
      <c r="S36" s="2"/>
      <c r="T36" s="7">
        <v>13488.9</v>
      </c>
      <c r="U36" s="2"/>
      <c r="V36" s="6">
        <f t="shared" si="17"/>
        <v>1.8434264080382241E-2</v>
      </c>
      <c r="W36" s="2"/>
      <c r="X36" s="7">
        <f t="shared" si="18"/>
        <v>-3746.7799999999988</v>
      </c>
      <c r="Y36" s="2"/>
      <c r="Z36" s="6">
        <f t="shared" si="19"/>
        <v>-0.27776764599040688</v>
      </c>
    </row>
    <row r="37" spans="1:26" s="24" customFormat="1" hidden="1" outlineLevel="2" x14ac:dyDescent="0.25">
      <c r="A37" s="29"/>
      <c r="B37" s="11" t="str">
        <f>CONCATENATE("          ", "6117", " - ", "RETIREMENT STAFF HOURLY")</f>
        <v xml:space="preserve">          6117 - RETIREMENT STAFF HOURLY</v>
      </c>
      <c r="C37" s="11"/>
      <c r="D37" s="7">
        <v>1438.26</v>
      </c>
      <c r="E37" s="2"/>
      <c r="F37" s="6">
        <f t="shared" si="12"/>
        <v>2.0877640400738169E-3</v>
      </c>
      <c r="G37" s="2"/>
      <c r="H37" s="7">
        <v>1331.29</v>
      </c>
      <c r="I37" s="2"/>
      <c r="J37" s="6">
        <f t="shared" si="13"/>
        <v>1.8193738131035201E-3</v>
      </c>
      <c r="K37" s="2"/>
      <c r="L37" s="7">
        <f t="shared" si="14"/>
        <v>106.97000000000003</v>
      </c>
      <c r="M37" s="2"/>
      <c r="N37" s="6">
        <f t="shared" si="15"/>
        <v>8.0350637351741569E-2</v>
      </c>
      <c r="O37" s="11"/>
      <c r="P37" s="7">
        <v>1438.26</v>
      </c>
      <c r="Q37" s="2"/>
      <c r="R37" s="6">
        <f t="shared" si="16"/>
        <v>2.0877640400738169E-3</v>
      </c>
      <c r="S37" s="2"/>
      <c r="T37" s="7">
        <v>1331.29</v>
      </c>
      <c r="U37" s="2"/>
      <c r="V37" s="6">
        <f t="shared" si="17"/>
        <v>1.8193738131035201E-3</v>
      </c>
      <c r="W37" s="2"/>
      <c r="X37" s="7">
        <f t="shared" si="18"/>
        <v>106.97000000000003</v>
      </c>
      <c r="Y37" s="2"/>
      <c r="Z37" s="6">
        <f t="shared" si="19"/>
        <v>8.0350637351741569E-2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7">
        <v>19462.36</v>
      </c>
      <c r="E38" s="2"/>
      <c r="F38" s="6">
        <f t="shared" si="12"/>
        <v>2.8251369949085045E-2</v>
      </c>
      <c r="G38" s="2"/>
      <c r="H38" s="7">
        <v>17987.54</v>
      </c>
      <c r="I38" s="2"/>
      <c r="J38" s="6">
        <f t="shared" si="13"/>
        <v>2.4582216675669535E-2</v>
      </c>
      <c r="K38" s="2"/>
      <c r="L38" s="7">
        <f t="shared" si="14"/>
        <v>1474.8199999999997</v>
      </c>
      <c r="M38" s="2"/>
      <c r="N38" s="6">
        <f t="shared" si="15"/>
        <v>8.1991200575509474E-2</v>
      </c>
      <c r="O38" s="11"/>
      <c r="P38" s="7">
        <v>19462.36</v>
      </c>
      <c r="Q38" s="2"/>
      <c r="R38" s="6">
        <f t="shared" si="16"/>
        <v>2.8251369949085045E-2</v>
      </c>
      <c r="S38" s="2"/>
      <c r="T38" s="7">
        <v>17987.54</v>
      </c>
      <c r="U38" s="2"/>
      <c r="V38" s="6">
        <f t="shared" si="17"/>
        <v>2.4582216675669535E-2</v>
      </c>
      <c r="W38" s="2"/>
      <c r="X38" s="7">
        <f t="shared" si="18"/>
        <v>1474.8199999999997</v>
      </c>
      <c r="Y38" s="2"/>
      <c r="Z38" s="6">
        <f t="shared" si="19"/>
        <v>8.1991200575509474E-2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7">
        <v>29820.179999999997</v>
      </c>
      <c r="E39" s="2"/>
      <c r="F39" s="6">
        <f t="shared" si="12"/>
        <v>4.3286679371273923E-2</v>
      </c>
      <c r="G39" s="2"/>
      <c r="H39" s="7">
        <v>25090.86</v>
      </c>
      <c r="I39" s="2"/>
      <c r="J39" s="6">
        <f t="shared" si="13"/>
        <v>3.4289789326327542E-2</v>
      </c>
      <c r="K39" s="2"/>
      <c r="L39" s="7">
        <f t="shared" si="14"/>
        <v>4729.3199999999961</v>
      </c>
      <c r="M39" s="2"/>
      <c r="N39" s="6">
        <f t="shared" si="15"/>
        <v>0.18848776008474782</v>
      </c>
      <c r="O39" s="11"/>
      <c r="P39" s="7">
        <v>29820.179999999997</v>
      </c>
      <c r="Q39" s="2"/>
      <c r="R39" s="6">
        <f t="shared" si="16"/>
        <v>4.3286679371273923E-2</v>
      </c>
      <c r="S39" s="2"/>
      <c r="T39" s="7">
        <v>25090.86</v>
      </c>
      <c r="U39" s="2"/>
      <c r="V39" s="6">
        <f t="shared" si="17"/>
        <v>3.4289789326327542E-2</v>
      </c>
      <c r="W39" s="2"/>
      <c r="X39" s="7">
        <f t="shared" si="18"/>
        <v>4729.3199999999961</v>
      </c>
      <c r="Y39" s="2"/>
      <c r="Z39" s="6">
        <f t="shared" si="19"/>
        <v>0.18848776008474782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7">
        <v>5170.8900000000003</v>
      </c>
      <c r="E40" s="2"/>
      <c r="F40" s="6">
        <f t="shared" si="12"/>
        <v>7.5060129581419914E-3</v>
      </c>
      <c r="G40" s="2"/>
      <c r="H40" s="7">
        <v>5828.87</v>
      </c>
      <c r="I40" s="2"/>
      <c r="J40" s="6">
        <f t="shared" si="13"/>
        <v>7.9658777861958824E-3</v>
      </c>
      <c r="K40" s="2"/>
      <c r="L40" s="7">
        <f t="shared" si="14"/>
        <v>-657.97999999999956</v>
      </c>
      <c r="M40" s="2"/>
      <c r="N40" s="6">
        <f t="shared" si="15"/>
        <v>-0.11288294300610574</v>
      </c>
      <c r="O40" s="11"/>
      <c r="P40" s="7">
        <v>5170.8900000000003</v>
      </c>
      <c r="Q40" s="2"/>
      <c r="R40" s="6">
        <f t="shared" si="16"/>
        <v>7.5060129581419914E-3</v>
      </c>
      <c r="S40" s="2"/>
      <c r="T40" s="7">
        <v>5828.87</v>
      </c>
      <c r="U40" s="2"/>
      <c r="V40" s="6">
        <f t="shared" si="17"/>
        <v>7.9658777861958824E-3</v>
      </c>
      <c r="W40" s="2"/>
      <c r="X40" s="7">
        <f t="shared" si="18"/>
        <v>-657.97999999999956</v>
      </c>
      <c r="Y40" s="2"/>
      <c r="Z40" s="6">
        <f t="shared" si="19"/>
        <v>-0.11288294300610574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365776.35</v>
      </c>
      <c r="E41" s="1"/>
      <c r="F41" s="5">
        <f t="shared" ref="F41:F48" si="20">IF(D$12=0,0,D41/D$12)</f>
        <v>0.53095734445750731</v>
      </c>
      <c r="G41" s="1"/>
      <c r="H41" s="1">
        <f>SUM(OSRRefH22_1x_0)</f>
        <v>318256.58</v>
      </c>
      <c r="I41" s="1"/>
      <c r="J41" s="5">
        <f t="shared" ref="J41:J48" si="21">IF(H$12=0,0,H41/H$12)</f>
        <v>0.43493730704796518</v>
      </c>
      <c r="K41" s="1"/>
      <c r="L41" s="1">
        <f t="shared" ref="L41:L48" si="22">+D41-H41</f>
        <v>47519.76999999996</v>
      </c>
      <c r="M41" s="1"/>
      <c r="N41" s="5">
        <f t="shared" ref="N41:N48" si="23">IF(H41=0,0,L41/H41)</f>
        <v>0.14931276519090339</v>
      </c>
      <c r="O41" s="14"/>
      <c r="P41" s="1">
        <f>SUM(OSRRefP22_1x_0)</f>
        <v>365776.35</v>
      </c>
      <c r="Q41" s="1"/>
      <c r="R41" s="5">
        <f t="shared" ref="R41:R48" si="24">IF(P$12=0,0,P41/P$12)</f>
        <v>0.53095734445750731</v>
      </c>
      <c r="S41" s="1"/>
      <c r="T41" s="1">
        <f>SUM(OSRRefT22_1x_0)</f>
        <v>318256.58</v>
      </c>
      <c r="U41" s="1"/>
      <c r="V41" s="5">
        <f t="shared" ref="V41:V48" si="25">IF(T$12=0,0,T41/T$12)</f>
        <v>0.43493730704796518</v>
      </c>
      <c r="W41" s="1"/>
      <c r="X41" s="1">
        <f t="shared" ref="X41:X48" si="26">+P41-T41</f>
        <v>47519.76999999996</v>
      </c>
      <c r="Y41" s="1"/>
      <c r="Z41" s="5">
        <f t="shared" ref="Z41:Z48" si="27">IF(T41=0,0,X41/T41)</f>
        <v>0.14931276519090339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28164.2</v>
      </c>
      <c r="E42" s="2"/>
      <c r="F42" s="6">
        <f t="shared" si="20"/>
        <v>4.0882875125114376E-2</v>
      </c>
      <c r="G42" s="2"/>
      <c r="H42" s="7">
        <v>27322.959999999999</v>
      </c>
      <c r="I42" s="2"/>
      <c r="J42" s="6">
        <f t="shared" si="21"/>
        <v>3.7340232346427117E-2</v>
      </c>
      <c r="K42" s="2"/>
      <c r="L42" s="7">
        <f t="shared" si="22"/>
        <v>841.2400000000016</v>
      </c>
      <c r="M42" s="2"/>
      <c r="N42" s="6">
        <f t="shared" si="23"/>
        <v>3.0788757879819814E-2</v>
      </c>
      <c r="O42" s="11"/>
      <c r="P42" s="7">
        <v>28164.2</v>
      </c>
      <c r="Q42" s="2"/>
      <c r="R42" s="6">
        <f t="shared" si="24"/>
        <v>4.0882875125114376E-2</v>
      </c>
      <c r="S42" s="2"/>
      <c r="T42" s="7">
        <v>27322.959999999999</v>
      </c>
      <c r="U42" s="2"/>
      <c r="V42" s="6">
        <f t="shared" si="25"/>
        <v>3.7340232346427117E-2</v>
      </c>
      <c r="W42" s="2"/>
      <c r="X42" s="7">
        <f t="shared" si="26"/>
        <v>841.2400000000016</v>
      </c>
      <c r="Y42" s="2"/>
      <c r="Z42" s="6">
        <f t="shared" si="27"/>
        <v>3.0788757879819814E-2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>
        <v>103410.72</v>
      </c>
      <c r="E43" s="2"/>
      <c r="F43" s="6">
        <f t="shared" si="20"/>
        <v>0.15010998190462244</v>
      </c>
      <c r="G43" s="2"/>
      <c r="H43" s="7">
        <v>100693.62</v>
      </c>
      <c r="I43" s="2"/>
      <c r="J43" s="6">
        <f t="shared" si="21"/>
        <v>0.13761038945278406</v>
      </c>
      <c r="K43" s="2"/>
      <c r="L43" s="7">
        <f t="shared" si="22"/>
        <v>2717.1000000000058</v>
      </c>
      <c r="M43" s="2"/>
      <c r="N43" s="6">
        <f t="shared" si="23"/>
        <v>2.6983834725576517E-2</v>
      </c>
      <c r="O43" s="11"/>
      <c r="P43" s="7">
        <v>103410.72</v>
      </c>
      <c r="Q43" s="2"/>
      <c r="R43" s="6">
        <f t="shared" si="24"/>
        <v>0.15010998190462244</v>
      </c>
      <c r="S43" s="2"/>
      <c r="T43" s="7">
        <v>100693.62</v>
      </c>
      <c r="U43" s="2"/>
      <c r="V43" s="6">
        <f t="shared" si="25"/>
        <v>0.13761038945278406</v>
      </c>
      <c r="W43" s="2"/>
      <c r="X43" s="7">
        <f t="shared" si="26"/>
        <v>2717.1000000000058</v>
      </c>
      <c r="Y43" s="2"/>
      <c r="Z43" s="6">
        <f t="shared" si="27"/>
        <v>2.6983834725576517E-2</v>
      </c>
    </row>
    <row r="44" spans="1:26" s="24" customFormat="1" hidden="1" outlineLevel="2" x14ac:dyDescent="0.25">
      <c r="A44" s="29"/>
      <c r="B44" s="11" t="str">
        <f>CONCATENATE("          ", "6004", " - ", "STAFF HOURLY")</f>
        <v xml:space="preserve">          6004 - STAFF HOURLY</v>
      </c>
      <c r="C44" s="11"/>
      <c r="D44" s="7">
        <v>61082.5</v>
      </c>
      <c r="E44" s="2"/>
      <c r="F44" s="6">
        <f t="shared" si="20"/>
        <v>8.8666754952379218E-2</v>
      </c>
      <c r="G44" s="2"/>
      <c r="H44" s="7">
        <v>56606.5</v>
      </c>
      <c r="I44" s="2"/>
      <c r="J44" s="6">
        <f t="shared" si="21"/>
        <v>7.7359841771097518E-2</v>
      </c>
      <c r="K44" s="2"/>
      <c r="L44" s="7">
        <f t="shared" si="22"/>
        <v>4476</v>
      </c>
      <c r="M44" s="2"/>
      <c r="N44" s="6">
        <f t="shared" si="23"/>
        <v>7.9072191356116345E-2</v>
      </c>
      <c r="O44" s="11"/>
      <c r="P44" s="7">
        <v>61082.5</v>
      </c>
      <c r="Q44" s="2"/>
      <c r="R44" s="6">
        <f t="shared" si="24"/>
        <v>8.8666754952379218E-2</v>
      </c>
      <c r="S44" s="2"/>
      <c r="T44" s="7">
        <v>56606.5</v>
      </c>
      <c r="U44" s="2"/>
      <c r="V44" s="6">
        <f t="shared" si="25"/>
        <v>7.7359841771097518E-2</v>
      </c>
      <c r="W44" s="2"/>
      <c r="X44" s="7">
        <f t="shared" si="26"/>
        <v>4476</v>
      </c>
      <c r="Y44" s="2"/>
      <c r="Z44" s="6">
        <f t="shared" si="27"/>
        <v>7.9072191356116345E-2</v>
      </c>
    </row>
    <row r="45" spans="1:26" s="24" customFormat="1" hidden="1" outlineLevel="2" x14ac:dyDescent="0.25">
      <c r="A45" s="29"/>
      <c r="B45" s="11" t="str">
        <f>CONCATENATE("          ", "6005", " - ", "TEMPORARY WAGES-HOURLY")</f>
        <v xml:space="preserve">          6005 - TEMPORARY WAGES-HOURLY</v>
      </c>
      <c r="C45" s="11"/>
      <c r="D45" s="7">
        <v>61498.25</v>
      </c>
      <c r="E45" s="2"/>
      <c r="F45" s="6">
        <f t="shared" si="20"/>
        <v>8.9270253554621287E-2</v>
      </c>
      <c r="G45" s="2"/>
      <c r="H45" s="7">
        <v>44853.49</v>
      </c>
      <c r="I45" s="2"/>
      <c r="J45" s="6">
        <f t="shared" si="21"/>
        <v>6.1297887862374542E-2</v>
      </c>
      <c r="K45" s="2"/>
      <c r="L45" s="7">
        <f t="shared" si="22"/>
        <v>16644.760000000002</v>
      </c>
      <c r="M45" s="2"/>
      <c r="N45" s="6">
        <f t="shared" si="23"/>
        <v>0.37109174782163001</v>
      </c>
      <c r="O45" s="11"/>
      <c r="P45" s="7">
        <v>61498.25</v>
      </c>
      <c r="Q45" s="2"/>
      <c r="R45" s="6">
        <f t="shared" si="24"/>
        <v>8.9270253554621287E-2</v>
      </c>
      <c r="S45" s="2"/>
      <c r="T45" s="7">
        <v>44853.49</v>
      </c>
      <c r="U45" s="2"/>
      <c r="V45" s="6">
        <f t="shared" si="25"/>
        <v>6.1297887862374542E-2</v>
      </c>
      <c r="W45" s="2"/>
      <c r="X45" s="7">
        <f t="shared" si="26"/>
        <v>16644.760000000002</v>
      </c>
      <c r="Y45" s="2"/>
      <c r="Z45" s="6">
        <f t="shared" si="27"/>
        <v>0.37109174782163001</v>
      </c>
    </row>
    <row r="46" spans="1:26" s="24" customFormat="1" hidden="1" outlineLevel="2" x14ac:dyDescent="0.25">
      <c r="A46" s="29"/>
      <c r="B46" s="11" t="str">
        <f>CONCATENATE("          ", "6006", " - ", "TEMPORARY PART TIME")</f>
        <v xml:space="preserve">          6006 - TEMPORARY PART TIME</v>
      </c>
      <c r="C46" s="11"/>
      <c r="D46" s="7">
        <v>8575.2099999999991</v>
      </c>
      <c r="E46" s="2"/>
      <c r="F46" s="6">
        <f t="shared" si="20"/>
        <v>1.2447690316132963E-2</v>
      </c>
      <c r="G46" s="2"/>
      <c r="H46" s="7">
        <v>2755.31</v>
      </c>
      <c r="I46" s="2"/>
      <c r="J46" s="6">
        <f t="shared" si="21"/>
        <v>3.7654747357692615E-3</v>
      </c>
      <c r="K46" s="2"/>
      <c r="L46" s="7">
        <f t="shared" si="22"/>
        <v>5819.9</v>
      </c>
      <c r="M46" s="2"/>
      <c r="N46" s="6">
        <f t="shared" si="23"/>
        <v>2.112248712486072</v>
      </c>
      <c r="O46" s="11"/>
      <c r="P46" s="7">
        <v>8575.2099999999991</v>
      </c>
      <c r="Q46" s="2"/>
      <c r="R46" s="6">
        <f t="shared" si="24"/>
        <v>1.2447690316132963E-2</v>
      </c>
      <c r="S46" s="2"/>
      <c r="T46" s="7">
        <v>2755.31</v>
      </c>
      <c r="U46" s="2"/>
      <c r="V46" s="6">
        <f t="shared" si="25"/>
        <v>3.7654747357692615E-3</v>
      </c>
      <c r="W46" s="2"/>
      <c r="X46" s="7">
        <f t="shared" si="26"/>
        <v>5819.9</v>
      </c>
      <c r="Y46" s="2"/>
      <c r="Z46" s="6">
        <f t="shared" si="27"/>
        <v>2.112248712486072</v>
      </c>
    </row>
    <row r="47" spans="1:26" s="24" customFormat="1" hidden="1" outlineLevel="2" x14ac:dyDescent="0.25">
      <c r="A47" s="29"/>
      <c r="B47" s="11" t="str">
        <f>CONCATENATE("          ", "6007", " - ", "STUDENT HOURLY")</f>
        <v xml:space="preserve">          6007 - STUDENT HOURLY</v>
      </c>
      <c r="C47" s="11"/>
      <c r="D47" s="7">
        <v>93042.05</v>
      </c>
      <c r="E47" s="2"/>
      <c r="F47" s="6">
        <f t="shared" si="20"/>
        <v>0.13505892272937445</v>
      </c>
      <c r="G47" s="2"/>
      <c r="H47" s="7">
        <v>79764.12000000001</v>
      </c>
      <c r="I47" s="2"/>
      <c r="J47" s="6">
        <f t="shared" si="21"/>
        <v>0.10900761753881331</v>
      </c>
      <c r="K47" s="2"/>
      <c r="L47" s="7">
        <f t="shared" si="22"/>
        <v>13277.929999999993</v>
      </c>
      <c r="M47" s="2"/>
      <c r="N47" s="6">
        <f t="shared" si="23"/>
        <v>0.16646494689592253</v>
      </c>
      <c r="O47" s="11"/>
      <c r="P47" s="7">
        <v>93042.05</v>
      </c>
      <c r="Q47" s="2"/>
      <c r="R47" s="6">
        <f t="shared" si="24"/>
        <v>0.13505892272937445</v>
      </c>
      <c r="S47" s="2"/>
      <c r="T47" s="7">
        <v>79764.12000000001</v>
      </c>
      <c r="U47" s="2"/>
      <c r="V47" s="6">
        <f t="shared" si="25"/>
        <v>0.10900761753881331</v>
      </c>
      <c r="W47" s="2"/>
      <c r="X47" s="7">
        <f t="shared" si="26"/>
        <v>13277.929999999993</v>
      </c>
      <c r="Y47" s="2"/>
      <c r="Z47" s="6">
        <f t="shared" si="27"/>
        <v>0.16646494689592253</v>
      </c>
    </row>
    <row r="48" spans="1:26" s="24" customFormat="1" hidden="1" outlineLevel="2" x14ac:dyDescent="0.2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7">
        <v>10003.42</v>
      </c>
      <c r="E48" s="2"/>
      <c r="F48" s="6">
        <f t="shared" si="20"/>
        <v>1.4520865875262625E-2</v>
      </c>
      <c r="G48" s="2"/>
      <c r="H48" s="7">
        <v>6260.58</v>
      </c>
      <c r="I48" s="2"/>
      <c r="J48" s="6">
        <f t="shared" si="21"/>
        <v>8.5558633406993493E-3</v>
      </c>
      <c r="K48" s="2"/>
      <c r="L48" s="7">
        <f t="shared" si="22"/>
        <v>3742.84</v>
      </c>
      <c r="M48" s="2"/>
      <c r="N48" s="6">
        <f t="shared" si="23"/>
        <v>0.59784237243194727</v>
      </c>
      <c r="O48" s="11"/>
      <c r="P48" s="7">
        <v>10003.42</v>
      </c>
      <c r="Q48" s="2"/>
      <c r="R48" s="6">
        <f t="shared" si="24"/>
        <v>1.4520865875262625E-2</v>
      </c>
      <c r="S48" s="2"/>
      <c r="T48" s="7">
        <v>6260.58</v>
      </c>
      <c r="U48" s="2"/>
      <c r="V48" s="6">
        <f t="shared" si="25"/>
        <v>8.5558633406993493E-3</v>
      </c>
      <c r="W48" s="2"/>
      <c r="X48" s="7">
        <f t="shared" si="26"/>
        <v>3742.84</v>
      </c>
      <c r="Y48" s="2"/>
      <c r="Z48" s="6">
        <f t="shared" si="27"/>
        <v>0.59784237243194727</v>
      </c>
    </row>
    <row r="49" spans="1:26" s="28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3916.9</v>
      </c>
      <c r="E49" s="1"/>
      <c r="F49" s="5">
        <f t="shared" ref="F49:F58" si="28">IF(D$12=0,0,D49/D$12)</f>
        <v>5.6857334338472421E-3</v>
      </c>
      <c r="G49" s="1"/>
      <c r="H49" s="1">
        <f>SUM(OSRRefH22_2x_0)</f>
        <v>5071.53</v>
      </c>
      <c r="I49" s="1"/>
      <c r="J49" s="5">
        <f t="shared" ref="J49:J58" si="29">IF(H$12=0,0,H49/H$12)</f>
        <v>6.9308782266590263E-3</v>
      </c>
      <c r="K49" s="1"/>
      <c r="L49" s="1">
        <f t="shared" ref="L49:L58" si="30">+D49-H49</f>
        <v>-1154.6299999999997</v>
      </c>
      <c r="M49" s="1"/>
      <c r="N49" s="5">
        <f t="shared" ref="N49:N58" si="31">IF(H49=0,0,L49/H49)</f>
        <v>-0.22766896774740555</v>
      </c>
      <c r="O49" s="14"/>
      <c r="P49" s="1">
        <f>SUM(OSRRefP22_2x_0)</f>
        <v>3916.9</v>
      </c>
      <c r="Q49" s="1"/>
      <c r="R49" s="5">
        <f t="shared" ref="R49:R58" si="32">IF(P$12=0,0,P49/P$12)</f>
        <v>5.6857334338472421E-3</v>
      </c>
      <c r="S49" s="1"/>
      <c r="T49" s="1">
        <f>SUM(OSRRefT22_2x_0)</f>
        <v>5071.53</v>
      </c>
      <c r="U49" s="1"/>
      <c r="V49" s="5">
        <f t="shared" ref="V49:V58" si="33">IF(T$12=0,0,T49/T$12)</f>
        <v>6.9308782266590263E-3</v>
      </c>
      <c r="W49" s="1"/>
      <c r="X49" s="1">
        <f t="shared" ref="X49:X58" si="34">+P49-T49</f>
        <v>-1154.6299999999997</v>
      </c>
      <c r="Y49" s="1"/>
      <c r="Z49" s="5">
        <f t="shared" ref="Z49:Z58" si="35">IF(T49=0,0,X49/T49)</f>
        <v>-0.22766896774740555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3916.9</v>
      </c>
      <c r="E50" s="2"/>
      <c r="F50" s="6">
        <f t="shared" si="28"/>
        <v>5.6857334338472421E-3</v>
      </c>
      <c r="G50" s="2"/>
      <c r="H50" s="7">
        <v>5071.53</v>
      </c>
      <c r="I50" s="2"/>
      <c r="J50" s="6">
        <f t="shared" si="29"/>
        <v>6.9308782266590263E-3</v>
      </c>
      <c r="K50" s="2"/>
      <c r="L50" s="7">
        <f t="shared" si="30"/>
        <v>-1154.6299999999997</v>
      </c>
      <c r="M50" s="2"/>
      <c r="N50" s="6">
        <f t="shared" si="31"/>
        <v>-0.22766896774740555</v>
      </c>
      <c r="O50" s="11"/>
      <c r="P50" s="7">
        <v>3916.9</v>
      </c>
      <c r="Q50" s="2"/>
      <c r="R50" s="6">
        <f t="shared" si="32"/>
        <v>5.6857334338472421E-3</v>
      </c>
      <c r="S50" s="2"/>
      <c r="T50" s="7">
        <v>5071.53</v>
      </c>
      <c r="U50" s="2"/>
      <c r="V50" s="6">
        <f t="shared" si="33"/>
        <v>6.9308782266590263E-3</v>
      </c>
      <c r="W50" s="2"/>
      <c r="X50" s="7">
        <f t="shared" si="34"/>
        <v>-1154.6299999999997</v>
      </c>
      <c r="Y50" s="2"/>
      <c r="Z50" s="6">
        <f t="shared" si="35"/>
        <v>-0.22766896774740555</v>
      </c>
    </row>
    <row r="51" spans="1:26" s="28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-20.68</v>
      </c>
      <c r="E51" s="1"/>
      <c r="F51" s="5">
        <f t="shared" si="28"/>
        <v>-3.0018884171656402E-5</v>
      </c>
      <c r="G51" s="1"/>
      <c r="H51" s="1">
        <f>SUM(OSRRefH22_3x_0)</f>
        <v>4.7</v>
      </c>
      <c r="I51" s="1"/>
      <c r="J51" s="5">
        <f t="shared" si="29"/>
        <v>6.4231361473357007E-6</v>
      </c>
      <c r="K51" s="1"/>
      <c r="L51" s="1">
        <f t="shared" si="30"/>
        <v>-25.38</v>
      </c>
      <c r="M51" s="1"/>
      <c r="N51" s="5">
        <f t="shared" si="31"/>
        <v>-5.3999999999999995</v>
      </c>
      <c r="O51" s="14"/>
      <c r="P51" s="1">
        <f>SUM(OSRRefP22_3x_0)</f>
        <v>-20.68</v>
      </c>
      <c r="Q51" s="1"/>
      <c r="R51" s="5">
        <f t="shared" si="32"/>
        <v>-3.0018884171656402E-5</v>
      </c>
      <c r="S51" s="1"/>
      <c r="T51" s="1">
        <f>SUM(OSRRefT22_3x_0)</f>
        <v>4.7</v>
      </c>
      <c r="U51" s="1"/>
      <c r="V51" s="5">
        <f t="shared" si="33"/>
        <v>6.4231361473357007E-6</v>
      </c>
      <c r="W51" s="1"/>
      <c r="X51" s="1">
        <f t="shared" si="34"/>
        <v>-25.38</v>
      </c>
      <c r="Y51" s="1"/>
      <c r="Z51" s="5">
        <f t="shared" si="35"/>
        <v>-5.3999999999999995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7">
        <v>-20.68</v>
      </c>
      <c r="E52" s="2"/>
      <c r="F52" s="6">
        <f t="shared" si="28"/>
        <v>-3.0018884171656402E-5</v>
      </c>
      <c r="G52" s="2"/>
      <c r="H52" s="7">
        <v>4.7</v>
      </c>
      <c r="I52" s="2"/>
      <c r="J52" s="6">
        <f t="shared" si="29"/>
        <v>6.4231361473357007E-6</v>
      </c>
      <c r="K52" s="2"/>
      <c r="L52" s="7">
        <f t="shared" si="30"/>
        <v>-25.38</v>
      </c>
      <c r="M52" s="2"/>
      <c r="N52" s="6">
        <f t="shared" si="31"/>
        <v>-5.3999999999999995</v>
      </c>
      <c r="O52" s="11"/>
      <c r="P52" s="7">
        <v>-20.68</v>
      </c>
      <c r="Q52" s="2"/>
      <c r="R52" s="6">
        <f t="shared" si="32"/>
        <v>-3.0018884171656402E-5</v>
      </c>
      <c r="S52" s="2"/>
      <c r="T52" s="7">
        <v>4.7</v>
      </c>
      <c r="U52" s="2"/>
      <c r="V52" s="6">
        <f t="shared" si="33"/>
        <v>6.4231361473357007E-6</v>
      </c>
      <c r="W52" s="2"/>
      <c r="X52" s="7">
        <f t="shared" si="34"/>
        <v>-25.38</v>
      </c>
      <c r="Y52" s="2"/>
      <c r="Z52" s="6">
        <f t="shared" si="35"/>
        <v>-5.3999999999999995</v>
      </c>
    </row>
    <row r="53" spans="1:26" s="28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4542.6400000000003</v>
      </c>
      <c r="E53" s="1"/>
      <c r="F53" s="5">
        <f t="shared" si="28"/>
        <v>6.5940514503642772E-3</v>
      </c>
      <c r="G53" s="1"/>
      <c r="H53" s="1">
        <f>SUM(OSRRefH22_4x_0)</f>
        <v>5044.13</v>
      </c>
      <c r="I53" s="1"/>
      <c r="J53" s="5">
        <f t="shared" si="29"/>
        <v>6.8934327095447716E-3</v>
      </c>
      <c r="K53" s="1"/>
      <c r="L53" s="1">
        <f t="shared" si="30"/>
        <v>-501.48999999999978</v>
      </c>
      <c r="M53" s="1"/>
      <c r="N53" s="5">
        <f t="shared" si="31"/>
        <v>-9.9420514538681545E-2</v>
      </c>
      <c r="O53" s="14"/>
      <c r="P53" s="1">
        <f>SUM(OSRRefP22_4x_0)</f>
        <v>4542.6400000000003</v>
      </c>
      <c r="Q53" s="1"/>
      <c r="R53" s="5">
        <f t="shared" si="32"/>
        <v>6.5940514503642772E-3</v>
      </c>
      <c r="S53" s="1"/>
      <c r="T53" s="1">
        <f>SUM(OSRRefT22_4x_0)</f>
        <v>5044.13</v>
      </c>
      <c r="U53" s="1"/>
      <c r="V53" s="5">
        <f t="shared" si="33"/>
        <v>6.8934327095447716E-3</v>
      </c>
      <c r="W53" s="1"/>
      <c r="X53" s="1">
        <f t="shared" si="34"/>
        <v>-501.48999999999978</v>
      </c>
      <c r="Y53" s="1"/>
      <c r="Z53" s="5">
        <f t="shared" si="35"/>
        <v>-9.9420514538681545E-2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4542.6400000000003</v>
      </c>
      <c r="E54" s="2"/>
      <c r="F54" s="6">
        <f t="shared" si="28"/>
        <v>6.5940514503642772E-3</v>
      </c>
      <c r="G54" s="2"/>
      <c r="H54" s="7">
        <v>5044.13</v>
      </c>
      <c r="I54" s="2"/>
      <c r="J54" s="6">
        <f t="shared" si="29"/>
        <v>6.8934327095447716E-3</v>
      </c>
      <c r="K54" s="2"/>
      <c r="L54" s="7">
        <f t="shared" si="30"/>
        <v>-501.48999999999978</v>
      </c>
      <c r="M54" s="2"/>
      <c r="N54" s="6">
        <f t="shared" si="31"/>
        <v>-9.9420514538681545E-2</v>
      </c>
      <c r="O54" s="11"/>
      <c r="P54" s="7">
        <v>4542.6400000000003</v>
      </c>
      <c r="Q54" s="2"/>
      <c r="R54" s="6">
        <f t="shared" si="32"/>
        <v>6.5940514503642772E-3</v>
      </c>
      <c r="S54" s="2"/>
      <c r="T54" s="7">
        <v>5044.13</v>
      </c>
      <c r="U54" s="2"/>
      <c r="V54" s="6">
        <f t="shared" si="33"/>
        <v>6.8934327095447716E-3</v>
      </c>
      <c r="W54" s="2"/>
      <c r="X54" s="7">
        <f t="shared" si="34"/>
        <v>-501.48999999999978</v>
      </c>
      <c r="Y54" s="2"/>
      <c r="Z54" s="6">
        <f t="shared" si="35"/>
        <v>-9.9420514538681545E-2</v>
      </c>
    </row>
    <row r="55" spans="1:26" s="28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39571.050000000003</v>
      </c>
      <c r="E55" s="1"/>
      <c r="F55" s="5">
        <f t="shared" si="28"/>
        <v>5.7440946155745846E-2</v>
      </c>
      <c r="G55" s="1"/>
      <c r="H55" s="1">
        <f>SUM(OSRRefH22_5x_0)</f>
        <v>41769.21</v>
      </c>
      <c r="I55" s="1"/>
      <c r="J55" s="5">
        <f t="shared" si="29"/>
        <v>5.7082834595033154E-2</v>
      </c>
      <c r="K55" s="1"/>
      <c r="L55" s="1">
        <f t="shared" si="30"/>
        <v>-2198.1599999999962</v>
      </c>
      <c r="M55" s="1"/>
      <c r="N55" s="5">
        <f t="shared" si="31"/>
        <v>-5.2626324510327012E-2</v>
      </c>
      <c r="O55" s="14"/>
      <c r="P55" s="1">
        <f>SUM(OSRRefP22_5x_0)</f>
        <v>39571.050000000003</v>
      </c>
      <c r="Q55" s="1"/>
      <c r="R55" s="5">
        <f t="shared" si="32"/>
        <v>5.7440946155745846E-2</v>
      </c>
      <c r="S55" s="1"/>
      <c r="T55" s="1">
        <f>SUM(OSRRefT22_5x_0)</f>
        <v>41769.21</v>
      </c>
      <c r="U55" s="1"/>
      <c r="V55" s="5">
        <f t="shared" si="33"/>
        <v>5.7082834595033154E-2</v>
      </c>
      <c r="W55" s="1"/>
      <c r="X55" s="1">
        <f t="shared" si="34"/>
        <v>-2198.1599999999962</v>
      </c>
      <c r="Y55" s="1"/>
      <c r="Z55" s="5">
        <f t="shared" si="35"/>
        <v>-5.2626324510327012E-2</v>
      </c>
    </row>
    <row r="56" spans="1:26" s="24" customFormat="1" hidden="1" outlineLevel="2" x14ac:dyDescent="0.25">
      <c r="A56" s="29"/>
      <c r="B56" s="11" t="str">
        <f>CONCATENATE("          ", "6321", " - ", "BUILDING DEPRECIATION")</f>
        <v xml:space="preserve">          6321 - BUILDING DEPRECIATION</v>
      </c>
      <c r="C56" s="11"/>
      <c r="D56" s="7">
        <v>24042.959999999999</v>
      </c>
      <c r="E56" s="2"/>
      <c r="F56" s="6">
        <f t="shared" si="28"/>
        <v>3.4900523761304057E-2</v>
      </c>
      <c r="G56" s="2"/>
      <c r="H56" s="7">
        <v>27841.129999999997</v>
      </c>
      <c r="I56" s="2"/>
      <c r="J56" s="6">
        <f t="shared" si="29"/>
        <v>3.8048376273547312E-2</v>
      </c>
      <c r="K56" s="2"/>
      <c r="L56" s="7">
        <f t="shared" si="30"/>
        <v>-3798.1699999999983</v>
      </c>
      <c r="M56" s="2"/>
      <c r="N56" s="6">
        <f t="shared" si="31"/>
        <v>-0.13642298283151577</v>
      </c>
      <c r="O56" s="11"/>
      <c r="P56" s="7">
        <v>24042.959999999999</v>
      </c>
      <c r="Q56" s="2"/>
      <c r="R56" s="6">
        <f t="shared" si="32"/>
        <v>3.4900523761304057E-2</v>
      </c>
      <c r="S56" s="2"/>
      <c r="T56" s="7">
        <v>27841.129999999997</v>
      </c>
      <c r="U56" s="2"/>
      <c r="V56" s="6">
        <f t="shared" si="33"/>
        <v>3.8048376273547312E-2</v>
      </c>
      <c r="W56" s="2"/>
      <c r="X56" s="7">
        <f t="shared" si="34"/>
        <v>-3798.1699999999983</v>
      </c>
      <c r="Y56" s="2"/>
      <c r="Z56" s="6">
        <f t="shared" si="35"/>
        <v>-0.13642298283151577</v>
      </c>
    </row>
    <row r="57" spans="1:26" s="24" customFormat="1" hidden="1" outlineLevel="2" x14ac:dyDescent="0.2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15103.84</v>
      </c>
      <c r="E57" s="2"/>
      <c r="F57" s="6">
        <f t="shared" si="28"/>
        <v>2.1924585275978278E-2</v>
      </c>
      <c r="G57" s="2"/>
      <c r="H57" s="7">
        <v>13503.83</v>
      </c>
      <c r="I57" s="2"/>
      <c r="J57" s="6">
        <f t="shared" si="29"/>
        <v>1.8454667787335371E-2</v>
      </c>
      <c r="K57" s="2"/>
      <c r="L57" s="7">
        <f t="shared" si="30"/>
        <v>1600.0100000000002</v>
      </c>
      <c r="M57" s="2"/>
      <c r="N57" s="6">
        <f t="shared" si="31"/>
        <v>0.11848564444309505</v>
      </c>
      <c r="O57" s="11"/>
      <c r="P57" s="7">
        <v>15103.84</v>
      </c>
      <c r="Q57" s="2"/>
      <c r="R57" s="6">
        <f t="shared" si="32"/>
        <v>2.1924585275978278E-2</v>
      </c>
      <c r="S57" s="2"/>
      <c r="T57" s="7">
        <v>13503.83</v>
      </c>
      <c r="U57" s="2"/>
      <c r="V57" s="6">
        <f t="shared" si="33"/>
        <v>1.8454667787335371E-2</v>
      </c>
      <c r="W57" s="2"/>
      <c r="X57" s="7">
        <f t="shared" si="34"/>
        <v>1600.0100000000002</v>
      </c>
      <c r="Y57" s="2"/>
      <c r="Z57" s="6">
        <f t="shared" si="35"/>
        <v>0.11848564444309505</v>
      </c>
    </row>
    <row r="58" spans="1:26" s="24" customFormat="1" hidden="1" outlineLevel="2" x14ac:dyDescent="0.25">
      <c r="A58" s="29"/>
      <c r="B58" s="11" t="str">
        <f>CONCATENATE("          ", "6326", " - ", "VEHICLES DEPRECIATION EXPENSE")</f>
        <v xml:space="preserve">          6326 - VEHICLES DEPRECIATION EXPENSE</v>
      </c>
      <c r="C58" s="11"/>
      <c r="D58" s="7">
        <v>424.25</v>
      </c>
      <c r="E58" s="2"/>
      <c r="F58" s="6">
        <f t="shared" si="28"/>
        <v>6.1583711846350229E-4</v>
      </c>
      <c r="G58" s="2"/>
      <c r="H58" s="7">
        <v>424.25</v>
      </c>
      <c r="I58" s="2"/>
      <c r="J58" s="6">
        <f t="shared" si="29"/>
        <v>5.7979053415046188E-4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424.25</v>
      </c>
      <c r="Q58" s="2"/>
      <c r="R58" s="6">
        <f t="shared" si="32"/>
        <v>6.1583711846350229E-4</v>
      </c>
      <c r="S58" s="2"/>
      <c r="T58" s="7">
        <v>424.25</v>
      </c>
      <c r="U58" s="2"/>
      <c r="V58" s="6">
        <f t="shared" si="33"/>
        <v>5.7979053415046188E-4</v>
      </c>
      <c r="W58" s="2"/>
      <c r="X58" s="7">
        <f t="shared" si="34"/>
        <v>0</v>
      </c>
      <c r="Y58" s="2"/>
      <c r="Z58" s="6">
        <f t="shared" si="35"/>
        <v>0</v>
      </c>
    </row>
    <row r="59" spans="1:26" s="28" customFormat="1" outlineLevel="1" collapsed="1" x14ac:dyDescent="0.25">
      <c r="A59" s="27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109.76</v>
      </c>
      <c r="E59" s="1"/>
      <c r="F59" s="5">
        <f t="shared" ref="F59:F75" si="36">IF(D$12=0,0,D59/D$12)</f>
        <v>1.5932653417219568E-4</v>
      </c>
      <c r="G59" s="1"/>
      <c r="H59" s="1">
        <f>SUM(OSRRefH22_6x_0)</f>
        <v>78.11</v>
      </c>
      <c r="I59" s="1"/>
      <c r="J59" s="5">
        <f t="shared" ref="J59:J75" si="37">IF(H$12=0,0,H59/H$12)</f>
        <v>1.0674705626987054E-4</v>
      </c>
      <c r="K59" s="1"/>
      <c r="L59" s="1">
        <f t="shared" ref="L59:L75" si="38">+D59-H59</f>
        <v>31.650000000000006</v>
      </c>
      <c r="M59" s="1"/>
      <c r="N59" s="5">
        <f t="shared" ref="N59:N75" si="39">IF(H59=0,0,L59/H59)</f>
        <v>0.40519779797721173</v>
      </c>
      <c r="O59" s="14"/>
      <c r="P59" s="1">
        <f>SUM(OSRRefP22_6x_0)</f>
        <v>109.76</v>
      </c>
      <c r="Q59" s="1"/>
      <c r="R59" s="5">
        <f t="shared" ref="R59:R75" si="40">IF(P$12=0,0,P59/P$12)</f>
        <v>1.5932653417219568E-4</v>
      </c>
      <c r="S59" s="1"/>
      <c r="T59" s="1">
        <f>SUM(OSRRefT22_6x_0)</f>
        <v>78.11</v>
      </c>
      <c r="U59" s="1"/>
      <c r="V59" s="5">
        <f t="shared" ref="V59:V75" si="41">IF(T$12=0,0,T59/T$12)</f>
        <v>1.0674705626987054E-4</v>
      </c>
      <c r="W59" s="1"/>
      <c r="X59" s="1">
        <f t="shared" ref="X59:X75" si="42">+P59-T59</f>
        <v>31.650000000000006</v>
      </c>
      <c r="Y59" s="1"/>
      <c r="Z59" s="5">
        <f t="shared" ref="Z59:Z75" si="43">IF(T59=0,0,X59/T59)</f>
        <v>0.40519779797721173</v>
      </c>
    </row>
    <row r="60" spans="1:26" s="24" customFormat="1" hidden="1" outlineLevel="2" x14ac:dyDescent="0.25">
      <c r="A60" s="29"/>
      <c r="B60" s="11" t="str">
        <f>CONCATENATE("          ", "6277", " - ", "EMPLOYEE APPRECIATION")</f>
        <v xml:space="preserve">          6277 - EMPLOYEE APPRECIATION</v>
      </c>
      <c r="C60" s="11"/>
      <c r="D60" s="7">
        <v>109.76</v>
      </c>
      <c r="E60" s="2"/>
      <c r="F60" s="6">
        <f t="shared" si="36"/>
        <v>1.5932653417219568E-4</v>
      </c>
      <c r="G60" s="2"/>
      <c r="H60" s="7">
        <v>78.11</v>
      </c>
      <c r="I60" s="2"/>
      <c r="J60" s="6">
        <f t="shared" si="37"/>
        <v>1.0674705626987054E-4</v>
      </c>
      <c r="K60" s="2"/>
      <c r="L60" s="7">
        <f t="shared" si="38"/>
        <v>31.650000000000006</v>
      </c>
      <c r="M60" s="2"/>
      <c r="N60" s="6">
        <f t="shared" si="39"/>
        <v>0.40519779797721173</v>
      </c>
      <c r="O60" s="11"/>
      <c r="P60" s="7">
        <v>109.76</v>
      </c>
      <c r="Q60" s="2"/>
      <c r="R60" s="6">
        <f t="shared" si="40"/>
        <v>1.5932653417219568E-4</v>
      </c>
      <c r="S60" s="2"/>
      <c r="T60" s="7">
        <v>78.11</v>
      </c>
      <c r="U60" s="2"/>
      <c r="V60" s="6">
        <f t="shared" si="41"/>
        <v>1.0674705626987054E-4</v>
      </c>
      <c r="W60" s="2"/>
      <c r="X60" s="7">
        <f t="shared" si="42"/>
        <v>31.650000000000006</v>
      </c>
      <c r="Y60" s="2"/>
      <c r="Z60" s="6">
        <f t="shared" si="43"/>
        <v>0.40519779797721173</v>
      </c>
    </row>
    <row r="61" spans="1:26" s="28" customFormat="1" outlineLevel="1" collapsed="1" x14ac:dyDescent="0.25">
      <c r="A61" s="27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1789.64</v>
      </c>
      <c r="E61" s="1"/>
      <c r="F61" s="5">
        <f t="shared" si="36"/>
        <v>2.5978237847661106E-3</v>
      </c>
      <c r="G61" s="1"/>
      <c r="H61" s="1">
        <f>SUM(OSRRefH22_7x_0)</f>
        <v>2505.5300000000002</v>
      </c>
      <c r="I61" s="1"/>
      <c r="J61" s="5">
        <f t="shared" si="37"/>
        <v>3.4241192151561743E-3</v>
      </c>
      <c r="K61" s="1"/>
      <c r="L61" s="1">
        <f t="shared" si="38"/>
        <v>-715.8900000000001</v>
      </c>
      <c r="M61" s="1"/>
      <c r="N61" s="5">
        <f t="shared" si="39"/>
        <v>-0.28572397855942655</v>
      </c>
      <c r="O61" s="14"/>
      <c r="P61" s="1">
        <f>SUM(OSRRefP22_7x_0)</f>
        <v>1789.64</v>
      </c>
      <c r="Q61" s="1"/>
      <c r="R61" s="5">
        <f t="shared" si="40"/>
        <v>2.5978237847661106E-3</v>
      </c>
      <c r="S61" s="1"/>
      <c r="T61" s="1">
        <f>SUM(OSRRefT22_7x_0)</f>
        <v>2505.5300000000002</v>
      </c>
      <c r="U61" s="1"/>
      <c r="V61" s="5">
        <f t="shared" si="41"/>
        <v>3.4241192151561743E-3</v>
      </c>
      <c r="W61" s="1"/>
      <c r="X61" s="1">
        <f t="shared" si="42"/>
        <v>-715.8900000000001</v>
      </c>
      <c r="Y61" s="1"/>
      <c r="Z61" s="5">
        <f t="shared" si="43"/>
        <v>-0.28572397855942655</v>
      </c>
    </row>
    <row r="62" spans="1:26" s="24" customFormat="1" hidden="1" outlineLevel="2" x14ac:dyDescent="0.25">
      <c r="A62" s="29"/>
      <c r="B62" s="11" t="str">
        <f>CONCATENATE("          ", "6351", " - ", "EQUIPMENT RENTAL")</f>
        <v xml:space="preserve">          6351 - EQUIPMENT RENTAL</v>
      </c>
      <c r="C62" s="11"/>
      <c r="D62" s="7">
        <v>1789.64</v>
      </c>
      <c r="E62" s="2"/>
      <c r="F62" s="6">
        <f t="shared" si="36"/>
        <v>2.5978237847661106E-3</v>
      </c>
      <c r="G62" s="2"/>
      <c r="H62" s="7">
        <v>2505.5300000000002</v>
      </c>
      <c r="I62" s="2"/>
      <c r="J62" s="6">
        <f t="shared" si="37"/>
        <v>3.4241192151561743E-3</v>
      </c>
      <c r="K62" s="2"/>
      <c r="L62" s="7">
        <f t="shared" si="38"/>
        <v>-715.8900000000001</v>
      </c>
      <c r="M62" s="2"/>
      <c r="N62" s="6">
        <f t="shared" si="39"/>
        <v>-0.28572397855942655</v>
      </c>
      <c r="O62" s="11"/>
      <c r="P62" s="7">
        <v>1789.64</v>
      </c>
      <c r="Q62" s="2"/>
      <c r="R62" s="6">
        <f t="shared" si="40"/>
        <v>2.5978237847661106E-3</v>
      </c>
      <c r="S62" s="2"/>
      <c r="T62" s="7">
        <v>2505.5300000000002</v>
      </c>
      <c r="U62" s="2"/>
      <c r="V62" s="6">
        <f t="shared" si="41"/>
        <v>3.4241192151561743E-3</v>
      </c>
      <c r="W62" s="2"/>
      <c r="X62" s="7">
        <f t="shared" si="42"/>
        <v>-715.8900000000001</v>
      </c>
      <c r="Y62" s="2"/>
      <c r="Z62" s="6">
        <f t="shared" si="43"/>
        <v>-0.28572397855942655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SUM(OSRRefD22_8x_0)</f>
        <v>23238.91</v>
      </c>
      <c r="E63" s="1"/>
      <c r="F63" s="5">
        <f t="shared" si="36"/>
        <v>3.3733372706264392E-2</v>
      </c>
      <c r="G63" s="1"/>
      <c r="H63" s="1">
        <f>SUM(OSRRefH22_8x_0)</f>
        <v>21794.959999999999</v>
      </c>
      <c r="I63" s="1"/>
      <c r="J63" s="5">
        <f t="shared" si="37"/>
        <v>2.9785530937390572E-2</v>
      </c>
      <c r="K63" s="1"/>
      <c r="L63" s="1">
        <f t="shared" si="38"/>
        <v>1443.9500000000007</v>
      </c>
      <c r="M63" s="1"/>
      <c r="N63" s="5">
        <f t="shared" si="39"/>
        <v>6.6251555405469925E-2</v>
      </c>
      <c r="O63" s="14"/>
      <c r="P63" s="1">
        <f>SUM(OSRRefP22_8x_0)</f>
        <v>23238.91</v>
      </c>
      <c r="Q63" s="1"/>
      <c r="R63" s="5">
        <f t="shared" si="40"/>
        <v>3.3733372706264392E-2</v>
      </c>
      <c r="S63" s="1"/>
      <c r="T63" s="1">
        <f>SUM(OSRRefT22_8x_0)</f>
        <v>21794.959999999999</v>
      </c>
      <c r="U63" s="1"/>
      <c r="V63" s="5">
        <f t="shared" si="41"/>
        <v>2.9785530937390572E-2</v>
      </c>
      <c r="W63" s="1"/>
      <c r="X63" s="1">
        <f t="shared" si="42"/>
        <v>1443.9500000000007</v>
      </c>
      <c r="Y63" s="1"/>
      <c r="Z63" s="5">
        <f t="shared" si="43"/>
        <v>6.6251555405469925E-2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>
        <v>23238.91</v>
      </c>
      <c r="E64" s="2"/>
      <c r="F64" s="6">
        <f t="shared" si="36"/>
        <v>3.3733372706264392E-2</v>
      </c>
      <c r="G64" s="2"/>
      <c r="H64" s="7">
        <v>21794.959999999999</v>
      </c>
      <c r="I64" s="2"/>
      <c r="J64" s="6">
        <f t="shared" si="37"/>
        <v>2.9785530937390572E-2</v>
      </c>
      <c r="K64" s="2"/>
      <c r="L64" s="7">
        <f t="shared" si="38"/>
        <v>1443.9500000000007</v>
      </c>
      <c r="M64" s="2"/>
      <c r="N64" s="6">
        <f t="shared" si="39"/>
        <v>6.6251555405469925E-2</v>
      </c>
      <c r="O64" s="11"/>
      <c r="P64" s="7">
        <v>23238.91</v>
      </c>
      <c r="Q64" s="2"/>
      <c r="R64" s="6">
        <f t="shared" si="40"/>
        <v>3.3733372706264392E-2</v>
      </c>
      <c r="S64" s="2"/>
      <c r="T64" s="7">
        <v>21794.959999999999</v>
      </c>
      <c r="U64" s="2"/>
      <c r="V64" s="6">
        <f t="shared" si="41"/>
        <v>2.9785530937390572E-2</v>
      </c>
      <c r="W64" s="2"/>
      <c r="X64" s="7">
        <f t="shared" si="42"/>
        <v>1443.9500000000007</v>
      </c>
      <c r="Y64" s="2"/>
      <c r="Z64" s="6">
        <f t="shared" si="43"/>
        <v>6.6251555405469925E-2</v>
      </c>
    </row>
    <row r="65" spans="1:26" s="28" customFormat="1" outlineLevel="1" collapsed="1" x14ac:dyDescent="0.25">
      <c r="A65" s="27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SUM(OSRRefD22_9x_0)</f>
        <v>4246.03</v>
      </c>
      <c r="E65" s="1"/>
      <c r="F65" s="5">
        <f t="shared" si="36"/>
        <v>6.163495297842274E-3</v>
      </c>
      <c r="G65" s="1"/>
      <c r="H65" s="1">
        <f>SUM(OSRRefH22_9x_0)</f>
        <v>3998.11</v>
      </c>
      <c r="I65" s="1"/>
      <c r="J65" s="5">
        <f t="shared" si="37"/>
        <v>5.4639159280902849E-3</v>
      </c>
      <c r="K65" s="1"/>
      <c r="L65" s="1">
        <f t="shared" si="38"/>
        <v>247.91999999999962</v>
      </c>
      <c r="M65" s="1"/>
      <c r="N65" s="5">
        <f t="shared" si="39"/>
        <v>6.2009299393963553E-2</v>
      </c>
      <c r="O65" s="14"/>
      <c r="P65" s="1">
        <f>SUM(OSRRefP22_9x_0)</f>
        <v>4246.03</v>
      </c>
      <c r="Q65" s="1"/>
      <c r="R65" s="5">
        <f t="shared" si="40"/>
        <v>6.163495297842274E-3</v>
      </c>
      <c r="S65" s="1"/>
      <c r="T65" s="1">
        <f>SUM(OSRRefT22_9x_0)</f>
        <v>3998.11</v>
      </c>
      <c r="U65" s="1"/>
      <c r="V65" s="5">
        <f t="shared" si="41"/>
        <v>5.4639159280902849E-3</v>
      </c>
      <c r="W65" s="1"/>
      <c r="X65" s="1">
        <f t="shared" si="42"/>
        <v>247.91999999999962</v>
      </c>
      <c r="Y65" s="1"/>
      <c r="Z65" s="5">
        <f t="shared" si="43"/>
        <v>6.2009299393963553E-2</v>
      </c>
    </row>
    <row r="66" spans="1:26" s="24" customFormat="1" hidden="1" outlineLevel="2" x14ac:dyDescent="0.25">
      <c r="A66" s="29"/>
      <c r="B66" s="11" t="str">
        <f>CONCATENATE("          ", "6314", " - ", "LIABILITY INSURANCE")</f>
        <v xml:space="preserve">          6314 - LIABILITY INSURANCE</v>
      </c>
      <c r="C66" s="11"/>
      <c r="D66" s="7">
        <v>4246.03</v>
      </c>
      <c r="E66" s="2"/>
      <c r="F66" s="6">
        <f t="shared" si="36"/>
        <v>6.163495297842274E-3</v>
      </c>
      <c r="G66" s="2"/>
      <c r="H66" s="7">
        <v>3998.11</v>
      </c>
      <c r="I66" s="2"/>
      <c r="J66" s="6">
        <f t="shared" si="37"/>
        <v>5.4639159280902849E-3</v>
      </c>
      <c r="K66" s="2"/>
      <c r="L66" s="7">
        <f t="shared" si="38"/>
        <v>247.91999999999962</v>
      </c>
      <c r="M66" s="2"/>
      <c r="N66" s="6">
        <f t="shared" si="39"/>
        <v>6.2009299393963553E-2</v>
      </c>
      <c r="O66" s="11"/>
      <c r="P66" s="7">
        <v>4246.03</v>
      </c>
      <c r="Q66" s="2"/>
      <c r="R66" s="6">
        <f t="shared" si="40"/>
        <v>6.163495297842274E-3</v>
      </c>
      <c r="S66" s="2"/>
      <c r="T66" s="7">
        <v>3998.11</v>
      </c>
      <c r="U66" s="2"/>
      <c r="V66" s="6">
        <f t="shared" si="41"/>
        <v>5.4639159280902849E-3</v>
      </c>
      <c r="W66" s="2"/>
      <c r="X66" s="7">
        <f t="shared" si="42"/>
        <v>247.91999999999962</v>
      </c>
      <c r="Y66" s="2"/>
      <c r="Z66" s="6">
        <f t="shared" si="43"/>
        <v>6.2009299393963553E-2</v>
      </c>
    </row>
    <row r="67" spans="1:26" s="28" customFormat="1" outlineLevel="1" collapsed="1" x14ac:dyDescent="0.25">
      <c r="A67" s="27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SUM(OSRRefD22_10x_0)</f>
        <v>7630</v>
      </c>
      <c r="E67" s="1"/>
      <c r="F67" s="5">
        <f t="shared" si="36"/>
        <v>1.107563279640901E-2</v>
      </c>
      <c r="G67" s="1"/>
      <c r="H67" s="1">
        <f>SUM(OSRRefH22_10x_0)</f>
        <v>7949</v>
      </c>
      <c r="I67" s="1"/>
      <c r="J67" s="5">
        <f t="shared" si="37"/>
        <v>1.0863299837270529E-2</v>
      </c>
      <c r="K67" s="1"/>
      <c r="L67" s="1">
        <f t="shared" si="38"/>
        <v>-319</v>
      </c>
      <c r="M67" s="1"/>
      <c r="N67" s="5">
        <f t="shared" si="39"/>
        <v>-4.013083406717826E-2</v>
      </c>
      <c r="O67" s="14"/>
      <c r="P67" s="1">
        <f>SUM(OSRRefP22_10x_0)</f>
        <v>7630</v>
      </c>
      <c r="Q67" s="1"/>
      <c r="R67" s="5">
        <f t="shared" si="40"/>
        <v>1.107563279640901E-2</v>
      </c>
      <c r="S67" s="1"/>
      <c r="T67" s="1">
        <f>SUM(OSRRefT22_10x_0)</f>
        <v>7949</v>
      </c>
      <c r="U67" s="1"/>
      <c r="V67" s="5">
        <f t="shared" si="41"/>
        <v>1.0863299837270529E-2</v>
      </c>
      <c r="W67" s="1"/>
      <c r="X67" s="1">
        <f t="shared" si="42"/>
        <v>-319</v>
      </c>
      <c r="Y67" s="1"/>
      <c r="Z67" s="5">
        <f t="shared" si="43"/>
        <v>-4.013083406717826E-2</v>
      </c>
    </row>
    <row r="68" spans="1:26" s="24" customFormat="1" hidden="1" outlineLevel="2" x14ac:dyDescent="0.25">
      <c r="A68" s="29"/>
      <c r="B68" s="11" t="str">
        <f>CONCATENATE("          ", "6401", " - ", "INTEREST EXPENSE")</f>
        <v xml:space="preserve">          6401 - INTEREST EXPENSE</v>
      </c>
      <c r="C68" s="11"/>
      <c r="D68" s="7">
        <v>7630</v>
      </c>
      <c r="E68" s="2"/>
      <c r="F68" s="6">
        <f t="shared" si="36"/>
        <v>1.107563279640901E-2</v>
      </c>
      <c r="G68" s="2"/>
      <c r="H68" s="7">
        <v>7949</v>
      </c>
      <c r="I68" s="2"/>
      <c r="J68" s="6">
        <f t="shared" si="37"/>
        <v>1.0863299837270529E-2</v>
      </c>
      <c r="K68" s="2"/>
      <c r="L68" s="7">
        <f t="shared" si="38"/>
        <v>-319</v>
      </c>
      <c r="M68" s="2"/>
      <c r="N68" s="6">
        <f t="shared" si="39"/>
        <v>-4.013083406717826E-2</v>
      </c>
      <c r="O68" s="11"/>
      <c r="P68" s="7">
        <v>7630</v>
      </c>
      <c r="Q68" s="2"/>
      <c r="R68" s="6">
        <f t="shared" si="40"/>
        <v>1.107563279640901E-2</v>
      </c>
      <c r="S68" s="2"/>
      <c r="T68" s="7">
        <v>7949</v>
      </c>
      <c r="U68" s="2"/>
      <c r="V68" s="6">
        <f t="shared" si="41"/>
        <v>1.0863299837270529E-2</v>
      </c>
      <c r="W68" s="2"/>
      <c r="X68" s="7">
        <f t="shared" si="42"/>
        <v>-319</v>
      </c>
      <c r="Y68" s="2"/>
      <c r="Z68" s="6">
        <f t="shared" si="43"/>
        <v>-4.013083406717826E-2</v>
      </c>
    </row>
    <row r="69" spans="1:26" s="28" customFormat="1" outlineLevel="1" collapsed="1" x14ac:dyDescent="0.25">
      <c r="A69" s="27"/>
      <c r="B69" s="14" t="str">
        <f>CONCATENATE("     ","R/H Commissions                                   ")</f>
        <v xml:space="preserve">     R/H Commissions                                   </v>
      </c>
      <c r="C69" s="14"/>
      <c r="D69" s="1">
        <f>SUM(OSRRefD22_11x_0)</f>
        <v>39712.65</v>
      </c>
      <c r="E69" s="1"/>
      <c r="F69" s="5">
        <f t="shared" si="36"/>
        <v>5.7646491320093356E-2</v>
      </c>
      <c r="G69" s="1"/>
      <c r="H69" s="1">
        <f>SUM(OSRRefH22_11x_0)</f>
        <v>40465.859999999993</v>
      </c>
      <c r="I69" s="1"/>
      <c r="J69" s="5">
        <f t="shared" si="37"/>
        <v>5.5301644276388465E-2</v>
      </c>
      <c r="K69" s="1"/>
      <c r="L69" s="1">
        <f t="shared" si="38"/>
        <v>-753.20999999999185</v>
      </c>
      <c r="M69" s="1"/>
      <c r="N69" s="5">
        <f t="shared" si="39"/>
        <v>-1.8613468242117973E-2</v>
      </c>
      <c r="O69" s="14"/>
      <c r="P69" s="1">
        <f>SUM(OSRRefP22_11x_0)</f>
        <v>39712.65</v>
      </c>
      <c r="Q69" s="1"/>
      <c r="R69" s="5">
        <f t="shared" si="40"/>
        <v>5.7646491320093356E-2</v>
      </c>
      <c r="S69" s="1"/>
      <c r="T69" s="1">
        <f>SUM(OSRRefT22_11x_0)</f>
        <v>40465.859999999993</v>
      </c>
      <c r="U69" s="1"/>
      <c r="V69" s="5">
        <f t="shared" si="41"/>
        <v>5.5301644276388465E-2</v>
      </c>
      <c r="W69" s="1"/>
      <c r="X69" s="1">
        <f t="shared" si="42"/>
        <v>-753.20999999999185</v>
      </c>
      <c r="Y69" s="1"/>
      <c r="Z69" s="5">
        <f t="shared" si="43"/>
        <v>-1.8613468242117973E-2</v>
      </c>
    </row>
    <row r="70" spans="1:26" s="24" customFormat="1" hidden="1" outlineLevel="2" x14ac:dyDescent="0.25">
      <c r="A70" s="29"/>
      <c r="B70" s="11" t="str">
        <f>CONCATENATE("          ", "6387", " - ", "COMMISSION DUE HOUSING")</f>
        <v xml:space="preserve">          6387 - COMMISSION DUE HOUSING</v>
      </c>
      <c r="C70" s="11"/>
      <c r="D70" s="7">
        <v>39712.65</v>
      </c>
      <c r="E70" s="2"/>
      <c r="F70" s="6">
        <f t="shared" si="36"/>
        <v>5.7646491320093356E-2</v>
      </c>
      <c r="G70" s="2"/>
      <c r="H70" s="7">
        <v>40465.859999999993</v>
      </c>
      <c r="I70" s="2"/>
      <c r="J70" s="6">
        <f t="shared" si="37"/>
        <v>5.5301644276388465E-2</v>
      </c>
      <c r="K70" s="2"/>
      <c r="L70" s="7">
        <f t="shared" si="38"/>
        <v>-753.20999999999185</v>
      </c>
      <c r="M70" s="2"/>
      <c r="N70" s="6">
        <f t="shared" si="39"/>
        <v>-1.8613468242117973E-2</v>
      </c>
      <c r="O70" s="11"/>
      <c r="P70" s="7">
        <v>39712.65</v>
      </c>
      <c r="Q70" s="2"/>
      <c r="R70" s="6">
        <f t="shared" si="40"/>
        <v>5.7646491320093356E-2</v>
      </c>
      <c r="S70" s="2"/>
      <c r="T70" s="7">
        <v>40465.859999999993</v>
      </c>
      <c r="U70" s="2"/>
      <c r="V70" s="6">
        <f t="shared" si="41"/>
        <v>5.5301644276388465E-2</v>
      </c>
      <c r="W70" s="2"/>
      <c r="X70" s="7">
        <f t="shared" si="42"/>
        <v>-753.20999999999185</v>
      </c>
      <c r="Y70" s="2"/>
      <c r="Z70" s="6">
        <f t="shared" si="43"/>
        <v>-1.8613468242117973E-2</v>
      </c>
    </row>
    <row r="71" spans="1:26" s="28" customFormat="1" outlineLevel="1" collapsed="1" x14ac:dyDescent="0.25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1850</v>
      </c>
      <c r="E71" s="1"/>
      <c r="F71" s="5">
        <f t="shared" si="36"/>
        <v>2.6854417658396684E-3</v>
      </c>
      <c r="G71" s="1"/>
      <c r="H71" s="1">
        <f>SUM(OSRRefH22_12x_0)</f>
        <v>1850</v>
      </c>
      <c r="I71" s="1"/>
      <c r="J71" s="5">
        <f t="shared" si="37"/>
        <v>2.5282557175683078E-3</v>
      </c>
      <c r="K71" s="1"/>
      <c r="L71" s="1">
        <f t="shared" si="38"/>
        <v>0</v>
      </c>
      <c r="M71" s="1"/>
      <c r="N71" s="5">
        <f t="shared" si="39"/>
        <v>0</v>
      </c>
      <c r="O71" s="14"/>
      <c r="P71" s="1">
        <f>SUM(OSRRefP22_12x_0)</f>
        <v>1850</v>
      </c>
      <c r="Q71" s="1"/>
      <c r="R71" s="5">
        <f t="shared" si="40"/>
        <v>2.6854417658396684E-3</v>
      </c>
      <c r="S71" s="1"/>
      <c r="T71" s="1">
        <f>SUM(OSRRefT22_12x_0)</f>
        <v>1850</v>
      </c>
      <c r="U71" s="1"/>
      <c r="V71" s="5">
        <f t="shared" si="41"/>
        <v>2.5282557175683078E-3</v>
      </c>
      <c r="W71" s="1"/>
      <c r="X71" s="1">
        <f t="shared" si="42"/>
        <v>0</v>
      </c>
      <c r="Y71" s="1"/>
      <c r="Z71" s="5">
        <f t="shared" si="43"/>
        <v>0</v>
      </c>
    </row>
    <row r="72" spans="1:26" s="24" customFormat="1" hidden="1" outlineLevel="2" x14ac:dyDescent="0.25">
      <c r="A72" s="29"/>
      <c r="B72" s="11" t="str">
        <f>CONCATENATE("          ", "6273", " - ", "RENT")</f>
        <v xml:space="preserve">          6273 - RENT</v>
      </c>
      <c r="C72" s="11"/>
      <c r="D72" s="7">
        <v>1850</v>
      </c>
      <c r="E72" s="2"/>
      <c r="F72" s="6">
        <f t="shared" si="36"/>
        <v>2.6854417658396684E-3</v>
      </c>
      <c r="G72" s="2"/>
      <c r="H72" s="7">
        <v>1850</v>
      </c>
      <c r="I72" s="2"/>
      <c r="J72" s="6">
        <f t="shared" si="37"/>
        <v>2.5282557175683078E-3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>
        <v>1850</v>
      </c>
      <c r="Q72" s="2"/>
      <c r="R72" s="6">
        <f t="shared" si="40"/>
        <v>2.6854417658396684E-3</v>
      </c>
      <c r="S72" s="2"/>
      <c r="T72" s="7">
        <v>1850</v>
      </c>
      <c r="U72" s="2"/>
      <c r="V72" s="6">
        <f t="shared" si="41"/>
        <v>2.5282557175683078E-3</v>
      </c>
      <c r="W72" s="2"/>
      <c r="X72" s="7">
        <f t="shared" si="42"/>
        <v>0</v>
      </c>
      <c r="Y72" s="2"/>
      <c r="Z72" s="6">
        <f t="shared" si="43"/>
        <v>0</v>
      </c>
    </row>
    <row r="73" spans="1:26" s="28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25876.370000000003</v>
      </c>
      <c r="E73" s="1"/>
      <c r="F73" s="5">
        <f t="shared" si="36"/>
        <v>3.7561883646659799E-2</v>
      </c>
      <c r="G73" s="1"/>
      <c r="H73" s="1">
        <f>SUM(OSRRefH22_13x_0)</f>
        <v>25106.730000000003</v>
      </c>
      <c r="I73" s="1"/>
      <c r="J73" s="5">
        <f t="shared" si="37"/>
        <v>3.4311477660510147E-2</v>
      </c>
      <c r="K73" s="1"/>
      <c r="L73" s="1">
        <f t="shared" si="38"/>
        <v>769.63999999999942</v>
      </c>
      <c r="M73" s="1"/>
      <c r="N73" s="5">
        <f t="shared" si="39"/>
        <v>3.06547288316718E-2</v>
      </c>
      <c r="O73" s="14"/>
      <c r="P73" s="1">
        <f>SUM(OSRRefP22_13x_0)</f>
        <v>25876.370000000003</v>
      </c>
      <c r="Q73" s="1"/>
      <c r="R73" s="5">
        <f t="shared" si="40"/>
        <v>3.7561883646659799E-2</v>
      </c>
      <c r="S73" s="1"/>
      <c r="T73" s="1">
        <f>SUM(OSRRefT22_13x_0)</f>
        <v>25106.730000000003</v>
      </c>
      <c r="U73" s="1"/>
      <c r="V73" s="5">
        <f t="shared" si="41"/>
        <v>3.4311477660510147E-2</v>
      </c>
      <c r="W73" s="1"/>
      <c r="X73" s="1">
        <f t="shared" si="42"/>
        <v>769.63999999999942</v>
      </c>
      <c r="Y73" s="1"/>
      <c r="Z73" s="5">
        <f t="shared" si="43"/>
        <v>3.06547288316718E-2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6037.7</v>
      </c>
      <c r="E74" s="2"/>
      <c r="F74" s="6">
        <f t="shared" si="36"/>
        <v>8.764265810600089E-3</v>
      </c>
      <c r="G74" s="2"/>
      <c r="H74" s="7">
        <v>6853.74</v>
      </c>
      <c r="I74" s="2"/>
      <c r="J74" s="6">
        <f t="shared" si="37"/>
        <v>9.3664904549873584E-3</v>
      </c>
      <c r="K74" s="2"/>
      <c r="L74" s="7">
        <f t="shared" si="38"/>
        <v>-816.04</v>
      </c>
      <c r="M74" s="2"/>
      <c r="N74" s="6">
        <f t="shared" si="39"/>
        <v>-0.11906491929953572</v>
      </c>
      <c r="O74" s="11"/>
      <c r="P74" s="7">
        <v>6037.7</v>
      </c>
      <c r="Q74" s="2"/>
      <c r="R74" s="6">
        <f t="shared" si="40"/>
        <v>8.764265810600089E-3</v>
      </c>
      <c r="S74" s="2"/>
      <c r="T74" s="7">
        <v>6853.74</v>
      </c>
      <c r="U74" s="2"/>
      <c r="V74" s="6">
        <f t="shared" si="41"/>
        <v>9.3664904549873584E-3</v>
      </c>
      <c r="W74" s="2"/>
      <c r="X74" s="7">
        <f t="shared" si="42"/>
        <v>-816.04</v>
      </c>
      <c r="Y74" s="2"/>
      <c r="Z74" s="6">
        <f t="shared" si="43"/>
        <v>-0.11906491929953572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>
        <v>19838.670000000002</v>
      </c>
      <c r="E75" s="2"/>
      <c r="F75" s="6">
        <f t="shared" si="36"/>
        <v>2.8797617836059709E-2</v>
      </c>
      <c r="G75" s="2"/>
      <c r="H75" s="7">
        <v>18252.990000000002</v>
      </c>
      <c r="I75" s="2"/>
      <c r="J75" s="6">
        <f t="shared" si="37"/>
        <v>2.4944987205522785E-2</v>
      </c>
      <c r="K75" s="2"/>
      <c r="L75" s="7">
        <f t="shared" si="38"/>
        <v>1585.6800000000003</v>
      </c>
      <c r="M75" s="2"/>
      <c r="N75" s="6">
        <f t="shared" si="39"/>
        <v>8.6872342558671212E-2</v>
      </c>
      <c r="O75" s="11"/>
      <c r="P75" s="7">
        <v>19838.670000000002</v>
      </c>
      <c r="Q75" s="2"/>
      <c r="R75" s="6">
        <f t="shared" si="40"/>
        <v>2.8797617836059709E-2</v>
      </c>
      <c r="S75" s="2"/>
      <c r="T75" s="7">
        <v>18252.990000000002</v>
      </c>
      <c r="U75" s="2"/>
      <c r="V75" s="6">
        <f t="shared" si="41"/>
        <v>2.4944987205522785E-2</v>
      </c>
      <c r="W75" s="2"/>
      <c r="X75" s="7">
        <f t="shared" si="42"/>
        <v>1585.6800000000003</v>
      </c>
      <c r="Y75" s="2"/>
      <c r="Z75" s="6">
        <f t="shared" si="43"/>
        <v>8.6872342558671212E-2</v>
      </c>
    </row>
    <row r="76" spans="1:26" s="28" customFormat="1" outlineLevel="1" collapsed="1" x14ac:dyDescent="0.25">
      <c r="A76" s="27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1">
        <f>SUM(OSRRefD22_14x_0)</f>
        <v>16858.099999999999</v>
      </c>
      <c r="E76" s="1"/>
      <c r="F76" s="5">
        <f t="shared" ref="F76:F78" si="44">IF(D$12=0,0,D76/D$12)</f>
        <v>2.4471051801460385E-2</v>
      </c>
      <c r="G76" s="1"/>
      <c r="H76" s="1">
        <f>SUM(OSRRefH22_14x_0)</f>
        <v>14986.76</v>
      </c>
      <c r="I76" s="1"/>
      <c r="J76" s="5">
        <f t="shared" ref="J76:J78" si="45">IF(H$12=0,0,H76/H$12)</f>
        <v>2.0481276571796762E-2</v>
      </c>
      <c r="K76" s="1"/>
      <c r="L76" s="1">
        <f t="shared" ref="L76:L78" si="46">+D76-H76</f>
        <v>1871.3399999999983</v>
      </c>
      <c r="M76" s="1"/>
      <c r="N76" s="5">
        <f t="shared" ref="N76:N78" si="47">IF(H76=0,0,L76/H76)</f>
        <v>0.12486621524599034</v>
      </c>
      <c r="O76" s="14"/>
      <c r="P76" s="1">
        <f>SUM(OSRRefP22_14x_0)</f>
        <v>16858.099999999999</v>
      </c>
      <c r="Q76" s="1"/>
      <c r="R76" s="5">
        <f t="shared" ref="R76:R78" si="48">IF(P$12=0,0,P76/P$12)</f>
        <v>2.4471051801460385E-2</v>
      </c>
      <c r="S76" s="1"/>
      <c r="T76" s="1">
        <f>SUM(OSRRefT22_14x_0)</f>
        <v>14986.76</v>
      </c>
      <c r="U76" s="1"/>
      <c r="V76" s="5">
        <f t="shared" ref="V76:V78" si="49">IF(T$12=0,0,T76/T$12)</f>
        <v>2.0481276571796762E-2</v>
      </c>
      <c r="W76" s="1"/>
      <c r="X76" s="1">
        <f t="shared" ref="X76:X78" si="50">+P76-T76</f>
        <v>1871.3399999999983</v>
      </c>
      <c r="Y76" s="1"/>
      <c r="Z76" s="5">
        <f t="shared" ref="Z76:Z78" si="51">IF(T76=0,0,X76/T76)</f>
        <v>0.12486621524599034</v>
      </c>
    </row>
    <row r="77" spans="1:26" s="24" customFormat="1" hidden="1" outlineLevel="2" x14ac:dyDescent="0.25">
      <c r="A77" s="29"/>
      <c r="B77" s="11" t="str">
        <f>CONCATENATE("          ", "6254", " - ", "ROYALTY &amp; COMMISSIONS")</f>
        <v xml:space="preserve">          6254 - ROYALTY &amp; COMMISSIONS</v>
      </c>
      <c r="C77" s="11"/>
      <c r="D77" s="7">
        <v>13972.66</v>
      </c>
      <c r="E77" s="2"/>
      <c r="F77" s="6">
        <f t="shared" si="44"/>
        <v>2.0282575537230972E-2</v>
      </c>
      <c r="G77" s="2"/>
      <c r="H77" s="7">
        <v>11979</v>
      </c>
      <c r="I77" s="2"/>
      <c r="J77" s="6">
        <f t="shared" si="45"/>
        <v>1.6370797427432842E-2</v>
      </c>
      <c r="K77" s="2"/>
      <c r="L77" s="7">
        <f t="shared" si="46"/>
        <v>1993.6599999999999</v>
      </c>
      <c r="M77" s="2"/>
      <c r="N77" s="6">
        <f t="shared" si="47"/>
        <v>0.16642958510727104</v>
      </c>
      <c r="O77" s="11"/>
      <c r="P77" s="7">
        <v>13972.66</v>
      </c>
      <c r="Q77" s="2"/>
      <c r="R77" s="6">
        <f t="shared" si="48"/>
        <v>2.0282575537230972E-2</v>
      </c>
      <c r="S77" s="2"/>
      <c r="T77" s="7">
        <v>11979</v>
      </c>
      <c r="U77" s="2"/>
      <c r="V77" s="6">
        <f t="shared" si="49"/>
        <v>1.6370797427432842E-2</v>
      </c>
      <c r="W77" s="2"/>
      <c r="X77" s="7">
        <f t="shared" si="50"/>
        <v>1993.6599999999999</v>
      </c>
      <c r="Y77" s="2"/>
      <c r="Z77" s="6">
        <f t="shared" si="51"/>
        <v>0.16642958510727104</v>
      </c>
    </row>
    <row r="78" spans="1:26" s="24" customFormat="1" hidden="1" outlineLevel="2" x14ac:dyDescent="0.25">
      <c r="A78" s="29"/>
      <c r="B78" s="11" t="str">
        <f>CONCATENATE("          ", "6259", " - ", "ROYALTY &amp; COMMISSIONS")</f>
        <v xml:space="preserve">          6259 - ROYALTY &amp; COMMISSIONS</v>
      </c>
      <c r="C78" s="11"/>
      <c r="D78" s="7">
        <v>2885.44</v>
      </c>
      <c r="E78" s="2"/>
      <c r="F78" s="6">
        <f t="shared" si="44"/>
        <v>4.1884762642294127E-3</v>
      </c>
      <c r="G78" s="2"/>
      <c r="H78" s="7">
        <v>3007.76</v>
      </c>
      <c r="I78" s="2"/>
      <c r="J78" s="6">
        <f t="shared" si="45"/>
        <v>4.1104791443639212E-3</v>
      </c>
      <c r="K78" s="2"/>
      <c r="L78" s="7">
        <f t="shared" si="46"/>
        <v>-122.32000000000016</v>
      </c>
      <c r="M78" s="2"/>
      <c r="N78" s="6">
        <f t="shared" si="47"/>
        <v>-4.0668138415299142E-2</v>
      </c>
      <c r="O78" s="11"/>
      <c r="P78" s="7">
        <v>2885.44</v>
      </c>
      <c r="Q78" s="2"/>
      <c r="R78" s="6">
        <f t="shared" si="48"/>
        <v>4.1884762642294127E-3</v>
      </c>
      <c r="S78" s="2"/>
      <c r="T78" s="7">
        <v>3007.76</v>
      </c>
      <c r="U78" s="2"/>
      <c r="V78" s="6">
        <f t="shared" si="49"/>
        <v>4.1104791443639212E-3</v>
      </c>
      <c r="W78" s="2"/>
      <c r="X78" s="7">
        <f t="shared" si="50"/>
        <v>-122.32000000000016</v>
      </c>
      <c r="Y78" s="2"/>
      <c r="Z78" s="6">
        <f t="shared" si="51"/>
        <v>-4.0668138415299142E-2</v>
      </c>
    </row>
    <row r="79" spans="1:26" s="28" customFormat="1" outlineLevel="1" collapsed="1" x14ac:dyDescent="0.25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41236.94</v>
      </c>
      <c r="E79" s="1"/>
      <c r="F79" s="5">
        <f t="shared" ref="F79:F84" si="52">IF(D$12=0,0,D79/D$12)</f>
        <v>5.9859135660229441E-2</v>
      </c>
      <c r="G79" s="1"/>
      <c r="H79" s="1">
        <f>SUM(OSRRefH22_15x_0)</f>
        <v>32613.05</v>
      </c>
      <c r="I79" s="1"/>
      <c r="J79" s="5">
        <f t="shared" ref="J79:J84" si="53">IF(H$12=0,0,H79/H$12)</f>
        <v>4.4569800070184379E-2</v>
      </c>
      <c r="K79" s="1"/>
      <c r="L79" s="1">
        <f t="shared" ref="L79:L84" si="54">+D79-H79</f>
        <v>8623.8900000000031</v>
      </c>
      <c r="M79" s="1"/>
      <c r="N79" s="5">
        <f t="shared" ref="N79:N84" si="55">IF(H79=0,0,L79/H79)</f>
        <v>0.26443064969391095</v>
      </c>
      <c r="O79" s="14"/>
      <c r="P79" s="1">
        <f>SUM(OSRRefP22_15x_0)</f>
        <v>41236.94</v>
      </c>
      <c r="Q79" s="1"/>
      <c r="R79" s="5">
        <f t="shared" ref="R79:R84" si="56">IF(P$12=0,0,P79/P$12)</f>
        <v>5.9859135660229441E-2</v>
      </c>
      <c r="S79" s="1"/>
      <c r="T79" s="1">
        <f>SUM(OSRRefT22_15x_0)</f>
        <v>32613.05</v>
      </c>
      <c r="U79" s="1"/>
      <c r="V79" s="5">
        <f t="shared" ref="V79:V84" si="57">IF(T$12=0,0,T79/T$12)</f>
        <v>4.4569800070184379E-2</v>
      </c>
      <c r="W79" s="1"/>
      <c r="X79" s="1">
        <f t="shared" ref="X79:X84" si="58">+P79-T79</f>
        <v>8623.8900000000031</v>
      </c>
      <c r="Y79" s="1"/>
      <c r="Z79" s="5">
        <f t="shared" ref="Z79:Z84" si="59">IF(T79=0,0,X79/T79)</f>
        <v>0.26443064969391095</v>
      </c>
    </row>
    <row r="80" spans="1:26" s="24" customFormat="1" hidden="1" outlineLevel="2" x14ac:dyDescent="0.25">
      <c r="A80" s="29"/>
      <c r="B80" s="11" t="str">
        <f>CONCATENATE("          ", "6282", " - ", "JANITORIAL/EXTERMINATOR EXPENS")</f>
        <v xml:space="preserve">          6282 - JANITORIAL/EXTERMINATOR EXPENS</v>
      </c>
      <c r="C80" s="11"/>
      <c r="D80" s="7">
        <v>2785.87</v>
      </c>
      <c r="E80" s="2"/>
      <c r="F80" s="6">
        <f t="shared" si="52"/>
        <v>4.04394143362149E-3</v>
      </c>
      <c r="G80" s="2"/>
      <c r="H80" s="7">
        <v>2688.91</v>
      </c>
      <c r="I80" s="2"/>
      <c r="J80" s="6">
        <f t="shared" si="53"/>
        <v>3.6747308548792422E-3</v>
      </c>
      <c r="K80" s="2"/>
      <c r="L80" s="7">
        <f t="shared" si="54"/>
        <v>96.960000000000036</v>
      </c>
      <c r="M80" s="2"/>
      <c r="N80" s="6">
        <f t="shared" si="55"/>
        <v>3.6059221022644881E-2</v>
      </c>
      <c r="O80" s="11"/>
      <c r="P80" s="7">
        <v>2785.87</v>
      </c>
      <c r="Q80" s="2"/>
      <c r="R80" s="6">
        <f t="shared" si="56"/>
        <v>4.04394143362149E-3</v>
      </c>
      <c r="S80" s="2"/>
      <c r="T80" s="7">
        <v>2688.91</v>
      </c>
      <c r="U80" s="2"/>
      <c r="V80" s="6">
        <f t="shared" si="57"/>
        <v>3.6747308548792422E-3</v>
      </c>
      <c r="W80" s="2"/>
      <c r="X80" s="7">
        <f t="shared" si="58"/>
        <v>96.960000000000036</v>
      </c>
      <c r="Y80" s="2"/>
      <c r="Z80" s="6">
        <f t="shared" si="59"/>
        <v>3.6059221022644881E-2</v>
      </c>
    </row>
    <row r="81" spans="1:26" s="24" customFormat="1" hidden="1" outlineLevel="2" x14ac:dyDescent="0.25">
      <c r="A81" s="29"/>
      <c r="B81" s="11" t="str">
        <f>CONCATENATE("          ", "6283", " - ", "PLANT SERVICE")</f>
        <v xml:space="preserve">          6283 - PLANT SERVICE</v>
      </c>
      <c r="C81" s="11"/>
      <c r="D81" s="7">
        <v>199.78</v>
      </c>
      <c r="E81" s="2"/>
      <c r="F81" s="6">
        <f t="shared" si="52"/>
        <v>2.8999867890781026E-4</v>
      </c>
      <c r="G81" s="2"/>
      <c r="H81" s="7">
        <v>176</v>
      </c>
      <c r="I81" s="2"/>
      <c r="J81" s="6">
        <f t="shared" si="53"/>
        <v>2.40525949347039E-4</v>
      </c>
      <c r="K81" s="2"/>
      <c r="L81" s="7">
        <f t="shared" si="54"/>
        <v>23.78</v>
      </c>
      <c r="M81" s="2"/>
      <c r="N81" s="6">
        <f t="shared" si="55"/>
        <v>0.13511363636363638</v>
      </c>
      <c r="O81" s="11"/>
      <c r="P81" s="7">
        <v>199.78</v>
      </c>
      <c r="Q81" s="2"/>
      <c r="R81" s="6">
        <f t="shared" si="56"/>
        <v>2.8999867890781026E-4</v>
      </c>
      <c r="S81" s="2"/>
      <c r="T81" s="7">
        <v>176</v>
      </c>
      <c r="U81" s="2"/>
      <c r="V81" s="6">
        <f t="shared" si="57"/>
        <v>2.40525949347039E-4</v>
      </c>
      <c r="W81" s="2"/>
      <c r="X81" s="7">
        <f t="shared" si="58"/>
        <v>23.78</v>
      </c>
      <c r="Y81" s="2"/>
      <c r="Z81" s="6">
        <f t="shared" si="59"/>
        <v>0.13511363636363638</v>
      </c>
    </row>
    <row r="82" spans="1:26" s="24" customFormat="1" hidden="1" outlineLevel="2" x14ac:dyDescent="0.25">
      <c r="A82" s="29"/>
      <c r="B82" s="11" t="str">
        <f>CONCATENATE("          ", "6284", " - ", "TRASH REMOVAL EXPENSE")</f>
        <v xml:space="preserve">          6284 - TRASH REMOVAL EXPENSE</v>
      </c>
      <c r="C82" s="11"/>
      <c r="D82" s="7">
        <v>4199</v>
      </c>
      <c r="E82" s="2"/>
      <c r="F82" s="6">
        <f t="shared" si="52"/>
        <v>6.0952270133841991E-3</v>
      </c>
      <c r="G82" s="2"/>
      <c r="H82" s="7">
        <v>3193</v>
      </c>
      <c r="I82" s="2"/>
      <c r="J82" s="6">
        <f t="shared" si="53"/>
        <v>4.363632706051679E-3</v>
      </c>
      <c r="K82" s="2"/>
      <c r="L82" s="7">
        <f t="shared" si="54"/>
        <v>1006</v>
      </c>
      <c r="M82" s="2"/>
      <c r="N82" s="6">
        <f t="shared" si="55"/>
        <v>0.31506420294393989</v>
      </c>
      <c r="O82" s="11"/>
      <c r="P82" s="7">
        <v>4199</v>
      </c>
      <c r="Q82" s="2"/>
      <c r="R82" s="6">
        <f t="shared" si="56"/>
        <v>6.0952270133841991E-3</v>
      </c>
      <c r="S82" s="2"/>
      <c r="T82" s="7">
        <v>3193</v>
      </c>
      <c r="U82" s="2"/>
      <c r="V82" s="6">
        <f t="shared" si="57"/>
        <v>4.363632706051679E-3</v>
      </c>
      <c r="W82" s="2"/>
      <c r="X82" s="7">
        <f t="shared" si="58"/>
        <v>1006</v>
      </c>
      <c r="Y82" s="2"/>
      <c r="Z82" s="6">
        <f t="shared" si="59"/>
        <v>0.31506420294393989</v>
      </c>
    </row>
    <row r="83" spans="1:26" s="24" customFormat="1" hidden="1" outlineLevel="2" x14ac:dyDescent="0.25">
      <c r="A83" s="29"/>
      <c r="B83" s="11" t="str">
        <f>CONCATENATE("          ", "6285", " - ", "JANITORIAL SERVICES")</f>
        <v xml:space="preserve">          6285 - JANITORIAL SERVICES</v>
      </c>
      <c r="C83" s="11"/>
      <c r="D83" s="7">
        <v>25905.47</v>
      </c>
      <c r="E83" s="2"/>
      <c r="F83" s="6">
        <f t="shared" si="52"/>
        <v>3.7604124919841379E-2</v>
      </c>
      <c r="G83" s="2"/>
      <c r="H83" s="7">
        <v>19903.599999999999</v>
      </c>
      <c r="I83" s="2"/>
      <c r="J83" s="6">
        <f t="shared" si="53"/>
        <v>2.7200751621725711E-2</v>
      </c>
      <c r="K83" s="2"/>
      <c r="L83" s="7">
        <f t="shared" si="54"/>
        <v>6001.8700000000026</v>
      </c>
      <c r="M83" s="2"/>
      <c r="N83" s="6">
        <f t="shared" si="55"/>
        <v>0.3015469563295084</v>
      </c>
      <c r="O83" s="11"/>
      <c r="P83" s="7">
        <v>25905.47</v>
      </c>
      <c r="Q83" s="2"/>
      <c r="R83" s="6">
        <f t="shared" si="56"/>
        <v>3.7604124919841379E-2</v>
      </c>
      <c r="S83" s="2"/>
      <c r="T83" s="7">
        <v>19903.599999999999</v>
      </c>
      <c r="U83" s="2"/>
      <c r="V83" s="6">
        <f t="shared" si="57"/>
        <v>2.7200751621725711E-2</v>
      </c>
      <c r="W83" s="2"/>
      <c r="X83" s="7">
        <f t="shared" si="58"/>
        <v>6001.8700000000026</v>
      </c>
      <c r="Y83" s="2"/>
      <c r="Z83" s="6">
        <f t="shared" si="59"/>
        <v>0.3015469563295084</v>
      </c>
    </row>
    <row r="84" spans="1:26" s="24" customFormat="1" hidden="1" outlineLevel="2" x14ac:dyDescent="0.25">
      <c r="A84" s="29"/>
      <c r="B84" s="11" t="str">
        <f>CONCATENATE("          ", "6286", " - ", "LAUNDRY EXPENSE")</f>
        <v xml:space="preserve">          6286 - LAUNDRY EXPENSE</v>
      </c>
      <c r="C84" s="11"/>
      <c r="D84" s="7">
        <v>8146.82</v>
      </c>
      <c r="E84" s="2"/>
      <c r="F84" s="6">
        <f t="shared" si="52"/>
        <v>1.1825843614474555E-2</v>
      </c>
      <c r="G84" s="2"/>
      <c r="H84" s="7">
        <v>6651.54</v>
      </c>
      <c r="I84" s="2"/>
      <c r="J84" s="6">
        <f t="shared" si="53"/>
        <v>9.0901589381807042E-3</v>
      </c>
      <c r="K84" s="2"/>
      <c r="L84" s="7">
        <f t="shared" si="54"/>
        <v>1495.2799999999997</v>
      </c>
      <c r="M84" s="2"/>
      <c r="N84" s="6">
        <f t="shared" si="55"/>
        <v>0.22480207591024029</v>
      </c>
      <c r="O84" s="11"/>
      <c r="P84" s="7">
        <v>8146.82</v>
      </c>
      <c r="Q84" s="2"/>
      <c r="R84" s="6">
        <f t="shared" si="56"/>
        <v>1.1825843614474555E-2</v>
      </c>
      <c r="S84" s="2"/>
      <c r="T84" s="7">
        <v>6651.54</v>
      </c>
      <c r="U84" s="2"/>
      <c r="V84" s="6">
        <f t="shared" si="57"/>
        <v>9.0901589381807042E-3</v>
      </c>
      <c r="W84" s="2"/>
      <c r="X84" s="7">
        <f t="shared" si="58"/>
        <v>1495.2799999999997</v>
      </c>
      <c r="Y84" s="2"/>
      <c r="Z84" s="6">
        <f t="shared" si="59"/>
        <v>0.22480207591024029</v>
      </c>
    </row>
    <row r="85" spans="1:26" s="28" customFormat="1" outlineLevel="1" collapsed="1" x14ac:dyDescent="0.25">
      <c r="A85" s="27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SUM(OSRRefD22_16x_0)</f>
        <v>393.42</v>
      </c>
      <c r="E85" s="1"/>
      <c r="F85" s="5">
        <f t="shared" ref="F85:F95" si="60">IF(D$12=0,0,D85/D$12)</f>
        <v>5.7108459433332021E-4</v>
      </c>
      <c r="G85" s="1"/>
      <c r="H85" s="1">
        <f>SUM(OSRRefH22_16x_0)</f>
        <v>61.36</v>
      </c>
      <c r="I85" s="1"/>
      <c r="J85" s="5">
        <f t="shared" ref="J85:J95" si="61">IF(H$12=0,0,H85/H$12)</f>
        <v>8.3856092340535871E-5</v>
      </c>
      <c r="K85" s="1"/>
      <c r="L85" s="1">
        <f t="shared" ref="L85:L95" si="62">+D85-H85</f>
        <v>332.06</v>
      </c>
      <c r="M85" s="1"/>
      <c r="N85" s="5">
        <f t="shared" ref="N85:N95" si="63">IF(H85=0,0,L85/H85)</f>
        <v>5.4116688396349417</v>
      </c>
      <c r="O85" s="14"/>
      <c r="P85" s="1">
        <f>SUM(OSRRefP22_16x_0)</f>
        <v>393.42</v>
      </c>
      <c r="Q85" s="1"/>
      <c r="R85" s="5">
        <f t="shared" ref="R85:R95" si="64">IF(P$12=0,0,P85/P$12)</f>
        <v>5.7108459433332021E-4</v>
      </c>
      <c r="S85" s="1"/>
      <c r="T85" s="1">
        <f>SUM(OSRRefT22_16x_0)</f>
        <v>61.36</v>
      </c>
      <c r="U85" s="1"/>
      <c r="V85" s="5">
        <f t="shared" ref="V85:V95" si="65">IF(T$12=0,0,T85/T$12)</f>
        <v>8.3856092340535871E-5</v>
      </c>
      <c r="W85" s="1"/>
      <c r="X85" s="1">
        <f t="shared" ref="X85:X95" si="66">+P85-T85</f>
        <v>332.06</v>
      </c>
      <c r="Y85" s="1"/>
      <c r="Z85" s="5">
        <f t="shared" ref="Z85:Z95" si="67">IF(T85=0,0,X85/T85)</f>
        <v>5.4116688396349417</v>
      </c>
    </row>
    <row r="86" spans="1:26" s="24" customFormat="1" hidden="1" outlineLevel="2" x14ac:dyDescent="0.25">
      <c r="A86" s="29"/>
      <c r="B86" s="11" t="str">
        <f>CONCATENATE("          ", "6275", " - ", "SUBSCRIPTIONS")</f>
        <v xml:space="preserve">          6275 - SUBSCRIPTIONS</v>
      </c>
      <c r="C86" s="11"/>
      <c r="D86" s="7">
        <v>393.42</v>
      </c>
      <c r="E86" s="2"/>
      <c r="F86" s="6">
        <f t="shared" si="60"/>
        <v>5.7108459433332021E-4</v>
      </c>
      <c r="G86" s="2"/>
      <c r="H86" s="7">
        <v>61.36</v>
      </c>
      <c r="I86" s="2"/>
      <c r="J86" s="6">
        <f t="shared" si="61"/>
        <v>8.3856092340535871E-5</v>
      </c>
      <c r="K86" s="2"/>
      <c r="L86" s="7">
        <f t="shared" si="62"/>
        <v>332.06</v>
      </c>
      <c r="M86" s="2"/>
      <c r="N86" s="6">
        <f t="shared" si="63"/>
        <v>5.4116688396349417</v>
      </c>
      <c r="O86" s="11"/>
      <c r="P86" s="7">
        <v>393.42</v>
      </c>
      <c r="Q86" s="2"/>
      <c r="R86" s="6">
        <f t="shared" si="64"/>
        <v>5.7108459433332021E-4</v>
      </c>
      <c r="S86" s="2"/>
      <c r="T86" s="7">
        <v>61.36</v>
      </c>
      <c r="U86" s="2"/>
      <c r="V86" s="6">
        <f t="shared" si="65"/>
        <v>8.3856092340535871E-5</v>
      </c>
      <c r="W86" s="2"/>
      <c r="X86" s="7">
        <f t="shared" si="66"/>
        <v>332.06</v>
      </c>
      <c r="Y86" s="2"/>
      <c r="Z86" s="6">
        <f t="shared" si="67"/>
        <v>5.4116688396349417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SUM(OSRRefD22_17x_0)</f>
        <v>44923.08</v>
      </c>
      <c r="E87" s="1"/>
      <c r="F87" s="5">
        <f t="shared" si="60"/>
        <v>6.5209900152517139E-2</v>
      </c>
      <c r="G87" s="1"/>
      <c r="H87" s="1">
        <f>SUM(OSRRefH22_17x_0)</f>
        <v>42940.240000000005</v>
      </c>
      <c r="I87" s="1"/>
      <c r="J87" s="5">
        <f t="shared" si="61"/>
        <v>5.8683193131759653E-2</v>
      </c>
      <c r="K87" s="1"/>
      <c r="L87" s="1">
        <f t="shared" si="62"/>
        <v>1982.8399999999965</v>
      </c>
      <c r="M87" s="1"/>
      <c r="N87" s="5">
        <f t="shared" si="63"/>
        <v>4.617673305971267E-2</v>
      </c>
      <c r="O87" s="14"/>
      <c r="P87" s="1">
        <f>SUM(OSRRefP22_17x_0)</f>
        <v>44923.08</v>
      </c>
      <c r="Q87" s="1"/>
      <c r="R87" s="5">
        <f t="shared" si="64"/>
        <v>6.5209900152517139E-2</v>
      </c>
      <c r="S87" s="1"/>
      <c r="T87" s="1">
        <f>SUM(OSRRefT22_17x_0)</f>
        <v>42940.240000000005</v>
      </c>
      <c r="U87" s="1"/>
      <c r="V87" s="5">
        <f t="shared" si="65"/>
        <v>5.8683193131759653E-2</v>
      </c>
      <c r="W87" s="1"/>
      <c r="X87" s="1">
        <f t="shared" si="66"/>
        <v>1982.8399999999965</v>
      </c>
      <c r="Y87" s="1"/>
      <c r="Z87" s="5">
        <f t="shared" si="67"/>
        <v>4.617673305971267E-2</v>
      </c>
    </row>
    <row r="88" spans="1:26" s="24" customFormat="1" hidden="1" outlineLevel="2" x14ac:dyDescent="0.25">
      <c r="A88" s="29"/>
      <c r="B88" s="11" t="str">
        <f>CONCATENATE("          ", "6234", " - ", "EXPENDABLE SUPPLIES &amp; EQUIPMEN")</f>
        <v xml:space="preserve">          6234 - EXPENDABLE SUPPLIES &amp; EQUIPMEN</v>
      </c>
      <c r="C88" s="11"/>
      <c r="D88" s="7"/>
      <c r="E88" s="2"/>
      <c r="F88" s="6">
        <f t="shared" si="60"/>
        <v>0</v>
      </c>
      <c r="G88" s="2"/>
      <c r="H88" s="7">
        <v>2432.98</v>
      </c>
      <c r="I88" s="2"/>
      <c r="J88" s="6">
        <f t="shared" si="61"/>
        <v>3.3249705922861303E-3</v>
      </c>
      <c r="K88" s="2"/>
      <c r="L88" s="7">
        <f t="shared" si="62"/>
        <v>-2432.98</v>
      </c>
      <c r="M88" s="2"/>
      <c r="N88" s="6">
        <f t="shared" si="63"/>
        <v>-1</v>
      </c>
      <c r="O88" s="11"/>
      <c r="P88" s="7"/>
      <c r="Q88" s="2"/>
      <c r="R88" s="6">
        <f t="shared" si="64"/>
        <v>0</v>
      </c>
      <c r="S88" s="2"/>
      <c r="T88" s="7">
        <v>2432.98</v>
      </c>
      <c r="U88" s="2"/>
      <c r="V88" s="6">
        <f t="shared" si="65"/>
        <v>3.3249705922861303E-3</v>
      </c>
      <c r="W88" s="2"/>
      <c r="X88" s="7">
        <f t="shared" si="66"/>
        <v>-2432.98</v>
      </c>
      <c r="Y88" s="2"/>
      <c r="Z88" s="6">
        <f t="shared" si="67"/>
        <v>-1</v>
      </c>
    </row>
    <row r="89" spans="1:26" s="24" customFormat="1" hidden="1" outlineLevel="2" x14ac:dyDescent="0.25">
      <c r="A89" s="29"/>
      <c r="B89" s="11" t="str">
        <f>CONCATENATE("          ", "6237", " - ", "JANITORIAL SUPPLIES")</f>
        <v xml:space="preserve">          6237 - JANITORIAL SUPPLIES</v>
      </c>
      <c r="C89" s="11"/>
      <c r="D89" s="7">
        <v>11125.77</v>
      </c>
      <c r="E89" s="2"/>
      <c r="F89" s="6">
        <f t="shared" si="60"/>
        <v>1.6150058073041085E-2</v>
      </c>
      <c r="G89" s="2"/>
      <c r="H89" s="7">
        <v>10929.14</v>
      </c>
      <c r="I89" s="2"/>
      <c r="J89" s="6">
        <f t="shared" si="61"/>
        <v>1.493603280708351E-2</v>
      </c>
      <c r="K89" s="2"/>
      <c r="L89" s="7">
        <f t="shared" si="62"/>
        <v>196.63000000000102</v>
      </c>
      <c r="M89" s="2"/>
      <c r="N89" s="6">
        <f t="shared" si="63"/>
        <v>1.7991351561056135E-2</v>
      </c>
      <c r="O89" s="11"/>
      <c r="P89" s="7">
        <v>11125.77</v>
      </c>
      <c r="Q89" s="2"/>
      <c r="R89" s="6">
        <f t="shared" si="64"/>
        <v>1.6150058073041085E-2</v>
      </c>
      <c r="S89" s="2"/>
      <c r="T89" s="7">
        <v>10929.14</v>
      </c>
      <c r="U89" s="2"/>
      <c r="V89" s="6">
        <f t="shared" si="65"/>
        <v>1.493603280708351E-2</v>
      </c>
      <c r="W89" s="2"/>
      <c r="X89" s="7">
        <f t="shared" si="66"/>
        <v>196.63000000000102</v>
      </c>
      <c r="Y89" s="2"/>
      <c r="Z89" s="6">
        <f t="shared" si="67"/>
        <v>1.7991351561056135E-2</v>
      </c>
    </row>
    <row r="90" spans="1:26" s="24" customFormat="1" hidden="1" outlineLevel="2" x14ac:dyDescent="0.25">
      <c r="A90" s="29"/>
      <c r="B90" s="11" t="str">
        <f>CONCATENATE("          ", "6239", " - ", "KITCHEN SUPPLIES")</f>
        <v xml:space="preserve">          6239 - KITCHEN SUPPLIES</v>
      </c>
      <c r="C90" s="11"/>
      <c r="D90" s="7">
        <v>7252.5</v>
      </c>
      <c r="E90" s="2"/>
      <c r="F90" s="6">
        <f t="shared" si="60"/>
        <v>1.0527657517163348E-2</v>
      </c>
      <c r="G90" s="2"/>
      <c r="H90" s="7">
        <v>2335.9499999999998</v>
      </c>
      <c r="I90" s="2"/>
      <c r="J90" s="6">
        <f t="shared" si="61"/>
        <v>3.1923669964614527E-3</v>
      </c>
      <c r="K90" s="2"/>
      <c r="L90" s="7">
        <f t="shared" si="62"/>
        <v>4916.55</v>
      </c>
      <c r="M90" s="2"/>
      <c r="N90" s="6">
        <f t="shared" si="63"/>
        <v>2.1047325499261547</v>
      </c>
      <c r="O90" s="11"/>
      <c r="P90" s="7">
        <v>7252.5</v>
      </c>
      <c r="Q90" s="2"/>
      <c r="R90" s="6">
        <f t="shared" si="64"/>
        <v>1.0527657517163348E-2</v>
      </c>
      <c r="S90" s="2"/>
      <c r="T90" s="7">
        <v>2335.9499999999998</v>
      </c>
      <c r="U90" s="2"/>
      <c r="V90" s="6">
        <f t="shared" si="65"/>
        <v>3.1923669964614527E-3</v>
      </c>
      <c r="W90" s="2"/>
      <c r="X90" s="7">
        <f t="shared" si="66"/>
        <v>4916.55</v>
      </c>
      <c r="Y90" s="2"/>
      <c r="Z90" s="6">
        <f t="shared" si="67"/>
        <v>2.1047325499261547</v>
      </c>
    </row>
    <row r="91" spans="1:26" s="24" customFormat="1" hidden="1" outlineLevel="2" x14ac:dyDescent="0.25">
      <c r="A91" s="29"/>
      <c r="B91" s="11" t="str">
        <f>CONCATENATE("          ", "6241", " - ", "OFFICE EXPENSE")</f>
        <v xml:space="preserve">          6241 - OFFICE EXPENSE</v>
      </c>
      <c r="C91" s="11"/>
      <c r="D91" s="7">
        <v>23594.880000000001</v>
      </c>
      <c r="E91" s="2"/>
      <c r="F91" s="6">
        <f t="shared" si="60"/>
        <v>3.4250095249716256E-2</v>
      </c>
      <c r="G91" s="2"/>
      <c r="H91" s="7">
        <v>7476.9</v>
      </c>
      <c r="I91" s="2"/>
      <c r="J91" s="6">
        <f t="shared" si="61"/>
        <v>1.021811631064134E-2</v>
      </c>
      <c r="K91" s="2"/>
      <c r="L91" s="7">
        <f t="shared" si="62"/>
        <v>16117.980000000001</v>
      </c>
      <c r="M91" s="2"/>
      <c r="N91" s="6">
        <f t="shared" si="63"/>
        <v>2.1557035669863183</v>
      </c>
      <c r="O91" s="11"/>
      <c r="P91" s="7">
        <v>23594.880000000001</v>
      </c>
      <c r="Q91" s="2"/>
      <c r="R91" s="6">
        <f t="shared" si="64"/>
        <v>3.4250095249716256E-2</v>
      </c>
      <c r="S91" s="2"/>
      <c r="T91" s="7">
        <v>7476.9</v>
      </c>
      <c r="U91" s="2"/>
      <c r="V91" s="6">
        <f t="shared" si="65"/>
        <v>1.021811631064134E-2</v>
      </c>
      <c r="W91" s="2"/>
      <c r="X91" s="7">
        <f t="shared" si="66"/>
        <v>16117.980000000001</v>
      </c>
      <c r="Y91" s="2"/>
      <c r="Z91" s="6">
        <f t="shared" si="67"/>
        <v>2.1557035669863183</v>
      </c>
    </row>
    <row r="92" spans="1:26" s="24" customFormat="1" hidden="1" outlineLevel="2" x14ac:dyDescent="0.25">
      <c r="A92" s="29"/>
      <c r="B92" s="11" t="str">
        <f>CONCATENATE("          ", "6243", " - ", "PAPER SUPPLIES")</f>
        <v xml:space="preserve">          6243 - PAPER SUPPLIES</v>
      </c>
      <c r="C92" s="11"/>
      <c r="D92" s="7">
        <v>7435.44</v>
      </c>
      <c r="E92" s="2"/>
      <c r="F92" s="6">
        <f t="shared" si="60"/>
        <v>1.0793211418051299E-2</v>
      </c>
      <c r="G92" s="2"/>
      <c r="H92" s="7">
        <v>6713.22</v>
      </c>
      <c r="I92" s="2"/>
      <c r="J92" s="6">
        <f t="shared" si="61"/>
        <v>9.1744523504291436E-3</v>
      </c>
      <c r="K92" s="2"/>
      <c r="L92" s="7">
        <f t="shared" si="62"/>
        <v>722.21999999999935</v>
      </c>
      <c r="M92" s="2"/>
      <c r="N92" s="6">
        <f t="shared" si="63"/>
        <v>0.10758175659370604</v>
      </c>
      <c r="O92" s="11"/>
      <c r="P92" s="7">
        <v>7435.44</v>
      </c>
      <c r="Q92" s="2"/>
      <c r="R92" s="6">
        <f t="shared" si="64"/>
        <v>1.0793211418051299E-2</v>
      </c>
      <c r="S92" s="2"/>
      <c r="T92" s="7">
        <v>6713.22</v>
      </c>
      <c r="U92" s="2"/>
      <c r="V92" s="6">
        <f t="shared" si="65"/>
        <v>9.1744523504291436E-3</v>
      </c>
      <c r="W92" s="2"/>
      <c r="X92" s="7">
        <f t="shared" si="66"/>
        <v>722.21999999999935</v>
      </c>
      <c r="Y92" s="2"/>
      <c r="Z92" s="6">
        <f t="shared" si="67"/>
        <v>0.10758175659370604</v>
      </c>
    </row>
    <row r="93" spans="1:26" s="24" customFormat="1" hidden="1" outlineLevel="2" x14ac:dyDescent="0.25">
      <c r="A93" s="29"/>
      <c r="B93" s="11" t="str">
        <f>CONCATENATE("          ", "6245", " - ", "PRINTING")</f>
        <v xml:space="preserve">          6245 - PRINTING</v>
      </c>
      <c r="C93" s="11"/>
      <c r="D93" s="7">
        <v>137.76</v>
      </c>
      <c r="E93" s="2"/>
      <c r="F93" s="6">
        <f t="shared" si="60"/>
        <v>1.9997105819571497E-4</v>
      </c>
      <c r="G93" s="2"/>
      <c r="H93" s="7">
        <v>306.79000000000002</v>
      </c>
      <c r="I93" s="2"/>
      <c r="J93" s="6">
        <f t="shared" si="61"/>
        <v>4.1926679545555739E-4</v>
      </c>
      <c r="K93" s="2"/>
      <c r="L93" s="7">
        <f t="shared" si="62"/>
        <v>-169.03000000000003</v>
      </c>
      <c r="M93" s="2"/>
      <c r="N93" s="6">
        <f t="shared" si="63"/>
        <v>-0.55096319958277651</v>
      </c>
      <c r="O93" s="11"/>
      <c r="P93" s="7">
        <v>137.76</v>
      </c>
      <c r="Q93" s="2"/>
      <c r="R93" s="6">
        <f t="shared" si="64"/>
        <v>1.9997105819571497E-4</v>
      </c>
      <c r="S93" s="2"/>
      <c r="T93" s="7">
        <v>306.79000000000002</v>
      </c>
      <c r="U93" s="2"/>
      <c r="V93" s="6">
        <f t="shared" si="65"/>
        <v>4.1926679545555739E-4</v>
      </c>
      <c r="W93" s="2"/>
      <c r="X93" s="7">
        <f t="shared" si="66"/>
        <v>-169.03000000000003</v>
      </c>
      <c r="Y93" s="2"/>
      <c r="Z93" s="6">
        <f t="shared" si="67"/>
        <v>-0.55096319958277651</v>
      </c>
    </row>
    <row r="94" spans="1:26" s="24" customFormat="1" hidden="1" outlineLevel="2" x14ac:dyDescent="0.25">
      <c r="A94" s="29"/>
      <c r="B94" s="11" t="str">
        <f>CONCATENATE("          ", "6247", " - ", "STORE SUPPLIES")</f>
        <v xml:space="preserve">          6247 - STORE SUPPLIES</v>
      </c>
      <c r="C94" s="11"/>
      <c r="D94" s="7">
        <v>366.64</v>
      </c>
      <c r="E94" s="2"/>
      <c r="F94" s="6">
        <f t="shared" si="60"/>
        <v>5.3221101028511129E-4</v>
      </c>
      <c r="G94" s="2"/>
      <c r="H94" s="7">
        <v>297.17</v>
      </c>
      <c r="I94" s="2"/>
      <c r="J94" s="6">
        <f t="shared" si="61"/>
        <v>4.0611986572420216E-4</v>
      </c>
      <c r="K94" s="2"/>
      <c r="L94" s="7">
        <f t="shared" si="62"/>
        <v>69.46999999999997</v>
      </c>
      <c r="M94" s="2"/>
      <c r="N94" s="6">
        <f t="shared" si="63"/>
        <v>0.23377191506545064</v>
      </c>
      <c r="O94" s="11"/>
      <c r="P94" s="7">
        <v>366.64</v>
      </c>
      <c r="Q94" s="2"/>
      <c r="R94" s="6">
        <f t="shared" si="64"/>
        <v>5.3221101028511129E-4</v>
      </c>
      <c r="S94" s="2"/>
      <c r="T94" s="7">
        <v>297.17</v>
      </c>
      <c r="U94" s="2"/>
      <c r="V94" s="6">
        <f t="shared" si="65"/>
        <v>4.0611986572420216E-4</v>
      </c>
      <c r="W94" s="2"/>
      <c r="X94" s="7">
        <f t="shared" si="66"/>
        <v>69.46999999999997</v>
      </c>
      <c r="Y94" s="2"/>
      <c r="Z94" s="6">
        <f t="shared" si="67"/>
        <v>0.23377191506545064</v>
      </c>
    </row>
    <row r="95" spans="1:26" s="24" customFormat="1" hidden="1" outlineLevel="2" x14ac:dyDescent="0.25">
      <c r="A95" s="29"/>
      <c r="B95" s="11" t="str">
        <f>CONCATENATE("          ", "6248", " - ", "UNIFORMS")</f>
        <v xml:space="preserve">          6248 - UNIFORMS</v>
      </c>
      <c r="C95" s="11"/>
      <c r="D95" s="7">
        <v>-4989.91</v>
      </c>
      <c r="E95" s="2"/>
      <c r="F95" s="6">
        <f t="shared" si="60"/>
        <v>-7.2433041739356861E-3</v>
      </c>
      <c r="G95" s="2"/>
      <c r="H95" s="7">
        <v>12448.09</v>
      </c>
      <c r="I95" s="2"/>
      <c r="J95" s="6">
        <f t="shared" si="61"/>
        <v>1.701186741367831E-2</v>
      </c>
      <c r="K95" s="2"/>
      <c r="L95" s="7">
        <f t="shared" si="62"/>
        <v>-17438</v>
      </c>
      <c r="M95" s="2"/>
      <c r="N95" s="6">
        <f t="shared" si="63"/>
        <v>-1.4008574809468761</v>
      </c>
      <c r="O95" s="11"/>
      <c r="P95" s="7">
        <v>-4989.91</v>
      </c>
      <c r="Q95" s="2"/>
      <c r="R95" s="6">
        <f t="shared" si="64"/>
        <v>-7.2433041739356861E-3</v>
      </c>
      <c r="S95" s="2"/>
      <c r="T95" s="7">
        <v>12448.09</v>
      </c>
      <c r="U95" s="2"/>
      <c r="V95" s="6">
        <f t="shared" si="65"/>
        <v>1.701186741367831E-2</v>
      </c>
      <c r="W95" s="2"/>
      <c r="X95" s="7">
        <f t="shared" si="66"/>
        <v>-17438</v>
      </c>
      <c r="Y95" s="2"/>
      <c r="Z95" s="6">
        <f t="shared" si="67"/>
        <v>-1.4008574809468761</v>
      </c>
    </row>
    <row r="96" spans="1:26" s="28" customFormat="1" outlineLevel="1" collapsed="1" x14ac:dyDescent="0.25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SUM(OSRRefD22_18x_0)</f>
        <v>513.99</v>
      </c>
      <c r="E96" s="1"/>
      <c r="F96" s="5">
        <f t="shared" ref="F96:F103" si="68">IF(D$12=0,0,D96/D$12)</f>
        <v>7.4610281795888173E-4</v>
      </c>
      <c r="G96" s="1"/>
      <c r="H96" s="1">
        <f>SUM(OSRRefH22_18x_0)</f>
        <v>1651.43</v>
      </c>
      <c r="I96" s="1"/>
      <c r="J96" s="5">
        <f t="shared" ref="J96:J103" si="69">IF(H$12=0,0,H96/H$12)</f>
        <v>2.2568850484669355E-3</v>
      </c>
      <c r="K96" s="1"/>
      <c r="L96" s="1">
        <f t="shared" ref="L96:L103" si="70">+D96-H96</f>
        <v>-1137.44</v>
      </c>
      <c r="M96" s="1"/>
      <c r="N96" s="5">
        <f t="shared" ref="N96:N103" si="71">IF(H96=0,0,L96/H96)</f>
        <v>-0.68876064986102958</v>
      </c>
      <c r="O96" s="14"/>
      <c r="P96" s="1">
        <f>SUM(OSRRefP22_18x_0)</f>
        <v>513.99</v>
      </c>
      <c r="Q96" s="1"/>
      <c r="R96" s="5">
        <f t="shared" ref="R96:R103" si="72">IF(P$12=0,0,P96/P$12)</f>
        <v>7.4610281795888173E-4</v>
      </c>
      <c r="S96" s="1"/>
      <c r="T96" s="1">
        <f>SUM(OSRRefT22_18x_0)</f>
        <v>1651.43</v>
      </c>
      <c r="U96" s="1"/>
      <c r="V96" s="5">
        <f t="shared" ref="V96:V103" si="73">IF(T$12=0,0,T96/T$12)</f>
        <v>2.2568850484669355E-3</v>
      </c>
      <c r="W96" s="1"/>
      <c r="X96" s="1">
        <f t="shared" ref="X96:X103" si="74">+P96-T96</f>
        <v>-1137.44</v>
      </c>
      <c r="Y96" s="1"/>
      <c r="Z96" s="5">
        <f t="shared" ref="Z96:Z103" si="75">IF(T96=0,0,X96/T96)</f>
        <v>-0.68876064986102958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513.99</v>
      </c>
      <c r="E97" s="2"/>
      <c r="F97" s="6">
        <f t="shared" si="68"/>
        <v>7.4610281795888173E-4</v>
      </c>
      <c r="G97" s="2"/>
      <c r="H97" s="7">
        <v>1651.43</v>
      </c>
      <c r="I97" s="2"/>
      <c r="J97" s="6">
        <f t="shared" si="69"/>
        <v>2.2568850484669355E-3</v>
      </c>
      <c r="K97" s="2"/>
      <c r="L97" s="7">
        <f t="shared" si="70"/>
        <v>-1137.44</v>
      </c>
      <c r="M97" s="2"/>
      <c r="N97" s="6">
        <f t="shared" si="71"/>
        <v>-0.68876064986102958</v>
      </c>
      <c r="O97" s="11"/>
      <c r="P97" s="7">
        <v>513.99</v>
      </c>
      <c r="Q97" s="2"/>
      <c r="R97" s="6">
        <f t="shared" si="72"/>
        <v>7.4610281795888173E-4</v>
      </c>
      <c r="S97" s="2"/>
      <c r="T97" s="7">
        <v>1651.43</v>
      </c>
      <c r="U97" s="2"/>
      <c r="V97" s="6">
        <f t="shared" si="73"/>
        <v>2.2568850484669355E-3</v>
      </c>
      <c r="W97" s="2"/>
      <c r="X97" s="7">
        <f t="shared" si="74"/>
        <v>-1137.44</v>
      </c>
      <c r="Y97" s="2"/>
      <c r="Z97" s="6">
        <f t="shared" si="75"/>
        <v>-0.68876064986102958</v>
      </c>
    </row>
    <row r="98" spans="1:26" s="28" customFormat="1" outlineLevel="1" collapsed="1" x14ac:dyDescent="0.25">
      <c r="A98" s="27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SUM(OSRRefD22_19x_0)</f>
        <v>4075.22</v>
      </c>
      <c r="E98" s="1"/>
      <c r="F98" s="5">
        <f t="shared" si="68"/>
        <v>5.9155491853973693E-3</v>
      </c>
      <c r="G98" s="1"/>
      <c r="H98" s="1">
        <f>SUM(OSRRefH22_19x_0)</f>
        <v>4903.2299999999996</v>
      </c>
      <c r="I98" s="1"/>
      <c r="J98" s="5">
        <f t="shared" si="69"/>
        <v>6.7008752875959204E-3</v>
      </c>
      <c r="K98" s="1"/>
      <c r="L98" s="1">
        <f t="shared" si="70"/>
        <v>-828.00999999999976</v>
      </c>
      <c r="M98" s="1"/>
      <c r="N98" s="5">
        <f t="shared" si="71"/>
        <v>-0.16887031609775593</v>
      </c>
      <c r="O98" s="14"/>
      <c r="P98" s="1">
        <f>SUM(OSRRefP22_19x_0)</f>
        <v>4075.22</v>
      </c>
      <c r="Q98" s="1"/>
      <c r="R98" s="5">
        <f t="shared" si="72"/>
        <v>5.9155491853973693E-3</v>
      </c>
      <c r="S98" s="1"/>
      <c r="T98" s="1">
        <f>SUM(OSRRefT22_19x_0)</f>
        <v>4903.2299999999996</v>
      </c>
      <c r="U98" s="1"/>
      <c r="V98" s="5">
        <f t="shared" si="73"/>
        <v>6.7008752875959204E-3</v>
      </c>
      <c r="W98" s="1"/>
      <c r="X98" s="1">
        <f t="shared" si="74"/>
        <v>-828.00999999999976</v>
      </c>
      <c r="Y98" s="1"/>
      <c r="Z98" s="5">
        <f t="shared" si="75"/>
        <v>-0.16887031609775593</v>
      </c>
    </row>
    <row r="99" spans="1:26" s="24" customFormat="1" hidden="1" outlineLevel="2" x14ac:dyDescent="0.25">
      <c r="A99" s="29"/>
      <c r="B99" s="11" t="str">
        <f>CONCATENATE("          ", "6376", " - ", "TRAINING")</f>
        <v xml:space="preserve">          6376 - TRAINING</v>
      </c>
      <c r="C99" s="11"/>
      <c r="D99" s="7">
        <v>4075.22</v>
      </c>
      <c r="E99" s="2"/>
      <c r="F99" s="6">
        <f t="shared" si="68"/>
        <v>5.9155491853973693E-3</v>
      </c>
      <c r="G99" s="2"/>
      <c r="H99" s="7">
        <v>4903.2299999999996</v>
      </c>
      <c r="I99" s="2"/>
      <c r="J99" s="6">
        <f t="shared" si="69"/>
        <v>6.7008752875959204E-3</v>
      </c>
      <c r="K99" s="2"/>
      <c r="L99" s="7">
        <f t="shared" si="70"/>
        <v>-828.00999999999976</v>
      </c>
      <c r="M99" s="2"/>
      <c r="N99" s="6">
        <f t="shared" si="71"/>
        <v>-0.16887031609775593</v>
      </c>
      <c r="O99" s="11"/>
      <c r="P99" s="7">
        <v>4075.22</v>
      </c>
      <c r="Q99" s="2"/>
      <c r="R99" s="6">
        <f t="shared" si="72"/>
        <v>5.9155491853973693E-3</v>
      </c>
      <c r="S99" s="2"/>
      <c r="T99" s="7">
        <v>4903.2299999999996</v>
      </c>
      <c r="U99" s="2"/>
      <c r="V99" s="6">
        <f t="shared" si="73"/>
        <v>6.7008752875959204E-3</v>
      </c>
      <c r="W99" s="2"/>
      <c r="X99" s="7">
        <f t="shared" si="74"/>
        <v>-828.00999999999976</v>
      </c>
      <c r="Y99" s="2"/>
      <c r="Z99" s="6">
        <f t="shared" si="75"/>
        <v>-0.16887031609775593</v>
      </c>
    </row>
    <row r="100" spans="1:26" s="28" customFormat="1" outlineLevel="1" collapsed="1" x14ac:dyDescent="0.25">
      <c r="A100" s="27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SUM(OSRRefD22_20x_0)</f>
        <v>2332.8299999999995</v>
      </c>
      <c r="E100" s="1"/>
      <c r="F100" s="5">
        <f t="shared" si="68"/>
        <v>3.3863130349209469E-3</v>
      </c>
      <c r="G100" s="1"/>
      <c r="H100" s="1">
        <f>SUM(OSRRefH22_20x_0)</f>
        <v>2350.1600000000003</v>
      </c>
      <c r="I100" s="1"/>
      <c r="J100" s="5">
        <f t="shared" si="69"/>
        <v>3.2117867336218025E-3</v>
      </c>
      <c r="K100" s="1"/>
      <c r="L100" s="1">
        <f t="shared" si="70"/>
        <v>-17.330000000000837</v>
      </c>
      <c r="M100" s="1"/>
      <c r="N100" s="5">
        <f t="shared" si="71"/>
        <v>-7.3739660278452678E-3</v>
      </c>
      <c r="O100" s="14"/>
      <c r="P100" s="1">
        <f>SUM(OSRRefP22_20x_0)</f>
        <v>2332.8299999999995</v>
      </c>
      <c r="Q100" s="1"/>
      <c r="R100" s="5">
        <f t="shared" si="72"/>
        <v>3.3863130349209469E-3</v>
      </c>
      <c r="S100" s="1"/>
      <c r="T100" s="1">
        <f>SUM(OSRRefT22_20x_0)</f>
        <v>2350.1600000000003</v>
      </c>
      <c r="U100" s="1"/>
      <c r="V100" s="5">
        <f t="shared" si="73"/>
        <v>3.2117867336218025E-3</v>
      </c>
      <c r="W100" s="1"/>
      <c r="X100" s="1">
        <f t="shared" si="74"/>
        <v>-17.330000000000837</v>
      </c>
      <c r="Y100" s="1"/>
      <c r="Z100" s="5">
        <f t="shared" si="75"/>
        <v>-7.3739660278452678E-3</v>
      </c>
    </row>
    <row r="101" spans="1:26" s="24" customFormat="1" hidden="1" outlineLevel="2" x14ac:dyDescent="0.25">
      <c r="A101" s="29"/>
      <c r="B101" s="11" t="str">
        <f>CONCATENATE("          ", "6292", " - ", "TRAVEL/CONFERENCE")</f>
        <v xml:space="preserve">          6292 - TRAVEL/CONFERENCE</v>
      </c>
      <c r="C101" s="11"/>
      <c r="D101" s="7">
        <v>2073.7399999999998</v>
      </c>
      <c r="E101" s="2"/>
      <c r="F101" s="6">
        <f t="shared" si="68"/>
        <v>3.0102205445904614E-3</v>
      </c>
      <c r="G101" s="2"/>
      <c r="H101" s="7">
        <v>963.2</v>
      </c>
      <c r="I101" s="2"/>
      <c r="J101" s="6">
        <f t="shared" si="69"/>
        <v>1.3163329227901589E-3</v>
      </c>
      <c r="K101" s="2"/>
      <c r="L101" s="7">
        <f t="shared" si="70"/>
        <v>1110.5399999999997</v>
      </c>
      <c r="M101" s="2"/>
      <c r="N101" s="6">
        <f t="shared" si="71"/>
        <v>1.1529692691029898</v>
      </c>
      <c r="O101" s="11"/>
      <c r="P101" s="7">
        <v>2073.7399999999998</v>
      </c>
      <c r="Q101" s="2"/>
      <c r="R101" s="6">
        <f t="shared" si="72"/>
        <v>3.0102205445904614E-3</v>
      </c>
      <c r="S101" s="2"/>
      <c r="T101" s="7">
        <v>963.2</v>
      </c>
      <c r="U101" s="2"/>
      <c r="V101" s="6">
        <f t="shared" si="73"/>
        <v>1.3163329227901589E-3</v>
      </c>
      <c r="W101" s="2"/>
      <c r="X101" s="7">
        <f t="shared" si="74"/>
        <v>1110.5399999999997</v>
      </c>
      <c r="Y101" s="2"/>
      <c r="Z101" s="6">
        <f t="shared" si="75"/>
        <v>1.1529692691029898</v>
      </c>
    </row>
    <row r="102" spans="1:26" s="24" customFormat="1" hidden="1" outlineLevel="2" x14ac:dyDescent="0.25">
      <c r="A102" s="29"/>
      <c r="B102" s="11" t="str">
        <f>CONCATENATE("          ", "6294", " - ", "TRAVEL OPERATIONAL")</f>
        <v xml:space="preserve">          6294 - TRAVEL OPERATIONAL</v>
      </c>
      <c r="C102" s="11"/>
      <c r="D102" s="7">
        <v>45.49</v>
      </c>
      <c r="E102" s="2"/>
      <c r="F102" s="6">
        <f t="shared" si="68"/>
        <v>6.6032835636781905E-5</v>
      </c>
      <c r="G102" s="2"/>
      <c r="H102" s="7">
        <v>1316.9</v>
      </c>
      <c r="I102" s="2"/>
      <c r="J102" s="6">
        <f t="shared" si="69"/>
        <v>1.7997080834949754E-3</v>
      </c>
      <c r="K102" s="2"/>
      <c r="L102" s="7">
        <f t="shared" si="70"/>
        <v>-1271.4100000000001</v>
      </c>
      <c r="M102" s="2"/>
      <c r="N102" s="6">
        <f t="shared" si="71"/>
        <v>-0.96545675449920265</v>
      </c>
      <c r="O102" s="11"/>
      <c r="P102" s="7">
        <v>45.49</v>
      </c>
      <c r="Q102" s="2"/>
      <c r="R102" s="6">
        <f t="shared" si="72"/>
        <v>6.6032835636781905E-5</v>
      </c>
      <c r="S102" s="2"/>
      <c r="T102" s="7">
        <v>1316.9</v>
      </c>
      <c r="U102" s="2"/>
      <c r="V102" s="6">
        <f t="shared" si="73"/>
        <v>1.7997080834949754E-3</v>
      </c>
      <c r="W102" s="2"/>
      <c r="X102" s="7">
        <f t="shared" si="74"/>
        <v>-1271.4100000000001</v>
      </c>
      <c r="Y102" s="2"/>
      <c r="Z102" s="6">
        <f t="shared" si="75"/>
        <v>-0.96545675449920265</v>
      </c>
    </row>
    <row r="103" spans="1:26" s="24" customFormat="1" hidden="1" outlineLevel="2" x14ac:dyDescent="0.25">
      <c r="A103" s="29"/>
      <c r="B103" s="11" t="str">
        <f>CONCATENATE("          ", "6298", " - ", "VEHICLE MILEAGE")</f>
        <v xml:space="preserve">          6298 - VEHICLE MILEAGE</v>
      </c>
      <c r="C103" s="11"/>
      <c r="D103" s="7">
        <v>213.6</v>
      </c>
      <c r="E103" s="2"/>
      <c r="F103" s="6">
        <f t="shared" si="68"/>
        <v>3.1005965469370442E-4</v>
      </c>
      <c r="G103" s="2"/>
      <c r="H103" s="7">
        <v>70.06</v>
      </c>
      <c r="I103" s="2"/>
      <c r="J103" s="6">
        <f t="shared" si="69"/>
        <v>9.5745727336667917E-5</v>
      </c>
      <c r="K103" s="2"/>
      <c r="L103" s="7">
        <f t="shared" si="70"/>
        <v>143.54</v>
      </c>
      <c r="M103" s="2"/>
      <c r="N103" s="6">
        <f t="shared" si="71"/>
        <v>2.0488153011704253</v>
      </c>
      <c r="O103" s="11"/>
      <c r="P103" s="7">
        <v>213.6</v>
      </c>
      <c r="Q103" s="2"/>
      <c r="R103" s="6">
        <f t="shared" si="72"/>
        <v>3.1005965469370442E-4</v>
      </c>
      <c r="S103" s="2"/>
      <c r="T103" s="7">
        <v>70.06</v>
      </c>
      <c r="U103" s="2"/>
      <c r="V103" s="6">
        <f t="shared" si="73"/>
        <v>9.5745727336667917E-5</v>
      </c>
      <c r="W103" s="2"/>
      <c r="X103" s="7">
        <f t="shared" si="74"/>
        <v>143.54</v>
      </c>
      <c r="Y103" s="2"/>
      <c r="Z103" s="6">
        <f t="shared" si="75"/>
        <v>2.0488153011704253</v>
      </c>
    </row>
    <row r="104" spans="1:26" s="28" customFormat="1" outlineLevel="1" collapsed="1" x14ac:dyDescent="0.25">
      <c r="A104" s="27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SUM(OSRRefD22_21x_0)</f>
        <v>13691</v>
      </c>
      <c r="E104" s="1"/>
      <c r="F104" s="5">
        <f t="shared" ref="F104:F105" si="76">IF(D$12=0,0,D104/D$12)</f>
        <v>1.9873720657357243E-2</v>
      </c>
      <c r="G104" s="1"/>
      <c r="H104" s="1">
        <f>SUM(OSRRefH22_21x_0)</f>
        <v>15416</v>
      </c>
      <c r="I104" s="1"/>
      <c r="J104" s="5">
        <f t="shared" ref="J104:J105" si="77">IF(H$12=0,0,H104/H$12)</f>
        <v>2.1067886563261098E-2</v>
      </c>
      <c r="K104" s="1"/>
      <c r="L104" s="1">
        <f t="shared" ref="L104:L105" si="78">+D104-H104</f>
        <v>-1725</v>
      </c>
      <c r="M104" s="1"/>
      <c r="N104" s="5">
        <f t="shared" ref="N104:N105" si="79">IF(H104=0,0,L104/H104)</f>
        <v>-0.11189673066943435</v>
      </c>
      <c r="O104" s="14"/>
      <c r="P104" s="1">
        <f>SUM(OSRRefP22_21x_0)</f>
        <v>13691</v>
      </c>
      <c r="Q104" s="1"/>
      <c r="R104" s="5">
        <f t="shared" ref="R104:R105" si="80">IF(P$12=0,0,P104/P$12)</f>
        <v>1.9873720657357243E-2</v>
      </c>
      <c r="S104" s="1"/>
      <c r="T104" s="1">
        <f>SUM(OSRRefT22_21x_0)</f>
        <v>15416</v>
      </c>
      <c r="U104" s="1"/>
      <c r="V104" s="5">
        <f t="shared" ref="V104:V105" si="81">IF(T$12=0,0,T104/T$12)</f>
        <v>2.1067886563261098E-2</v>
      </c>
      <c r="W104" s="1"/>
      <c r="X104" s="1">
        <f t="shared" ref="X104:X105" si="82">+P104-T104</f>
        <v>-1725</v>
      </c>
      <c r="Y104" s="1"/>
      <c r="Z104" s="5">
        <f t="shared" ref="Z104:Z105" si="83">IF(T104=0,0,X104/T104)</f>
        <v>-0.11189673066943435</v>
      </c>
    </row>
    <row r="105" spans="1:26" s="24" customFormat="1" hidden="1" outlineLevel="2" x14ac:dyDescent="0.25">
      <c r="A105" s="29"/>
      <c r="B105" s="11" t="str">
        <f>CONCATENATE("          ", "6274", " - ", "UTILITIES")</f>
        <v xml:space="preserve">          6274 - UTILITIES</v>
      </c>
      <c r="C105" s="11"/>
      <c r="D105" s="7">
        <v>13691</v>
      </c>
      <c r="E105" s="2"/>
      <c r="F105" s="6">
        <f t="shared" si="76"/>
        <v>1.9873720657357243E-2</v>
      </c>
      <c r="G105" s="2"/>
      <c r="H105" s="7">
        <v>15416</v>
      </c>
      <c r="I105" s="2"/>
      <c r="J105" s="6">
        <f t="shared" si="77"/>
        <v>2.1067886563261098E-2</v>
      </c>
      <c r="K105" s="2"/>
      <c r="L105" s="7">
        <f t="shared" si="78"/>
        <v>-1725</v>
      </c>
      <c r="M105" s="2"/>
      <c r="N105" s="6">
        <f t="shared" si="79"/>
        <v>-0.11189673066943435</v>
      </c>
      <c r="O105" s="11"/>
      <c r="P105" s="7">
        <v>13691</v>
      </c>
      <c r="Q105" s="2"/>
      <c r="R105" s="6">
        <f t="shared" si="80"/>
        <v>1.9873720657357243E-2</v>
      </c>
      <c r="S105" s="2"/>
      <c r="T105" s="7">
        <v>15416</v>
      </c>
      <c r="U105" s="2"/>
      <c r="V105" s="6">
        <f t="shared" si="81"/>
        <v>2.1067886563261098E-2</v>
      </c>
      <c r="W105" s="2"/>
      <c r="X105" s="7">
        <f t="shared" si="82"/>
        <v>-1725</v>
      </c>
      <c r="Y105" s="2"/>
      <c r="Z105" s="6">
        <f t="shared" si="83"/>
        <v>-0.11189673066943435</v>
      </c>
    </row>
    <row r="106" spans="1:26" s="54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6" t="s">
        <v>0</v>
      </c>
      <c r="C107" s="10"/>
      <c r="D107" s="4">
        <f>SUM(OSRRefD25x_0)</f>
        <v>50933.41</v>
      </c>
      <c r="E107" s="4"/>
      <c r="F107" s="12">
        <f t="shared" ref="F107:F110" si="84">IF(D$12=0,0,D107/D$12)</f>
        <v>7.3934435940884238E-2</v>
      </c>
      <c r="G107" s="4"/>
      <c r="H107" s="4">
        <f>SUM(OSRRefH25x_0)</f>
        <v>17560.98</v>
      </c>
      <c r="I107" s="4"/>
      <c r="J107" s="12">
        <f t="shared" ref="J107:J110" si="85">IF(H$12=0,0,H107/H$12)</f>
        <v>2.3999269238433891E-2</v>
      </c>
      <c r="K107" s="4"/>
      <c r="L107" s="4">
        <f t="shared" ref="L107:L110" si="86">+D107-H107</f>
        <v>33372.430000000008</v>
      </c>
      <c r="M107" s="4"/>
      <c r="N107" s="12">
        <f t="shared" ref="N107:N110" si="87">IF(H107=0,0,L107/H107)</f>
        <v>1.9003740110176088</v>
      </c>
      <c r="O107" s="10"/>
      <c r="P107" s="4">
        <f>SUM(OSRRefP25x_0)</f>
        <v>50933.41</v>
      </c>
      <c r="Q107" s="4"/>
      <c r="R107" s="12">
        <f t="shared" ref="R107:R110" si="88">IF(P$12=0,0,P107/P$12)</f>
        <v>7.3934435940884238E-2</v>
      </c>
      <c r="S107" s="4"/>
      <c r="T107" s="4">
        <f>SUM(OSRRefT25x_0)</f>
        <v>17560.98</v>
      </c>
      <c r="U107" s="4"/>
      <c r="V107" s="12">
        <f t="shared" ref="V107:V110" si="89">IF(T$12=0,0,T107/T$12)</f>
        <v>2.3999269238433891E-2</v>
      </c>
      <c r="W107" s="4"/>
      <c r="X107" s="4">
        <f t="shared" ref="X107:X110" si="90">+P107-T107</f>
        <v>33372.430000000008</v>
      </c>
      <c r="Y107" s="4"/>
      <c r="Z107" s="12">
        <f t="shared" ref="Z107:Z110" si="91">IF(T107=0,0,X107/T107)</f>
        <v>1.9003740110176088</v>
      </c>
    </row>
    <row r="108" spans="1:26" s="24" customFormat="1" hidden="1" outlineLevel="1" x14ac:dyDescent="0.25">
      <c r="A108" s="50"/>
      <c r="B108" s="11" t="str">
        <f>CONCATENATE("          ", "9150", " - ", "MISC. INCOME")</f>
        <v xml:space="preserve">          9150 - MISC. INCOME</v>
      </c>
      <c r="C108" s="11"/>
      <c r="D108" s="2">
        <f>--41260.26</f>
        <v>41260.26</v>
      </c>
      <c r="E108" s="2"/>
      <c r="F108" s="22">
        <f t="shared" si="84"/>
        <v>5.9892986742380458E-2</v>
      </c>
      <c r="G108" s="2"/>
      <c r="H108" s="2">
        <f>--4981.16</f>
        <v>4981.16</v>
      </c>
      <c r="I108" s="2"/>
      <c r="J108" s="22">
        <f t="shared" si="85"/>
        <v>6.8073763514175951E-3</v>
      </c>
      <c r="K108" s="2"/>
      <c r="L108" s="2">
        <f t="shared" si="86"/>
        <v>36279.100000000006</v>
      </c>
      <c r="M108" s="2"/>
      <c r="N108" s="22">
        <f t="shared" si="87"/>
        <v>7.2832633362509949</v>
      </c>
      <c r="O108" s="11"/>
      <c r="P108" s="2">
        <f>--41260.26</f>
        <v>41260.26</v>
      </c>
      <c r="Q108" s="2"/>
      <c r="R108" s="22">
        <f t="shared" si="88"/>
        <v>5.9892986742380458E-2</v>
      </c>
      <c r="S108" s="2"/>
      <c r="T108" s="2">
        <f>--4981.16</f>
        <v>4981.16</v>
      </c>
      <c r="U108" s="2"/>
      <c r="V108" s="22">
        <f t="shared" si="89"/>
        <v>6.8073763514175951E-3</v>
      </c>
      <c r="W108" s="2"/>
      <c r="X108" s="2">
        <f t="shared" si="90"/>
        <v>36279.100000000006</v>
      </c>
      <c r="Y108" s="2"/>
      <c r="Z108" s="22">
        <f t="shared" si="91"/>
        <v>7.2832633362509949</v>
      </c>
    </row>
    <row r="109" spans="1:26" s="24" customFormat="1" hidden="1" outlineLevel="1" x14ac:dyDescent="0.25">
      <c r="A109" s="50"/>
      <c r="B109" s="11" t="str">
        <f>CONCATENATE("          ", "9160", " - ", "MISC. INCOME")</f>
        <v xml:space="preserve">          9160 - MISC. INCOME</v>
      </c>
      <c r="C109" s="11"/>
      <c r="D109" s="2">
        <f>--5992.1</f>
        <v>5992.1</v>
      </c>
      <c r="E109" s="2"/>
      <c r="F109" s="22">
        <f t="shared" si="84"/>
        <v>8.6980733000475013E-3</v>
      </c>
      <c r="G109" s="2"/>
      <c r="H109" s="2">
        <f>--10460.99</f>
        <v>10460.99</v>
      </c>
      <c r="I109" s="2"/>
      <c r="J109" s="22">
        <f t="shared" si="85"/>
        <v>1.4296247448067508E-2</v>
      </c>
      <c r="K109" s="2"/>
      <c r="L109" s="2">
        <f t="shared" si="86"/>
        <v>-4468.8899999999994</v>
      </c>
      <c r="M109" s="2"/>
      <c r="N109" s="22">
        <f t="shared" si="87"/>
        <v>-0.42719570518660277</v>
      </c>
      <c r="O109" s="11"/>
      <c r="P109" s="2">
        <f>--5992.1</f>
        <v>5992.1</v>
      </c>
      <c r="Q109" s="2"/>
      <c r="R109" s="22">
        <f t="shared" si="88"/>
        <v>8.6980733000475013E-3</v>
      </c>
      <c r="S109" s="2"/>
      <c r="T109" s="2">
        <f>--10460.99</f>
        <v>10460.99</v>
      </c>
      <c r="U109" s="2"/>
      <c r="V109" s="22">
        <f t="shared" si="89"/>
        <v>1.4296247448067508E-2</v>
      </c>
      <c r="W109" s="2"/>
      <c r="X109" s="2">
        <f t="shared" si="90"/>
        <v>-4468.8899999999994</v>
      </c>
      <c r="Y109" s="2"/>
      <c r="Z109" s="22">
        <f t="shared" si="91"/>
        <v>-0.42719570518660277</v>
      </c>
    </row>
    <row r="110" spans="1:26" s="24" customFormat="1" hidden="1" outlineLevel="1" x14ac:dyDescent="0.25">
      <c r="A110" s="50"/>
      <c r="B110" s="11" t="str">
        <f>CONCATENATE("          ", "9165", " - ", "OTHER INCOME")</f>
        <v xml:space="preserve">          9165 - OTHER INCOME</v>
      </c>
      <c r="C110" s="11"/>
      <c r="D110" s="2">
        <f>--3681.05</f>
        <v>3681.05</v>
      </c>
      <c r="E110" s="2"/>
      <c r="F110" s="22">
        <f t="shared" si="84"/>
        <v>5.3433758984562764E-3</v>
      </c>
      <c r="G110" s="2"/>
      <c r="H110" s="2">
        <f>--2118.83</f>
        <v>2118.83</v>
      </c>
      <c r="I110" s="2"/>
      <c r="J110" s="22">
        <f t="shared" si="85"/>
        <v>2.8956454389487876E-3</v>
      </c>
      <c r="K110" s="2"/>
      <c r="L110" s="2">
        <f t="shared" si="86"/>
        <v>1562.2200000000003</v>
      </c>
      <c r="M110" s="2"/>
      <c r="N110" s="22">
        <f t="shared" si="87"/>
        <v>0.73730313427693606</v>
      </c>
      <c r="O110" s="11"/>
      <c r="P110" s="2">
        <f>--3681.05</f>
        <v>3681.05</v>
      </c>
      <c r="Q110" s="2"/>
      <c r="R110" s="22">
        <f t="shared" si="88"/>
        <v>5.3433758984562764E-3</v>
      </c>
      <c r="S110" s="2"/>
      <c r="T110" s="2">
        <f>--2118.83</f>
        <v>2118.83</v>
      </c>
      <c r="U110" s="2"/>
      <c r="V110" s="22">
        <f t="shared" si="89"/>
        <v>2.8956454389487876E-3</v>
      </c>
      <c r="W110" s="2"/>
      <c r="X110" s="2">
        <f t="shared" si="90"/>
        <v>1562.2200000000003</v>
      </c>
      <c r="Y110" s="2"/>
      <c r="Z110" s="22">
        <f t="shared" si="91"/>
        <v>0.73730313427693606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5" t="s">
        <v>3</v>
      </c>
      <c r="C112" s="25"/>
      <c r="D112" s="21">
        <f>+D28-D30+D107</f>
        <v>-297575.26</v>
      </c>
      <c r="E112" s="13"/>
      <c r="F112" s="20">
        <f>IF(D$12=0,0,D112/D$12)</f>
        <v>-0.43195731442410729</v>
      </c>
      <c r="G112" s="13"/>
      <c r="H112" s="21">
        <f>+H28-H30+H107</f>
        <v>-179620.19000000015</v>
      </c>
      <c r="I112" s="13"/>
      <c r="J112" s="20">
        <f>IF(H$12=0,0,H112/H$12)</f>
        <v>-0.24547339046389521</v>
      </c>
      <c r="K112" s="16"/>
      <c r="L112" s="21">
        <f>+D112-H112</f>
        <v>-117955.06999999986</v>
      </c>
      <c r="M112" s="16"/>
      <c r="N112" s="20">
        <f>IF(H112=0,0,L112/H112)</f>
        <v>0.65669160020373973</v>
      </c>
      <c r="O112" s="26"/>
      <c r="P112" s="21">
        <f>+P28-P30+P107</f>
        <v>-297575.26</v>
      </c>
      <c r="Q112" s="13"/>
      <c r="R112" s="20">
        <f>IF(P$12=0,0,P112/P$12)</f>
        <v>-0.43195731442410729</v>
      </c>
      <c r="S112" s="13"/>
      <c r="T112" s="21">
        <f>+T28-T30+T107</f>
        <v>-179620.19000000015</v>
      </c>
      <c r="U112" s="13"/>
      <c r="V112" s="20">
        <f>IF(T$12=0,0,T112/T$12)</f>
        <v>-0.24547339046389521</v>
      </c>
      <c r="W112" s="16"/>
      <c r="X112" s="21">
        <f>+P112-T112</f>
        <v>-117955.06999999986</v>
      </c>
      <c r="Y112" s="16"/>
      <c r="Z112" s="20">
        <f>IF(T112=0,0,X112/T112)</f>
        <v>0.65669160020373973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143242.54</v>
      </c>
      <c r="E114" s="4"/>
      <c r="F114" s="12">
        <f>IF(D$12=0,0,D114/D$12)</f>
        <v>0.20792945922214021</v>
      </c>
      <c r="G114" s="4"/>
      <c r="H114" s="4">
        <v>150224.59</v>
      </c>
      <c r="I114" s="4"/>
      <c r="J114" s="12">
        <f>IF(H$12=0,0,H114/H$12)</f>
        <v>0.20530063707397558</v>
      </c>
      <c r="K114" s="4"/>
      <c r="L114" s="4">
        <f>+D114-H114</f>
        <v>-6982.0499999999884</v>
      </c>
      <c r="M114" s="4"/>
      <c r="N114" s="12">
        <f>IF(H114=0,0,L114/H114)</f>
        <v>-4.647741092187363E-2</v>
      </c>
      <c r="O114" s="10"/>
      <c r="P114" s="4">
        <v>143242.54</v>
      </c>
      <c r="Q114" s="4"/>
      <c r="R114" s="12">
        <f>IF(P$12=0,0,P114/P$12)</f>
        <v>0.20792945922214021</v>
      </c>
      <c r="S114" s="4"/>
      <c r="T114" s="4">
        <v>150224.59</v>
      </c>
      <c r="U114" s="4"/>
      <c r="V114" s="12">
        <f>IF(T$12=0,0,T114/T$12)</f>
        <v>0.20530063707397558</v>
      </c>
      <c r="W114" s="4"/>
      <c r="X114" s="4">
        <f>+P114-T114</f>
        <v>-6982.0499999999884</v>
      </c>
      <c r="Y114" s="4"/>
      <c r="Z114" s="12">
        <f>IF(T114=0,0,X114/T114)</f>
        <v>-4.647741092187363E-2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5" t="s">
        <v>4</v>
      </c>
      <c r="C116" s="25"/>
      <c r="D116" s="33">
        <f>+D112-D114</f>
        <v>-440817.80000000005</v>
      </c>
      <c r="E116" s="13"/>
      <c r="F116" s="34">
        <f>IF(D$12=0,0,D116/D$12)</f>
        <v>-0.63988677364624746</v>
      </c>
      <c r="G116" s="13"/>
      <c r="H116" s="33">
        <f>+H112-H114</f>
        <v>-329844.78000000014</v>
      </c>
      <c r="I116" s="13"/>
      <c r="J116" s="34">
        <f>IF(H$12=0,0,H116/H$12)</f>
        <v>-0.45077402753787077</v>
      </c>
      <c r="K116" s="16"/>
      <c r="L116" s="33">
        <f>D116-H116</f>
        <v>-110973.0199999999</v>
      </c>
      <c r="M116" s="16"/>
      <c r="N116" s="34">
        <f>IF(H116=0,0,L116/H116)</f>
        <v>0.33644012798989831</v>
      </c>
      <c r="O116" s="26"/>
      <c r="P116" s="33">
        <f>+P112-P114</f>
        <v>-440817.80000000005</v>
      </c>
      <c r="Q116" s="13"/>
      <c r="R116" s="34">
        <f>IF(P$12=0,0,P116/P$12)</f>
        <v>-0.63988677364624746</v>
      </c>
      <c r="S116" s="13"/>
      <c r="T116" s="33">
        <f>+T112-T114</f>
        <v>-329844.78000000014</v>
      </c>
      <c r="U116" s="13"/>
      <c r="V116" s="34">
        <f>IF(T$12=0,0,T116/T$12)</f>
        <v>-0.45077402753787077</v>
      </c>
      <c r="W116" s="16"/>
      <c r="X116" s="33">
        <f>P116-T116</f>
        <v>-110973.0199999999</v>
      </c>
      <c r="Y116" s="16"/>
      <c r="Z116" s="34">
        <f>IF(T116=0,0,X116/T116)</f>
        <v>0.33644012798989831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5" t="s">
        <v>5</v>
      </c>
      <c r="C119" s="25"/>
      <c r="D119" s="31">
        <f>SUM(D116:D118)</f>
        <v>-440817.80000000005</v>
      </c>
      <c r="E119" s="13"/>
      <c r="F119" s="30">
        <f>IF(D$12=0,0,D119/D$12)</f>
        <v>-0.63988677364624746</v>
      </c>
      <c r="G119" s="13"/>
      <c r="H119" s="31">
        <f>SUM(H116:H118)</f>
        <v>-329844.78000000014</v>
      </c>
      <c r="I119" s="13"/>
      <c r="J119" s="30">
        <f>IF(H$12=0,0,H119/H$12)</f>
        <v>-0.45077402753787077</v>
      </c>
      <c r="K119" s="16"/>
      <c r="L119" s="31">
        <f>+D119-H119</f>
        <v>-110973.0199999999</v>
      </c>
      <c r="M119" s="16"/>
      <c r="N119" s="30">
        <f>IF(H119=0,0,L119/H119)</f>
        <v>0.33644012798989831</v>
      </c>
      <c r="O119" s="26"/>
      <c r="P119" s="31">
        <f>SUM(P116:P118)</f>
        <v>-440817.80000000005</v>
      </c>
      <c r="Q119" s="13"/>
      <c r="R119" s="30">
        <f>IF(P$12=0,0,P119/P$12)</f>
        <v>-0.63988677364624746</v>
      </c>
      <c r="S119" s="13"/>
      <c r="T119" s="31">
        <f>SUM(T116:T118)</f>
        <v>-329844.78000000014</v>
      </c>
      <c r="U119" s="13"/>
      <c r="V119" s="30">
        <f>IF(T$12=0,0,T119/T$12)</f>
        <v>-0.45077402753787077</v>
      </c>
      <c r="W119" s="16"/>
      <c r="X119" s="31">
        <f>+P119-T119</f>
        <v>-110973.0199999999</v>
      </c>
      <c r="Y119" s="16"/>
      <c r="Z119" s="30">
        <f>IF(T119=0,0,X119/T119)</f>
        <v>0.33644012798989831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56">
        <v>43726.681455555554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3" t="s">
        <v>313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9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312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238290.77</v>
      </c>
      <c r="E12" s="4"/>
      <c r="F12" s="12"/>
      <c r="G12" s="4"/>
      <c r="H12" s="4">
        <f>SUM(OSRRefH13x_0)</f>
        <v>284837.95999999996</v>
      </c>
      <c r="I12" s="4"/>
      <c r="J12" s="12"/>
      <c r="K12" s="4"/>
      <c r="L12" s="4">
        <f t="shared" ref="L12:L27" si="0">+D12-H12</f>
        <v>-46547.189999999973</v>
      </c>
      <c r="M12" s="4"/>
      <c r="N12" s="12">
        <f t="shared" ref="N12:N27" si="1">IF(H12=0,0,L12/H12)</f>
        <v>-0.16341638593395338</v>
      </c>
      <c r="O12" s="10"/>
      <c r="P12" s="4">
        <f>SUM(OSRRefP13x_0)</f>
        <v>238290.77</v>
      </c>
      <c r="Q12" s="4"/>
      <c r="R12" s="12"/>
      <c r="S12" s="4"/>
      <c r="T12" s="4">
        <f>SUM(OSRRefT13x_0)</f>
        <v>284837.95999999996</v>
      </c>
      <c r="U12" s="4"/>
      <c r="V12" s="12"/>
      <c r="W12" s="4"/>
      <c r="X12" s="4">
        <f t="shared" ref="X12:X27" si="2">+P12-T12</f>
        <v>-46547.189999999973</v>
      </c>
      <c r="Y12" s="4"/>
      <c r="Z12" s="12">
        <f t="shared" ref="Z12:Z27" si="3">IF(T12=0,0,X12/T12)</f>
        <v>-0.16341638593395338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--6880.26</f>
        <v>6880.26</v>
      </c>
      <c r="E13" s="2"/>
      <c r="F13" s="22"/>
      <c r="G13" s="2"/>
      <c r="H13" s="2">
        <f>--7221.74</f>
        <v>7221.74</v>
      </c>
      <c r="I13" s="2"/>
      <c r="J13" s="22"/>
      <c r="K13" s="2"/>
      <c r="L13" s="2">
        <f t="shared" si="0"/>
        <v>-341.47999999999956</v>
      </c>
      <c r="M13" s="2"/>
      <c r="N13" s="22">
        <f t="shared" si="1"/>
        <v>-4.7285003337145838E-2</v>
      </c>
      <c r="O13" s="11"/>
      <c r="P13" s="2">
        <f>--6880.26</f>
        <v>6880.26</v>
      </c>
      <c r="Q13" s="2"/>
      <c r="R13" s="22"/>
      <c r="S13" s="2"/>
      <c r="T13" s="2">
        <f>--7221.74</f>
        <v>7221.74</v>
      </c>
      <c r="U13" s="2"/>
      <c r="V13" s="22"/>
      <c r="W13" s="2"/>
      <c r="X13" s="2">
        <f t="shared" si="2"/>
        <v>-341.47999999999956</v>
      </c>
      <c r="Y13" s="2"/>
      <c r="Z13" s="22">
        <f t="shared" si="3"/>
        <v>-4.7285003337145838E-2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2">
        <f>--288.75</f>
        <v>288.75</v>
      </c>
      <c r="E14" s="2"/>
      <c r="F14" s="22"/>
      <c r="G14" s="2"/>
      <c r="H14" s="2">
        <f>--200.55</f>
        <v>200.55</v>
      </c>
      <c r="I14" s="2"/>
      <c r="J14" s="22"/>
      <c r="K14" s="2"/>
      <c r="L14" s="2">
        <f t="shared" si="0"/>
        <v>88.199999999999989</v>
      </c>
      <c r="M14" s="2"/>
      <c r="N14" s="22">
        <f t="shared" si="1"/>
        <v>0.43979057591623028</v>
      </c>
      <c r="O14" s="11"/>
      <c r="P14" s="2">
        <f>--288.75</f>
        <v>288.75</v>
      </c>
      <c r="Q14" s="2"/>
      <c r="R14" s="22"/>
      <c r="S14" s="2"/>
      <c r="T14" s="2">
        <f>--200.55</f>
        <v>200.55</v>
      </c>
      <c r="U14" s="2"/>
      <c r="V14" s="22"/>
      <c r="W14" s="2"/>
      <c r="X14" s="2">
        <f t="shared" si="2"/>
        <v>88.199999999999989</v>
      </c>
      <c r="Y14" s="2"/>
      <c r="Z14" s="22">
        <f t="shared" si="3"/>
        <v>0.43979057591623028</v>
      </c>
    </row>
    <row r="15" spans="1:26" s="24" customFormat="1" hidden="1" outlineLevel="1" x14ac:dyDescent="0.25">
      <c r="A15" s="50"/>
      <c r="B15" s="11" t="str">
        <f>CONCATENATE("          ", "4051", " - ", "TAXABLE SALES-FOOD")</f>
        <v xml:space="preserve">          4051 - TAXABLE SALES-FOOD</v>
      </c>
      <c r="C15" s="11"/>
      <c r="D15" s="2">
        <f>--22606.37</f>
        <v>22606.37</v>
      </c>
      <c r="E15" s="2"/>
      <c r="F15" s="22"/>
      <c r="G15" s="2"/>
      <c r="H15" s="2">
        <f>--24520.39</f>
        <v>24520.39</v>
      </c>
      <c r="I15" s="2"/>
      <c r="J15" s="22"/>
      <c r="K15" s="2"/>
      <c r="L15" s="2">
        <f t="shared" si="0"/>
        <v>-1914.0200000000004</v>
      </c>
      <c r="M15" s="2"/>
      <c r="N15" s="22">
        <f t="shared" si="1"/>
        <v>-7.8058301682803602E-2</v>
      </c>
      <c r="O15" s="11"/>
      <c r="P15" s="2">
        <f>--22606.37</f>
        <v>22606.37</v>
      </c>
      <c r="Q15" s="2"/>
      <c r="R15" s="22"/>
      <c r="S15" s="2"/>
      <c r="T15" s="2">
        <f>--24520.39</f>
        <v>24520.39</v>
      </c>
      <c r="U15" s="2"/>
      <c r="V15" s="22"/>
      <c r="W15" s="2"/>
      <c r="X15" s="2">
        <f t="shared" si="2"/>
        <v>-1914.0200000000004</v>
      </c>
      <c r="Y15" s="2"/>
      <c r="Z15" s="22">
        <f t="shared" si="3"/>
        <v>-7.8058301682803602E-2</v>
      </c>
    </row>
    <row r="16" spans="1:26" s="24" customFormat="1" hidden="1" outlineLevel="1" x14ac:dyDescent="0.25">
      <c r="A16" s="50"/>
      <c r="B16" s="11" t="str">
        <f>CONCATENATE("          ", "4052", " - ", "TAXABLE SALES-FOOD")</f>
        <v xml:space="preserve">          4052 - TAXABLE SALES-FOOD</v>
      </c>
      <c r="C16" s="11"/>
      <c r="D16" s="2">
        <f>--43778.84</f>
        <v>43778.84</v>
      </c>
      <c r="E16" s="2"/>
      <c r="F16" s="22"/>
      <c r="G16" s="2"/>
      <c r="H16" s="2">
        <f>--99639.78</f>
        <v>99639.78</v>
      </c>
      <c r="I16" s="2"/>
      <c r="J16" s="22"/>
      <c r="K16" s="2"/>
      <c r="L16" s="2">
        <f t="shared" si="0"/>
        <v>-55860.94</v>
      </c>
      <c r="M16" s="2"/>
      <c r="N16" s="22">
        <f t="shared" si="1"/>
        <v>-0.56062889741426569</v>
      </c>
      <c r="O16" s="11"/>
      <c r="P16" s="2">
        <f>--43778.84</f>
        <v>43778.84</v>
      </c>
      <c r="Q16" s="2"/>
      <c r="R16" s="22"/>
      <c r="S16" s="2"/>
      <c r="T16" s="2">
        <f>--99639.78</f>
        <v>99639.78</v>
      </c>
      <c r="U16" s="2"/>
      <c r="V16" s="22"/>
      <c r="W16" s="2"/>
      <c r="X16" s="2">
        <f t="shared" si="2"/>
        <v>-55860.94</v>
      </c>
      <c r="Y16" s="2"/>
      <c r="Z16" s="22">
        <f t="shared" si="3"/>
        <v>-0.56062889741426569</v>
      </c>
    </row>
    <row r="17" spans="1:26" s="24" customFormat="1" hidden="1" outlineLevel="1" x14ac:dyDescent="0.25">
      <c r="A17" s="50"/>
      <c r="B17" s="11" t="str">
        <f>CONCATENATE("          ", "4053", " - ", "TAXABLE SALES-FOOD")</f>
        <v xml:space="preserve">          4053 - TAXABLE SALES-FOOD</v>
      </c>
      <c r="C17" s="11"/>
      <c r="D17" s="2">
        <f>--24931.11</f>
        <v>24931.11</v>
      </c>
      <c r="E17" s="2"/>
      <c r="F17" s="22"/>
      <c r="G17" s="2"/>
      <c r="H17" s="2">
        <f>--11503.86</f>
        <v>11503.86</v>
      </c>
      <c r="I17" s="2"/>
      <c r="J17" s="22"/>
      <c r="K17" s="2"/>
      <c r="L17" s="2">
        <f t="shared" si="0"/>
        <v>13427.25</v>
      </c>
      <c r="M17" s="2"/>
      <c r="N17" s="22">
        <f t="shared" si="1"/>
        <v>1.1671951849205398</v>
      </c>
      <c r="O17" s="11"/>
      <c r="P17" s="2">
        <f>--24931.11</f>
        <v>24931.11</v>
      </c>
      <c r="Q17" s="2"/>
      <c r="R17" s="22"/>
      <c r="S17" s="2"/>
      <c r="T17" s="2">
        <f>--11503.86</f>
        <v>11503.86</v>
      </c>
      <c r="U17" s="2"/>
      <c r="V17" s="22"/>
      <c r="W17" s="2"/>
      <c r="X17" s="2">
        <f t="shared" si="2"/>
        <v>13427.25</v>
      </c>
      <c r="Y17" s="2"/>
      <c r="Z17" s="22">
        <f t="shared" si="3"/>
        <v>1.1671951849205398</v>
      </c>
    </row>
    <row r="18" spans="1:26" s="24" customFormat="1" hidden="1" outlineLevel="1" x14ac:dyDescent="0.25">
      <c r="A18" s="50"/>
      <c r="B18" s="11" t="str">
        <f>CONCATENATE("          ", "4055", " - ", "TAXABLE SALES-FOOD")</f>
        <v xml:space="preserve">          4055 - TAXABLE SALES-FOOD</v>
      </c>
      <c r="C18" s="11"/>
      <c r="D18" s="2">
        <f>--14243.63</f>
        <v>14243.63</v>
      </c>
      <c r="E18" s="2"/>
      <c r="F18" s="22"/>
      <c r="G18" s="2"/>
      <c r="H18" s="2">
        <f>--18095.82</f>
        <v>18095.82</v>
      </c>
      <c r="I18" s="2"/>
      <c r="J18" s="22"/>
      <c r="K18" s="2"/>
      <c r="L18" s="2">
        <f t="shared" si="0"/>
        <v>-3852.1900000000005</v>
      </c>
      <c r="M18" s="2"/>
      <c r="N18" s="22">
        <f t="shared" si="1"/>
        <v>-0.21287733852348226</v>
      </c>
      <c r="O18" s="11"/>
      <c r="P18" s="2">
        <f>--14243.63</f>
        <v>14243.63</v>
      </c>
      <c r="Q18" s="2"/>
      <c r="R18" s="22"/>
      <c r="S18" s="2"/>
      <c r="T18" s="2">
        <f>--18095.82</f>
        <v>18095.82</v>
      </c>
      <c r="U18" s="2"/>
      <c r="V18" s="22"/>
      <c r="W18" s="2"/>
      <c r="X18" s="2">
        <f t="shared" si="2"/>
        <v>-3852.1900000000005</v>
      </c>
      <c r="Y18" s="2"/>
      <c r="Z18" s="22">
        <f t="shared" si="3"/>
        <v>-0.21287733852348226</v>
      </c>
    </row>
    <row r="19" spans="1:26" s="24" customFormat="1" hidden="1" outlineLevel="1" x14ac:dyDescent="0.25">
      <c r="A19" s="50"/>
      <c r="B19" s="11" t="str">
        <f>CONCATENATE("          ", "4058", " - ", "TAXABLE SALES-FOOD")</f>
        <v xml:space="preserve">          4058 - TAXABLE SALES-FOOD</v>
      </c>
      <c r="C19" s="11"/>
      <c r="D19" s="2">
        <f>--8401.66</f>
        <v>8401.66</v>
      </c>
      <c r="E19" s="2"/>
      <c r="F19" s="22"/>
      <c r="G19" s="2"/>
      <c r="H19" s="2">
        <f>--15184.02</f>
        <v>15184.02</v>
      </c>
      <c r="I19" s="2"/>
      <c r="J19" s="22"/>
      <c r="K19" s="2"/>
      <c r="L19" s="2">
        <f t="shared" si="0"/>
        <v>-6782.3600000000006</v>
      </c>
      <c r="M19" s="2"/>
      <c r="N19" s="22">
        <f t="shared" si="1"/>
        <v>-0.44667749383891753</v>
      </c>
      <c r="O19" s="11"/>
      <c r="P19" s="2">
        <f>--8401.66</f>
        <v>8401.66</v>
      </c>
      <c r="Q19" s="2"/>
      <c r="R19" s="22"/>
      <c r="S19" s="2"/>
      <c r="T19" s="2">
        <f>--15184.02</f>
        <v>15184.02</v>
      </c>
      <c r="U19" s="2"/>
      <c r="V19" s="22"/>
      <c r="W19" s="2"/>
      <c r="X19" s="2">
        <f t="shared" si="2"/>
        <v>-6782.3600000000006</v>
      </c>
      <c r="Y19" s="2"/>
      <c r="Z19" s="22">
        <f t="shared" si="3"/>
        <v>-0.44667749383891753</v>
      </c>
    </row>
    <row r="20" spans="1:26" s="24" customFormat="1" hidden="1" outlineLevel="1" x14ac:dyDescent="0.25">
      <c r="A20" s="50"/>
      <c r="B20" s="11" t="str">
        <f>CONCATENATE("          ", "4132", " - ", "NON-TAXABLE SALES-JUICE")</f>
        <v xml:space="preserve">          4132 - NON-TAXABLE SALES-JUICE</v>
      </c>
      <c r="C20" s="11"/>
      <c r="D20" s="2">
        <f>--32087.63</f>
        <v>32087.63</v>
      </c>
      <c r="E20" s="2"/>
      <c r="F20" s="22"/>
      <c r="G20" s="2"/>
      <c r="H20" s="2">
        <f>--29034.68</f>
        <v>29034.68</v>
      </c>
      <c r="I20" s="2"/>
      <c r="J20" s="22"/>
      <c r="K20" s="2"/>
      <c r="L20" s="2">
        <f t="shared" si="0"/>
        <v>3052.9500000000007</v>
      </c>
      <c r="M20" s="2"/>
      <c r="N20" s="22">
        <f t="shared" si="1"/>
        <v>0.10514839495389654</v>
      </c>
      <c r="O20" s="11"/>
      <c r="P20" s="2">
        <f>--32087.63</f>
        <v>32087.63</v>
      </c>
      <c r="Q20" s="2"/>
      <c r="R20" s="22"/>
      <c r="S20" s="2"/>
      <c r="T20" s="2">
        <f>--29034.68</f>
        <v>29034.68</v>
      </c>
      <c r="U20" s="2"/>
      <c r="V20" s="22"/>
      <c r="W20" s="2"/>
      <c r="X20" s="2">
        <f t="shared" si="2"/>
        <v>3052.9500000000007</v>
      </c>
      <c r="Y20" s="2"/>
      <c r="Z20" s="22">
        <f t="shared" si="3"/>
        <v>0.10514839495389654</v>
      </c>
    </row>
    <row r="21" spans="1:26" s="24" customFormat="1" hidden="1" outlineLevel="1" x14ac:dyDescent="0.25">
      <c r="A21" s="50"/>
      <c r="B21" s="11" t="str">
        <f>CONCATENATE("          ", "4134", " - ", "NON-TAXABLE SALES-SODA")</f>
        <v xml:space="preserve">          4134 - NON-TAXABLE SALES-SODA</v>
      </c>
      <c r="C21" s="11"/>
      <c r="D21" s="2">
        <f>-3.39</f>
        <v>-3.39</v>
      </c>
      <c r="E21" s="2"/>
      <c r="F21" s="22"/>
      <c r="G21" s="2"/>
      <c r="H21" s="2">
        <f>--17.5</f>
        <v>17.5</v>
      </c>
      <c r="I21" s="2"/>
      <c r="J21" s="22"/>
      <c r="K21" s="2"/>
      <c r="L21" s="2">
        <f t="shared" si="0"/>
        <v>-20.89</v>
      </c>
      <c r="M21" s="2"/>
      <c r="N21" s="22">
        <f t="shared" si="1"/>
        <v>-1.1937142857142857</v>
      </c>
      <c r="O21" s="11"/>
      <c r="P21" s="2">
        <f>-3.39</f>
        <v>-3.39</v>
      </c>
      <c r="Q21" s="2"/>
      <c r="R21" s="22"/>
      <c r="S21" s="2"/>
      <c r="T21" s="2">
        <f>--17.5</f>
        <v>17.5</v>
      </c>
      <c r="U21" s="2"/>
      <c r="V21" s="22"/>
      <c r="W21" s="2"/>
      <c r="X21" s="2">
        <f t="shared" si="2"/>
        <v>-20.89</v>
      </c>
      <c r="Y21" s="2"/>
      <c r="Z21" s="22">
        <f t="shared" si="3"/>
        <v>-1.1937142857142857</v>
      </c>
    </row>
    <row r="22" spans="1:26" s="24" customFormat="1" hidden="1" outlineLevel="1" x14ac:dyDescent="0.25">
      <c r="A22" s="50"/>
      <c r="B22" s="11" t="str">
        <f>CONCATENATE("          ", "4137", " - ", "NON-TAXABLE SALES-WATER")</f>
        <v xml:space="preserve">          4137 - NON-TAXABLE SALES-WATER</v>
      </c>
      <c r="C22" s="11"/>
      <c r="D22" s="2">
        <f>--210.5</f>
        <v>210.5</v>
      </c>
      <c r="E22" s="2"/>
      <c r="F22" s="22"/>
      <c r="G22" s="2"/>
      <c r="H22" s="2">
        <f>--186.68</f>
        <v>186.68</v>
      </c>
      <c r="I22" s="2"/>
      <c r="J22" s="22"/>
      <c r="K22" s="2"/>
      <c r="L22" s="2">
        <f t="shared" si="0"/>
        <v>23.819999999999993</v>
      </c>
      <c r="M22" s="2"/>
      <c r="N22" s="22">
        <f t="shared" si="1"/>
        <v>0.1275980287122348</v>
      </c>
      <c r="O22" s="11"/>
      <c r="P22" s="2">
        <f>--210.5</f>
        <v>210.5</v>
      </c>
      <c r="Q22" s="2"/>
      <c r="R22" s="22"/>
      <c r="S22" s="2"/>
      <c r="T22" s="2">
        <f>--186.68</f>
        <v>186.68</v>
      </c>
      <c r="U22" s="2"/>
      <c r="V22" s="22"/>
      <c r="W22" s="2"/>
      <c r="X22" s="2">
        <f t="shared" si="2"/>
        <v>23.819999999999993</v>
      </c>
      <c r="Y22" s="2"/>
      <c r="Z22" s="22">
        <f t="shared" si="3"/>
        <v>0.1275980287122348</v>
      </c>
    </row>
    <row r="23" spans="1:26" s="24" customFormat="1" hidden="1" outlineLevel="1" x14ac:dyDescent="0.25">
      <c r="A23" s="50"/>
      <c r="B23" s="11" t="str">
        <f>CONCATENATE("          ", "4151", " - ", "NON-TAXABLE SALES-FOOD")</f>
        <v xml:space="preserve">          4151 - NON-TAXABLE SALES-FOOD</v>
      </c>
      <c r="C23" s="11"/>
      <c r="D23" s="2">
        <f>--45764.97</f>
        <v>45764.97</v>
      </c>
      <c r="E23" s="2"/>
      <c r="F23" s="22"/>
      <c r="G23" s="2"/>
      <c r="H23" s="2">
        <f>--30558.65</f>
        <v>30558.65</v>
      </c>
      <c r="I23" s="2"/>
      <c r="J23" s="22"/>
      <c r="K23" s="2"/>
      <c r="L23" s="2">
        <f t="shared" si="0"/>
        <v>15206.32</v>
      </c>
      <c r="M23" s="2"/>
      <c r="N23" s="22">
        <f t="shared" si="1"/>
        <v>0.49761098739636728</v>
      </c>
      <c r="O23" s="11"/>
      <c r="P23" s="2">
        <f>--45764.97</f>
        <v>45764.97</v>
      </c>
      <c r="Q23" s="2"/>
      <c r="R23" s="22"/>
      <c r="S23" s="2"/>
      <c r="T23" s="2">
        <f>--30558.65</f>
        <v>30558.65</v>
      </c>
      <c r="U23" s="2"/>
      <c r="V23" s="22"/>
      <c r="W23" s="2"/>
      <c r="X23" s="2">
        <f t="shared" si="2"/>
        <v>15206.32</v>
      </c>
      <c r="Y23" s="2"/>
      <c r="Z23" s="22">
        <f t="shared" si="3"/>
        <v>0.49761098739636728</v>
      </c>
    </row>
    <row r="24" spans="1:26" s="24" customFormat="1" hidden="1" outlineLevel="1" x14ac:dyDescent="0.25">
      <c r="A24" s="50"/>
      <c r="B24" s="11" t="str">
        <f>CONCATENATE("          ", "4152", " - ", "NON-TAXABLE SALES-FOOD")</f>
        <v xml:space="preserve">          4152 - NON-TAXABLE SALES-FOOD</v>
      </c>
      <c r="C24" s="11"/>
      <c r="D24" s="2">
        <f>--3667.09</f>
        <v>3667.09</v>
      </c>
      <c r="E24" s="2"/>
      <c r="F24" s="22"/>
      <c r="G24" s="2"/>
      <c r="H24" s="2">
        <f>--3833.74</f>
        <v>3833.74</v>
      </c>
      <c r="I24" s="2"/>
      <c r="J24" s="22"/>
      <c r="K24" s="2"/>
      <c r="L24" s="2">
        <f t="shared" si="0"/>
        <v>-166.64999999999964</v>
      </c>
      <c r="M24" s="2"/>
      <c r="N24" s="22">
        <f t="shared" si="1"/>
        <v>-4.3469301517578045E-2</v>
      </c>
      <c r="O24" s="11"/>
      <c r="P24" s="2">
        <f>--3667.09</f>
        <v>3667.09</v>
      </c>
      <c r="Q24" s="2"/>
      <c r="R24" s="22"/>
      <c r="S24" s="2"/>
      <c r="T24" s="2">
        <f>--3833.74</f>
        <v>3833.74</v>
      </c>
      <c r="U24" s="2"/>
      <c r="V24" s="22"/>
      <c r="W24" s="2"/>
      <c r="X24" s="2">
        <f t="shared" si="2"/>
        <v>-166.64999999999964</v>
      </c>
      <c r="Y24" s="2"/>
      <c r="Z24" s="22">
        <f t="shared" si="3"/>
        <v>-4.3469301517578045E-2</v>
      </c>
    </row>
    <row r="25" spans="1:26" s="24" customFormat="1" hidden="1" outlineLevel="1" x14ac:dyDescent="0.25">
      <c r="A25" s="50"/>
      <c r="B25" s="11" t="str">
        <f>CONCATENATE("          ", "4153", " - ", "NON-TAXABLE SALES-FOOD")</f>
        <v xml:space="preserve">          4153 - NON-TAXABLE SALES-FOOD</v>
      </c>
      <c r="C25" s="11"/>
      <c r="D25" s="2">
        <f>--237</f>
        <v>237</v>
      </c>
      <c r="E25" s="2"/>
      <c r="F25" s="22"/>
      <c r="G25" s="2"/>
      <c r="H25" s="2">
        <f>--160.25</f>
        <v>160.25</v>
      </c>
      <c r="I25" s="2"/>
      <c r="J25" s="22"/>
      <c r="K25" s="2"/>
      <c r="L25" s="2">
        <f t="shared" si="0"/>
        <v>76.75</v>
      </c>
      <c r="M25" s="2"/>
      <c r="N25" s="22">
        <f t="shared" si="1"/>
        <v>0.47893915756630268</v>
      </c>
      <c r="O25" s="11"/>
      <c r="P25" s="2">
        <f>--237</f>
        <v>237</v>
      </c>
      <c r="Q25" s="2"/>
      <c r="R25" s="22"/>
      <c r="S25" s="2"/>
      <c r="T25" s="2">
        <f>--160.25</f>
        <v>160.25</v>
      </c>
      <c r="U25" s="2"/>
      <c r="V25" s="22"/>
      <c r="W25" s="2"/>
      <c r="X25" s="2">
        <f t="shared" si="2"/>
        <v>76.75</v>
      </c>
      <c r="Y25" s="2"/>
      <c r="Z25" s="22">
        <f t="shared" si="3"/>
        <v>0.47893915756630268</v>
      </c>
    </row>
    <row r="26" spans="1:26" s="24" customFormat="1" hidden="1" outlineLevel="1" x14ac:dyDescent="0.25">
      <c r="A26" s="50"/>
      <c r="B26" s="11" t="str">
        <f>CONCATENATE("          ", "4155", " - ", "NON-TAXABLE SALES-FOOD")</f>
        <v xml:space="preserve">          4155 - NON-TAXABLE SALES-FOOD</v>
      </c>
      <c r="C26" s="11"/>
      <c r="D26" s="2">
        <f>--25636.66</f>
        <v>25636.66</v>
      </c>
      <c r="E26" s="2"/>
      <c r="F26" s="22"/>
      <c r="G26" s="2"/>
      <c r="H26" s="2">
        <f>--22267.51</f>
        <v>22267.51</v>
      </c>
      <c r="I26" s="2"/>
      <c r="J26" s="22"/>
      <c r="K26" s="2"/>
      <c r="L26" s="2">
        <f t="shared" si="0"/>
        <v>3369.1500000000015</v>
      </c>
      <c r="M26" s="2"/>
      <c r="N26" s="22">
        <f t="shared" si="1"/>
        <v>0.15130340123345634</v>
      </c>
      <c r="O26" s="11"/>
      <c r="P26" s="2">
        <f>--25636.66</f>
        <v>25636.66</v>
      </c>
      <c r="Q26" s="2"/>
      <c r="R26" s="22"/>
      <c r="S26" s="2"/>
      <c r="T26" s="2">
        <f>--22267.51</f>
        <v>22267.51</v>
      </c>
      <c r="U26" s="2"/>
      <c r="V26" s="22"/>
      <c r="W26" s="2"/>
      <c r="X26" s="2">
        <f t="shared" si="2"/>
        <v>3369.1500000000015</v>
      </c>
      <c r="Y26" s="2"/>
      <c r="Z26" s="22">
        <f t="shared" si="3"/>
        <v>0.15130340123345634</v>
      </c>
    </row>
    <row r="27" spans="1:26" s="24" customFormat="1" hidden="1" outlineLevel="1" x14ac:dyDescent="0.25">
      <c r="A27" s="50"/>
      <c r="B27" s="11" t="str">
        <f>CONCATENATE("          ", "4158", " - ", "NON-TAXABLE SALES-FOOD")</f>
        <v xml:space="preserve">          4158 - NON-TAXABLE SALES-FOOD</v>
      </c>
      <c r="C27" s="11"/>
      <c r="D27" s="2">
        <f>--9559.69</f>
        <v>9559.69</v>
      </c>
      <c r="E27" s="2"/>
      <c r="F27" s="22"/>
      <c r="G27" s="2"/>
      <c r="H27" s="2">
        <f>--22412.79</f>
        <v>22412.79</v>
      </c>
      <c r="I27" s="2"/>
      <c r="J27" s="22"/>
      <c r="K27" s="2"/>
      <c r="L27" s="2">
        <f t="shared" si="0"/>
        <v>-12853.1</v>
      </c>
      <c r="M27" s="2"/>
      <c r="N27" s="22">
        <f t="shared" si="1"/>
        <v>-0.57347166506267178</v>
      </c>
      <c r="O27" s="11"/>
      <c r="P27" s="2">
        <f>--9559.69</f>
        <v>9559.69</v>
      </c>
      <c r="Q27" s="2"/>
      <c r="R27" s="22"/>
      <c r="S27" s="2"/>
      <c r="T27" s="2">
        <f>--22412.79</f>
        <v>22412.79</v>
      </c>
      <c r="U27" s="2"/>
      <c r="V27" s="22"/>
      <c r="W27" s="2"/>
      <c r="X27" s="2">
        <f t="shared" si="2"/>
        <v>-12853.1</v>
      </c>
      <c r="Y27" s="2"/>
      <c r="Z27" s="22">
        <f t="shared" si="3"/>
        <v>-0.57347166506267178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6" t="s">
        <v>8</v>
      </c>
      <c r="C29" s="10"/>
      <c r="D29" s="4">
        <f>SUM(OSRRefD16x_0)</f>
        <v>94887.55</v>
      </c>
      <c r="E29" s="4"/>
      <c r="F29" s="12">
        <f t="shared" ref="F29:F31" si="4">IF(D$12=0,0,D29/D$12)</f>
        <v>0.39820069405122155</v>
      </c>
      <c r="G29" s="4"/>
      <c r="H29" s="4">
        <f>SUM(OSRRefH16x_0)</f>
        <v>84595.709999999992</v>
      </c>
      <c r="I29" s="4"/>
      <c r="J29" s="12">
        <f t="shared" ref="J29:J31" si="5">IF(H$12=0,0,H29/H$12)</f>
        <v>0.29699591304473605</v>
      </c>
      <c r="K29" s="4"/>
      <c r="L29" s="4">
        <f t="shared" ref="L29:L31" si="6">+D29-H29</f>
        <v>10291.840000000011</v>
      </c>
      <c r="M29" s="4"/>
      <c r="N29" s="12">
        <f t="shared" ref="N29:N31" si="7">IF(H29=0,0,L29/H29)</f>
        <v>0.12165912432202546</v>
      </c>
      <c r="O29" s="10"/>
      <c r="P29" s="4">
        <f>SUM(OSRRefP16x_0)</f>
        <v>94887.55</v>
      </c>
      <c r="Q29" s="4"/>
      <c r="R29" s="12">
        <f t="shared" ref="R29:R31" si="8">IF(P$12=0,0,P29/P$12)</f>
        <v>0.39820069405122155</v>
      </c>
      <c r="S29" s="4"/>
      <c r="T29" s="4">
        <f>SUM(OSRRefT16x_0)</f>
        <v>84595.709999999992</v>
      </c>
      <c r="U29" s="4"/>
      <c r="V29" s="12">
        <f t="shared" ref="V29:V31" si="9">IF(T$12=0,0,T29/T$12)</f>
        <v>0.29699591304473605</v>
      </c>
      <c r="W29" s="4"/>
      <c r="X29" s="4">
        <f t="shared" ref="X29:X31" si="10">+P29-T29</f>
        <v>10291.840000000011</v>
      </c>
      <c r="Y29" s="4"/>
      <c r="Z29" s="12">
        <f t="shared" ref="Z29:Z31" si="11">IF(T29=0,0,X29/T29)</f>
        <v>0.12165912432202546</v>
      </c>
    </row>
    <row r="30" spans="1:26" s="24" customFormat="1" hidden="1" outlineLevel="1" x14ac:dyDescent="0.25">
      <c r="A30" s="50"/>
      <c r="B30" s="11" t="str">
        <f>CONCATENATE("          ", "5053", " - ", "PURCHASES @ COST-FOOD")</f>
        <v xml:space="preserve">          5053 - PURCHASES @ COST-FOOD</v>
      </c>
      <c r="C30" s="11"/>
      <c r="D30" s="2">
        <v>119420.3</v>
      </c>
      <c r="E30" s="2"/>
      <c r="F30" s="22">
        <f t="shared" si="4"/>
        <v>0.50115369554599198</v>
      </c>
      <c r="G30" s="2"/>
      <c r="H30" s="2">
        <v>113701.79</v>
      </c>
      <c r="I30" s="2"/>
      <c r="J30" s="22">
        <f t="shared" si="5"/>
        <v>0.39918060780943665</v>
      </c>
      <c r="K30" s="2"/>
      <c r="L30" s="2">
        <f t="shared" si="6"/>
        <v>5718.5100000000093</v>
      </c>
      <c r="M30" s="2"/>
      <c r="N30" s="22">
        <f t="shared" si="7"/>
        <v>5.0293931168541937E-2</v>
      </c>
      <c r="O30" s="11"/>
      <c r="P30" s="2">
        <v>119420.3</v>
      </c>
      <c r="Q30" s="2"/>
      <c r="R30" s="22">
        <f t="shared" si="8"/>
        <v>0.50115369554599198</v>
      </c>
      <c r="S30" s="2"/>
      <c r="T30" s="2">
        <v>113701.79</v>
      </c>
      <c r="U30" s="2"/>
      <c r="V30" s="22">
        <f t="shared" si="9"/>
        <v>0.39918060780943665</v>
      </c>
      <c r="W30" s="2"/>
      <c r="X30" s="2">
        <f t="shared" si="10"/>
        <v>5718.5100000000093</v>
      </c>
      <c r="Y30" s="2"/>
      <c r="Z30" s="22">
        <f t="shared" si="11"/>
        <v>5.0293931168541937E-2</v>
      </c>
    </row>
    <row r="31" spans="1:26" s="24" customFormat="1" hidden="1" outlineLevel="1" x14ac:dyDescent="0.25">
      <c r="A31" s="50"/>
      <c r="B31" s="11" t="str">
        <f>CONCATENATE("          ", "5059", " - ", "PURCHASES @ COST-FOOD")</f>
        <v xml:space="preserve">          5059 - PURCHASES @ COST-FOOD</v>
      </c>
      <c r="C31" s="11"/>
      <c r="D31" s="2">
        <v>-24532.75</v>
      </c>
      <c r="E31" s="2"/>
      <c r="F31" s="22">
        <f t="shared" si="4"/>
        <v>-0.10295300149477045</v>
      </c>
      <c r="G31" s="2"/>
      <c r="H31" s="2">
        <v>-29106.080000000002</v>
      </c>
      <c r="I31" s="2"/>
      <c r="J31" s="22">
        <f t="shared" si="5"/>
        <v>-0.10218469476470063</v>
      </c>
      <c r="K31" s="2"/>
      <c r="L31" s="2">
        <f t="shared" si="6"/>
        <v>4573.3300000000017</v>
      </c>
      <c r="M31" s="2"/>
      <c r="N31" s="22">
        <f t="shared" si="7"/>
        <v>-0.15712627739633786</v>
      </c>
      <c r="O31" s="11"/>
      <c r="P31" s="2">
        <v>-24532.75</v>
      </c>
      <c r="Q31" s="2"/>
      <c r="R31" s="22">
        <f t="shared" si="8"/>
        <v>-0.10295300149477045</v>
      </c>
      <c r="S31" s="2"/>
      <c r="T31" s="2">
        <v>-29106.080000000002</v>
      </c>
      <c r="U31" s="2"/>
      <c r="V31" s="22">
        <f t="shared" si="9"/>
        <v>-0.10218469476470063</v>
      </c>
      <c r="W31" s="2"/>
      <c r="X31" s="2">
        <f t="shared" si="10"/>
        <v>4573.3300000000017</v>
      </c>
      <c r="Y31" s="2"/>
      <c r="Z31" s="22">
        <f t="shared" si="11"/>
        <v>-0.15712627739633786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5" t="s">
        <v>6</v>
      </c>
      <c r="C33" s="25"/>
      <c r="D33" s="21">
        <f>D12-D29</f>
        <v>143403.21999999997</v>
      </c>
      <c r="E33" s="13"/>
      <c r="F33" s="20">
        <f>IF(D$12=0,0,D33/D$12)</f>
        <v>0.6017993059487784</v>
      </c>
      <c r="G33" s="13"/>
      <c r="H33" s="21">
        <f>H12-H29</f>
        <v>200242.24999999997</v>
      </c>
      <c r="I33" s="13"/>
      <c r="J33" s="20">
        <f>IF(H$12=0,0,H33/H$12)</f>
        <v>0.70300408695526395</v>
      </c>
      <c r="K33" s="16"/>
      <c r="L33" s="21">
        <f>+D33-H33</f>
        <v>-56839.03</v>
      </c>
      <c r="M33" s="16"/>
      <c r="N33" s="20">
        <f>IF(H33=0,0,L33/H33)</f>
        <v>-0.283851335070396</v>
      </c>
      <c r="O33" s="26"/>
      <c r="P33" s="21">
        <f>P12-P29</f>
        <v>143403.21999999997</v>
      </c>
      <c r="Q33" s="13"/>
      <c r="R33" s="20">
        <f>IF(P$12=0,0,P33/P$12)</f>
        <v>0.6017993059487784</v>
      </c>
      <c r="S33" s="13"/>
      <c r="T33" s="21">
        <f>T12-T29</f>
        <v>200242.24999999997</v>
      </c>
      <c r="U33" s="13"/>
      <c r="V33" s="20">
        <f>IF(T$12=0,0,T33/T$12)</f>
        <v>0.70300408695526395</v>
      </c>
      <c r="W33" s="16"/>
      <c r="X33" s="21">
        <f>+P33-T33</f>
        <v>-56839.03</v>
      </c>
      <c r="Y33" s="16"/>
      <c r="Z33" s="20">
        <f>IF(T33=0,0,X33/T33)</f>
        <v>-0.283851335070396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6" t="s">
        <v>9</v>
      </c>
      <c r="C35" s="10"/>
      <c r="D35" s="19">
        <f>SUM(OSRRefD22x_0)</f>
        <v>488483.64</v>
      </c>
      <c r="E35" s="19"/>
      <c r="F35" s="35">
        <f t="shared" ref="F35:F45" si="12">IF(D$12=0,0,D35/D$12)</f>
        <v>2.0499478011674563</v>
      </c>
      <c r="G35" s="19"/>
      <c r="H35" s="19">
        <f>SUM(OSRRefH22x_0)</f>
        <v>450522.68</v>
      </c>
      <c r="I35" s="19"/>
      <c r="J35" s="35">
        <f t="shared" ref="J35:J45" si="13">IF(H$12=0,0,H35/H$12)</f>
        <v>1.5816806158842032</v>
      </c>
      <c r="K35" s="4"/>
      <c r="L35" s="19">
        <f t="shared" ref="L35:L45" si="14">+D35-H35</f>
        <v>37960.960000000021</v>
      </c>
      <c r="M35" s="4"/>
      <c r="N35" s="35">
        <f t="shared" ref="N35:N45" si="15">IF(H35=0,0,L35/H35)</f>
        <v>8.4259820171539476E-2</v>
      </c>
      <c r="O35" s="10"/>
      <c r="P35" s="19">
        <f>SUM(OSRRefP22x_0)</f>
        <v>488483.64</v>
      </c>
      <c r="Q35" s="19"/>
      <c r="R35" s="35">
        <f t="shared" ref="R35:R45" si="16">IF(P$12=0,0,P35/P$12)</f>
        <v>2.0499478011674563</v>
      </c>
      <c r="S35" s="19"/>
      <c r="T35" s="19">
        <f>SUM(OSRRefT22x_0)</f>
        <v>450522.68</v>
      </c>
      <c r="U35" s="19"/>
      <c r="V35" s="35">
        <f t="shared" ref="V35:V45" si="17">IF(T$12=0,0,T35/T$12)</f>
        <v>1.5816806158842032</v>
      </c>
      <c r="W35" s="4"/>
      <c r="X35" s="19">
        <f t="shared" ref="X35:X45" si="18">+P35-T35</f>
        <v>37960.960000000021</v>
      </c>
      <c r="Y35" s="4"/>
      <c r="Z35" s="35">
        <f t="shared" ref="Z35:Z45" si="19">IF(T35=0,0,X35/T35)</f>
        <v>8.4259820171539476E-2</v>
      </c>
    </row>
    <row r="36" spans="1:26" s="28" customFormat="1" outlineLevel="1" collapsed="1" x14ac:dyDescent="0.25">
      <c r="A36" s="27"/>
      <c r="B36" s="14" t="str">
        <f>CONCATENATE("     ","*Benefits                                         ")</f>
        <v xml:space="preserve">     *Benefits                                         </v>
      </c>
      <c r="C36" s="14"/>
      <c r="D36" s="1">
        <f>SUM(OSRRefD22_0x_0)</f>
        <v>80632.23</v>
      </c>
      <c r="E36" s="1"/>
      <c r="F36" s="5">
        <f t="shared" si="12"/>
        <v>0.33837747890948522</v>
      </c>
      <c r="G36" s="1"/>
      <c r="H36" s="1">
        <f>SUM(OSRRefH22_0x_0)</f>
        <v>67309.960000000006</v>
      </c>
      <c r="I36" s="1"/>
      <c r="J36" s="5">
        <f t="shared" si="13"/>
        <v>0.23630965479460678</v>
      </c>
      <c r="K36" s="1"/>
      <c r="L36" s="1">
        <f t="shared" si="14"/>
        <v>13322.26999999999</v>
      </c>
      <c r="M36" s="1"/>
      <c r="N36" s="5">
        <f t="shared" si="15"/>
        <v>0.19792420022237406</v>
      </c>
      <c r="O36" s="14"/>
      <c r="P36" s="1">
        <f>SUM(OSRRefP22_0x_0)</f>
        <v>80632.23</v>
      </c>
      <c r="Q36" s="1"/>
      <c r="R36" s="5">
        <f t="shared" si="16"/>
        <v>0.33837747890948522</v>
      </c>
      <c r="S36" s="1"/>
      <c r="T36" s="1">
        <f>SUM(OSRRefT22_0x_0)</f>
        <v>67309.960000000006</v>
      </c>
      <c r="U36" s="1"/>
      <c r="V36" s="5">
        <f t="shared" si="17"/>
        <v>0.23630965479460678</v>
      </c>
      <c r="W36" s="1"/>
      <c r="X36" s="1">
        <f t="shared" si="18"/>
        <v>13322.26999999999</v>
      </c>
      <c r="Y36" s="1"/>
      <c r="Z36" s="5">
        <f t="shared" si="19"/>
        <v>0.19792420022237406</v>
      </c>
    </row>
    <row r="37" spans="1:26" s="24" customFormat="1" hidden="1" outlineLevel="2" x14ac:dyDescent="0.25">
      <c r="A37" s="29"/>
      <c r="B37" s="11" t="str">
        <f>CONCATENATE("          ", "6111", " - ", "F.I.C.A.")</f>
        <v xml:space="preserve">          6111 - F.I.C.A.</v>
      </c>
      <c r="C37" s="11"/>
      <c r="D37" s="7">
        <v>12663.6</v>
      </c>
      <c r="E37" s="2"/>
      <c r="F37" s="6">
        <f t="shared" si="12"/>
        <v>5.3143476769998269E-2</v>
      </c>
      <c r="G37" s="2"/>
      <c r="H37" s="7">
        <v>11603.93</v>
      </c>
      <c r="I37" s="2"/>
      <c r="J37" s="6">
        <f t="shared" si="13"/>
        <v>4.0738706315689106E-2</v>
      </c>
      <c r="K37" s="2"/>
      <c r="L37" s="7">
        <f t="shared" si="14"/>
        <v>1059.67</v>
      </c>
      <c r="M37" s="2"/>
      <c r="N37" s="6">
        <f t="shared" si="15"/>
        <v>9.1319923508673365E-2</v>
      </c>
      <c r="O37" s="11"/>
      <c r="P37" s="7">
        <v>12663.6</v>
      </c>
      <c r="Q37" s="2"/>
      <c r="R37" s="6">
        <f t="shared" si="16"/>
        <v>5.3143476769998269E-2</v>
      </c>
      <c r="S37" s="2"/>
      <c r="T37" s="7">
        <v>11603.93</v>
      </c>
      <c r="U37" s="2"/>
      <c r="V37" s="6">
        <f t="shared" si="17"/>
        <v>4.0738706315689106E-2</v>
      </c>
      <c r="W37" s="2"/>
      <c r="X37" s="7">
        <f t="shared" si="18"/>
        <v>1059.67</v>
      </c>
      <c r="Y37" s="2"/>
      <c r="Z37" s="6">
        <f t="shared" si="19"/>
        <v>9.1319923508673365E-2</v>
      </c>
    </row>
    <row r="38" spans="1:26" s="24" customFormat="1" hidden="1" outlineLevel="2" x14ac:dyDescent="0.25">
      <c r="A38" s="29"/>
      <c r="B38" s="11" t="str">
        <f>CONCATENATE("          ", "6112", " - ", "COMPENSATION INSURANCE")</f>
        <v xml:space="preserve">          6112 - COMPENSATION INSURANCE</v>
      </c>
      <c r="C38" s="11"/>
      <c r="D38" s="7">
        <v>5646.39</v>
      </c>
      <c r="E38" s="2"/>
      <c r="F38" s="6">
        <f t="shared" si="12"/>
        <v>2.3695378549492288E-2</v>
      </c>
      <c r="G38" s="2"/>
      <c r="H38" s="7">
        <v>6727.8</v>
      </c>
      <c r="I38" s="2"/>
      <c r="J38" s="6">
        <f t="shared" si="13"/>
        <v>2.3619745064878295E-2</v>
      </c>
      <c r="K38" s="2"/>
      <c r="L38" s="7">
        <f t="shared" si="14"/>
        <v>-1081.4099999999999</v>
      </c>
      <c r="M38" s="2"/>
      <c r="N38" s="6">
        <f t="shared" si="15"/>
        <v>-0.16073753678765715</v>
      </c>
      <c r="O38" s="11"/>
      <c r="P38" s="7">
        <v>5646.39</v>
      </c>
      <c r="Q38" s="2"/>
      <c r="R38" s="6">
        <f t="shared" si="16"/>
        <v>2.3695378549492288E-2</v>
      </c>
      <c r="S38" s="2"/>
      <c r="T38" s="7">
        <v>6727.8</v>
      </c>
      <c r="U38" s="2"/>
      <c r="V38" s="6">
        <f t="shared" si="17"/>
        <v>2.3619745064878295E-2</v>
      </c>
      <c r="W38" s="2"/>
      <c r="X38" s="7">
        <f t="shared" si="18"/>
        <v>-1081.4099999999999</v>
      </c>
      <c r="Y38" s="2"/>
      <c r="Z38" s="6">
        <f t="shared" si="19"/>
        <v>-0.16073753678765715</v>
      </c>
    </row>
    <row r="39" spans="1:26" s="24" customFormat="1" hidden="1" outlineLevel="2" x14ac:dyDescent="0.25">
      <c r="A39" s="29"/>
      <c r="B39" s="11" t="str">
        <f>CONCATENATE("          ", "6113", " - ", "GROUP INSURANCE")</f>
        <v xml:space="preserve">          6113 - GROUP INSURANCE</v>
      </c>
      <c r="C39" s="11"/>
      <c r="D39" s="7">
        <v>27448.38</v>
      </c>
      <c r="E39" s="2"/>
      <c r="F39" s="6">
        <f t="shared" si="12"/>
        <v>0.11518859920591973</v>
      </c>
      <c r="G39" s="2"/>
      <c r="H39" s="7">
        <v>11324.35</v>
      </c>
      <c r="I39" s="2"/>
      <c r="J39" s="6">
        <f t="shared" si="13"/>
        <v>3.975716579349186E-2</v>
      </c>
      <c r="K39" s="2"/>
      <c r="L39" s="7">
        <f t="shared" si="14"/>
        <v>16124.03</v>
      </c>
      <c r="M39" s="2"/>
      <c r="N39" s="6">
        <f t="shared" si="15"/>
        <v>1.4238371297248849</v>
      </c>
      <c r="O39" s="11"/>
      <c r="P39" s="7">
        <v>27448.38</v>
      </c>
      <c r="Q39" s="2"/>
      <c r="R39" s="6">
        <f t="shared" si="16"/>
        <v>0.11518859920591973</v>
      </c>
      <c r="S39" s="2"/>
      <c r="T39" s="7">
        <v>11324.35</v>
      </c>
      <c r="U39" s="2"/>
      <c r="V39" s="6">
        <f t="shared" si="17"/>
        <v>3.975716579349186E-2</v>
      </c>
      <c r="W39" s="2"/>
      <c r="X39" s="7">
        <f t="shared" si="18"/>
        <v>16124.03</v>
      </c>
      <c r="Y39" s="2"/>
      <c r="Z39" s="6">
        <f t="shared" si="19"/>
        <v>1.4238371297248849</v>
      </c>
    </row>
    <row r="40" spans="1:26" s="24" customFormat="1" hidden="1" outlineLevel="2" x14ac:dyDescent="0.25">
      <c r="A40" s="29"/>
      <c r="B40" s="11" t="str">
        <f>CONCATENATE("          ", "6114", " - ", "STATE UNEMPLOYMENT INSURANCE")</f>
        <v xml:space="preserve">          6114 - STATE UNEMPLOYMENT INSURANCE</v>
      </c>
      <c r="C40" s="11"/>
      <c r="D40" s="7">
        <v>427.88</v>
      </c>
      <c r="E40" s="2"/>
      <c r="F40" s="6">
        <f t="shared" si="12"/>
        <v>1.7956213746759893E-3</v>
      </c>
      <c r="G40" s="2"/>
      <c r="H40" s="7">
        <v>589.70000000000005</v>
      </c>
      <c r="I40" s="2"/>
      <c r="J40" s="6">
        <f t="shared" si="13"/>
        <v>2.0702998996341643E-3</v>
      </c>
      <c r="K40" s="2"/>
      <c r="L40" s="7">
        <f t="shared" si="14"/>
        <v>-161.82000000000005</v>
      </c>
      <c r="M40" s="2"/>
      <c r="N40" s="6">
        <f t="shared" si="15"/>
        <v>-0.2744107173138885</v>
      </c>
      <c r="O40" s="11"/>
      <c r="P40" s="7">
        <v>427.88</v>
      </c>
      <c r="Q40" s="2"/>
      <c r="R40" s="6">
        <f t="shared" si="16"/>
        <v>1.7956213746759893E-3</v>
      </c>
      <c r="S40" s="2"/>
      <c r="T40" s="7">
        <v>589.70000000000005</v>
      </c>
      <c r="U40" s="2"/>
      <c r="V40" s="6">
        <f t="shared" si="17"/>
        <v>2.0702998996341643E-3</v>
      </c>
      <c r="W40" s="2"/>
      <c r="X40" s="7">
        <f t="shared" si="18"/>
        <v>-161.82000000000005</v>
      </c>
      <c r="Y40" s="2"/>
      <c r="Z40" s="6">
        <f t="shared" si="19"/>
        <v>-0.2744107173138885</v>
      </c>
    </row>
    <row r="41" spans="1:26" s="24" customFormat="1" hidden="1" outlineLevel="2" x14ac:dyDescent="0.25">
      <c r="A41" s="29"/>
      <c r="B41" s="11" t="str">
        <f>CONCATENATE("          ", "6115", " - ", "P.E.R.S.")</f>
        <v xml:space="preserve">          6115 - P.E.R.S.</v>
      </c>
      <c r="C41" s="11"/>
      <c r="D41" s="7">
        <v>7277.48</v>
      </c>
      <c r="E41" s="2"/>
      <c r="F41" s="6">
        <f t="shared" si="12"/>
        <v>3.0540335238330885E-2</v>
      </c>
      <c r="G41" s="2"/>
      <c r="H41" s="7">
        <v>10638.16</v>
      </c>
      <c r="I41" s="2"/>
      <c r="J41" s="6">
        <f t="shared" si="13"/>
        <v>3.7348111887895843E-2</v>
      </c>
      <c r="K41" s="2"/>
      <c r="L41" s="7">
        <f t="shared" si="14"/>
        <v>-3360.6800000000003</v>
      </c>
      <c r="M41" s="2"/>
      <c r="N41" s="6">
        <f t="shared" si="15"/>
        <v>-0.31590801416786363</v>
      </c>
      <c r="O41" s="11"/>
      <c r="P41" s="7">
        <v>7277.48</v>
      </c>
      <c r="Q41" s="2"/>
      <c r="R41" s="6">
        <f t="shared" si="16"/>
        <v>3.0540335238330885E-2</v>
      </c>
      <c r="S41" s="2"/>
      <c r="T41" s="7">
        <v>10638.16</v>
      </c>
      <c r="U41" s="2"/>
      <c r="V41" s="6">
        <f t="shared" si="17"/>
        <v>3.7348111887895843E-2</v>
      </c>
      <c r="W41" s="2"/>
      <c r="X41" s="7">
        <f t="shared" si="18"/>
        <v>-3360.6800000000003</v>
      </c>
      <c r="Y41" s="2"/>
      <c r="Z41" s="6">
        <f t="shared" si="19"/>
        <v>-0.31590801416786363</v>
      </c>
    </row>
    <row r="42" spans="1:26" s="24" customFormat="1" hidden="1" outlineLevel="2" x14ac:dyDescent="0.25">
      <c r="A42" s="29"/>
      <c r="B42" s="11" t="str">
        <f>CONCATENATE("          ", "6117", " - ", "RETIREMENT STAFF HOURLY")</f>
        <v xml:space="preserve">          6117 - RETIREMENT STAFF HOURLY</v>
      </c>
      <c r="C42" s="11"/>
      <c r="D42" s="7">
        <v>56</v>
      </c>
      <c r="E42" s="2"/>
      <c r="F42" s="6">
        <f t="shared" si="12"/>
        <v>2.350070042578653E-4</v>
      </c>
      <c r="G42" s="2"/>
      <c r="H42" s="7">
        <v>56</v>
      </c>
      <c r="I42" s="2"/>
      <c r="J42" s="6">
        <f t="shared" si="13"/>
        <v>1.9660300895287975E-4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>
        <v>56</v>
      </c>
      <c r="Q42" s="2"/>
      <c r="R42" s="6">
        <f t="shared" si="16"/>
        <v>2.350070042578653E-4</v>
      </c>
      <c r="S42" s="2"/>
      <c r="T42" s="7">
        <v>56</v>
      </c>
      <c r="U42" s="2"/>
      <c r="V42" s="6">
        <f t="shared" si="17"/>
        <v>1.9660300895287975E-4</v>
      </c>
      <c r="W42" s="2"/>
      <c r="X42" s="7">
        <f t="shared" si="18"/>
        <v>0</v>
      </c>
      <c r="Y42" s="2"/>
      <c r="Z42" s="6">
        <f t="shared" si="19"/>
        <v>0</v>
      </c>
    </row>
    <row r="43" spans="1:26" s="24" customFormat="1" hidden="1" outlineLevel="2" x14ac:dyDescent="0.25">
      <c r="A43" s="29"/>
      <c r="B43" s="11" t="str">
        <f>CONCATENATE("          ", "6118", " - ", "VACATION")</f>
        <v xml:space="preserve">          6118 - VACATION</v>
      </c>
      <c r="C43" s="11"/>
      <c r="D43" s="7">
        <v>9883.57</v>
      </c>
      <c r="E43" s="2"/>
      <c r="F43" s="6">
        <f t="shared" si="12"/>
        <v>4.1476931733444813E-2</v>
      </c>
      <c r="G43" s="2"/>
      <c r="H43" s="7">
        <v>9756.82</v>
      </c>
      <c r="I43" s="2"/>
      <c r="J43" s="6">
        <f t="shared" si="13"/>
        <v>3.4253931603779215E-2</v>
      </c>
      <c r="K43" s="2"/>
      <c r="L43" s="7">
        <f t="shared" si="14"/>
        <v>126.75</v>
      </c>
      <c r="M43" s="2"/>
      <c r="N43" s="6">
        <f t="shared" si="15"/>
        <v>1.2990913022890656E-2</v>
      </c>
      <c r="O43" s="11"/>
      <c r="P43" s="7">
        <v>9883.57</v>
      </c>
      <c r="Q43" s="2"/>
      <c r="R43" s="6">
        <f t="shared" si="16"/>
        <v>4.1476931733444813E-2</v>
      </c>
      <c r="S43" s="2"/>
      <c r="T43" s="7">
        <v>9756.82</v>
      </c>
      <c r="U43" s="2"/>
      <c r="V43" s="6">
        <f t="shared" si="17"/>
        <v>3.4253931603779215E-2</v>
      </c>
      <c r="W43" s="2"/>
      <c r="X43" s="7">
        <f t="shared" si="18"/>
        <v>126.75</v>
      </c>
      <c r="Y43" s="2"/>
      <c r="Z43" s="6">
        <f t="shared" si="19"/>
        <v>1.2990913022890656E-2</v>
      </c>
    </row>
    <row r="44" spans="1:26" s="24" customFormat="1" hidden="1" outlineLevel="2" x14ac:dyDescent="0.25">
      <c r="A44" s="29"/>
      <c r="B44" s="11" t="str">
        <f>CONCATENATE("          ", "6119", " - ", "SICK LEAVE")</f>
        <v xml:space="preserve">          6119 - SICK LEAVE</v>
      </c>
      <c r="C44" s="11"/>
      <c r="D44" s="7">
        <v>14583.42</v>
      </c>
      <c r="E44" s="2"/>
      <c r="F44" s="6">
        <f t="shared" si="12"/>
        <v>6.1200104393468541E-2</v>
      </c>
      <c r="G44" s="2"/>
      <c r="H44" s="7">
        <v>13829.19</v>
      </c>
      <c r="I44" s="2"/>
      <c r="J44" s="6">
        <f t="shared" si="13"/>
        <v>4.855107795323349E-2</v>
      </c>
      <c r="K44" s="2"/>
      <c r="L44" s="7">
        <f t="shared" si="14"/>
        <v>754.22999999999956</v>
      </c>
      <c r="M44" s="2"/>
      <c r="N44" s="6">
        <f t="shared" si="15"/>
        <v>5.4538986014365236E-2</v>
      </c>
      <c r="O44" s="11"/>
      <c r="P44" s="7">
        <v>14583.42</v>
      </c>
      <c r="Q44" s="2"/>
      <c r="R44" s="6">
        <f t="shared" si="16"/>
        <v>6.1200104393468541E-2</v>
      </c>
      <c r="S44" s="2"/>
      <c r="T44" s="7">
        <v>13829.19</v>
      </c>
      <c r="U44" s="2"/>
      <c r="V44" s="6">
        <f t="shared" si="17"/>
        <v>4.855107795323349E-2</v>
      </c>
      <c r="W44" s="2"/>
      <c r="X44" s="7">
        <f t="shared" si="18"/>
        <v>754.22999999999956</v>
      </c>
      <c r="Y44" s="2"/>
      <c r="Z44" s="6">
        <f t="shared" si="19"/>
        <v>5.4538986014365236E-2</v>
      </c>
    </row>
    <row r="45" spans="1:26" s="24" customFormat="1" hidden="1" outlineLevel="2" x14ac:dyDescent="0.25">
      <c r="A45" s="29"/>
      <c r="B45" s="11" t="str">
        <f>CONCATENATE("          ", "6156", " - ", "EMPLOYEE MEALS")</f>
        <v xml:space="preserve">          6156 - EMPLOYEE MEALS</v>
      </c>
      <c r="C45" s="11"/>
      <c r="D45" s="7">
        <v>2645.51</v>
      </c>
      <c r="E45" s="2"/>
      <c r="F45" s="6">
        <f t="shared" si="12"/>
        <v>1.1102024639896881E-2</v>
      </c>
      <c r="G45" s="2"/>
      <c r="H45" s="7">
        <v>2784.01</v>
      </c>
      <c r="I45" s="2"/>
      <c r="J45" s="6">
        <f t="shared" si="13"/>
        <v>9.7740132670519082E-3</v>
      </c>
      <c r="K45" s="2"/>
      <c r="L45" s="7">
        <f t="shared" si="14"/>
        <v>-138.5</v>
      </c>
      <c r="M45" s="2"/>
      <c r="N45" s="6">
        <f t="shared" si="15"/>
        <v>-4.9748384524480868E-2</v>
      </c>
      <c r="O45" s="11"/>
      <c r="P45" s="7">
        <v>2645.51</v>
      </c>
      <c r="Q45" s="2"/>
      <c r="R45" s="6">
        <f t="shared" si="16"/>
        <v>1.1102024639896881E-2</v>
      </c>
      <c r="S45" s="2"/>
      <c r="T45" s="7">
        <v>2784.01</v>
      </c>
      <c r="U45" s="2"/>
      <c r="V45" s="6">
        <f t="shared" si="17"/>
        <v>9.7740132670519082E-3</v>
      </c>
      <c r="W45" s="2"/>
      <c r="X45" s="7">
        <f t="shared" si="18"/>
        <v>-138.5</v>
      </c>
      <c r="Y45" s="2"/>
      <c r="Z45" s="6">
        <f t="shared" si="19"/>
        <v>-4.9748384524480868E-2</v>
      </c>
    </row>
    <row r="46" spans="1:26" s="28" customFormat="1" outlineLevel="1" collapsed="1" x14ac:dyDescent="0.25">
      <c r="A46" s="27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198123.83999999997</v>
      </c>
      <c r="E46" s="1"/>
      <c r="F46" s="5">
        <f t="shared" ref="F46:F53" si="20">IF(D$12=0,0,D46/D$12)</f>
        <v>0.83143732340115384</v>
      </c>
      <c r="G46" s="1"/>
      <c r="H46" s="1">
        <f>SUM(OSRRefH22_1x_0)</f>
        <v>176387.87999999998</v>
      </c>
      <c r="I46" s="1"/>
      <c r="J46" s="5">
        <f t="shared" ref="J46:J53" si="21">IF(H$12=0,0,H46/H$12)</f>
        <v>0.61925692769320495</v>
      </c>
      <c r="K46" s="1"/>
      <c r="L46" s="1">
        <f t="shared" ref="L46:L53" si="22">+D46-H46</f>
        <v>21735.959999999992</v>
      </c>
      <c r="M46" s="1"/>
      <c r="N46" s="5">
        <f t="shared" ref="N46:N53" si="23">IF(H46=0,0,L46/H46)</f>
        <v>0.12322819459024052</v>
      </c>
      <c r="O46" s="14"/>
      <c r="P46" s="1">
        <f>SUM(OSRRefP22_1x_0)</f>
        <v>198123.83999999997</v>
      </c>
      <c r="Q46" s="1"/>
      <c r="R46" s="5">
        <f t="shared" ref="R46:R53" si="24">IF(P$12=0,0,P46/P$12)</f>
        <v>0.83143732340115384</v>
      </c>
      <c r="S46" s="1"/>
      <c r="T46" s="1">
        <f>SUM(OSRRefT22_1x_0)</f>
        <v>176387.87999999998</v>
      </c>
      <c r="U46" s="1"/>
      <c r="V46" s="5">
        <f t="shared" ref="V46:V53" si="25">IF(T$12=0,0,T46/T$12)</f>
        <v>0.61925692769320495</v>
      </c>
      <c r="W46" s="1"/>
      <c r="X46" s="1">
        <f t="shared" ref="X46:X53" si="26">+P46-T46</f>
        <v>21735.959999999992</v>
      </c>
      <c r="Y46" s="1"/>
      <c r="Z46" s="5">
        <f t="shared" ref="Z46:Z53" si="27">IF(T46=0,0,X46/T46)</f>
        <v>0.12322819459024052</v>
      </c>
    </row>
    <row r="47" spans="1:26" s="24" customFormat="1" hidden="1" outlineLevel="2" x14ac:dyDescent="0.25">
      <c r="A47" s="29"/>
      <c r="B47" s="11" t="str">
        <f>CONCATENATE("          ", "6001", " - ", "ADMINISTRATIVE SALARIES")</f>
        <v xml:space="preserve">          6001 - ADMINISTRATIVE SALARIES</v>
      </c>
      <c r="C47" s="11"/>
      <c r="D47" s="7">
        <v>20426.670000000002</v>
      </c>
      <c r="E47" s="2"/>
      <c r="F47" s="6">
        <f t="shared" si="20"/>
        <v>8.5721616494000175E-2</v>
      </c>
      <c r="G47" s="2"/>
      <c r="H47" s="7">
        <v>17438.16</v>
      </c>
      <c r="I47" s="2"/>
      <c r="J47" s="6">
        <f t="shared" si="21"/>
        <v>6.1221334403602674E-2</v>
      </c>
      <c r="K47" s="2"/>
      <c r="L47" s="7">
        <f t="shared" si="22"/>
        <v>2988.510000000002</v>
      </c>
      <c r="M47" s="2"/>
      <c r="N47" s="6">
        <f t="shared" si="23"/>
        <v>0.17137759947150399</v>
      </c>
      <c r="O47" s="11"/>
      <c r="P47" s="7">
        <v>20426.670000000002</v>
      </c>
      <c r="Q47" s="2"/>
      <c r="R47" s="6">
        <f t="shared" si="24"/>
        <v>8.5721616494000175E-2</v>
      </c>
      <c r="S47" s="2"/>
      <c r="T47" s="7">
        <v>17438.16</v>
      </c>
      <c r="U47" s="2"/>
      <c r="V47" s="6">
        <f t="shared" si="25"/>
        <v>6.1221334403602674E-2</v>
      </c>
      <c r="W47" s="2"/>
      <c r="X47" s="7">
        <f t="shared" si="26"/>
        <v>2988.510000000002</v>
      </c>
      <c r="Y47" s="2"/>
      <c r="Z47" s="6">
        <f t="shared" si="27"/>
        <v>0.17137759947150399</v>
      </c>
    </row>
    <row r="48" spans="1:26" s="24" customFormat="1" hidden="1" outlineLevel="2" x14ac:dyDescent="0.25">
      <c r="A48" s="29"/>
      <c r="B48" s="11" t="str">
        <f>CONCATENATE("          ", "6002", " - ", "STAFF SALARIES")</f>
        <v xml:space="preserve">          6002 - STAFF SALARIES</v>
      </c>
      <c r="C48" s="11"/>
      <c r="D48" s="7">
        <v>77310.349999999991</v>
      </c>
      <c r="E48" s="2"/>
      <c r="F48" s="6">
        <f t="shared" si="20"/>
        <v>0.32443703127905454</v>
      </c>
      <c r="G48" s="2"/>
      <c r="H48" s="7">
        <v>78341.78</v>
      </c>
      <c r="I48" s="2"/>
      <c r="J48" s="6">
        <f t="shared" si="21"/>
        <v>0.27503981562008101</v>
      </c>
      <c r="K48" s="2"/>
      <c r="L48" s="7">
        <f t="shared" si="22"/>
        <v>-1031.4300000000076</v>
      </c>
      <c r="M48" s="2"/>
      <c r="N48" s="6">
        <f t="shared" si="23"/>
        <v>-1.3165771826986923E-2</v>
      </c>
      <c r="O48" s="11"/>
      <c r="P48" s="7">
        <v>77310.349999999991</v>
      </c>
      <c r="Q48" s="2"/>
      <c r="R48" s="6">
        <f t="shared" si="24"/>
        <v>0.32443703127905454</v>
      </c>
      <c r="S48" s="2"/>
      <c r="T48" s="7">
        <v>78341.78</v>
      </c>
      <c r="U48" s="2"/>
      <c r="V48" s="6">
        <f t="shared" si="25"/>
        <v>0.27503981562008101</v>
      </c>
      <c r="W48" s="2"/>
      <c r="X48" s="7">
        <f t="shared" si="26"/>
        <v>-1031.4300000000076</v>
      </c>
      <c r="Y48" s="2"/>
      <c r="Z48" s="6">
        <f t="shared" si="27"/>
        <v>-1.3165771826986923E-2</v>
      </c>
    </row>
    <row r="49" spans="1:26" s="24" customFormat="1" hidden="1" outlineLevel="2" x14ac:dyDescent="0.25">
      <c r="A49" s="29"/>
      <c r="B49" s="11" t="str">
        <f>CONCATENATE("          ", "6004", " - ", "STAFF HOURLY")</f>
        <v xml:space="preserve">          6004 - STAFF HOURLY</v>
      </c>
      <c r="C49" s="11"/>
      <c r="D49" s="7">
        <v>15310.009999999998</v>
      </c>
      <c r="E49" s="2"/>
      <c r="F49" s="6">
        <f t="shared" si="20"/>
        <v>6.4249278308177851E-2</v>
      </c>
      <c r="G49" s="2"/>
      <c r="H49" s="7">
        <v>8047.93</v>
      </c>
      <c r="I49" s="2"/>
      <c r="J49" s="6">
        <f t="shared" si="21"/>
        <v>2.8254415247181246E-2</v>
      </c>
      <c r="K49" s="2"/>
      <c r="L49" s="7">
        <f t="shared" si="22"/>
        <v>7262.0799999999981</v>
      </c>
      <c r="M49" s="2"/>
      <c r="N49" s="6">
        <f t="shared" si="23"/>
        <v>0.90235377295776653</v>
      </c>
      <c r="O49" s="11"/>
      <c r="P49" s="7">
        <v>15310.009999999998</v>
      </c>
      <c r="Q49" s="2"/>
      <c r="R49" s="6">
        <f t="shared" si="24"/>
        <v>6.4249278308177851E-2</v>
      </c>
      <c r="S49" s="2"/>
      <c r="T49" s="7">
        <v>8047.93</v>
      </c>
      <c r="U49" s="2"/>
      <c r="V49" s="6">
        <f t="shared" si="25"/>
        <v>2.8254415247181246E-2</v>
      </c>
      <c r="W49" s="2"/>
      <c r="X49" s="7">
        <f t="shared" si="26"/>
        <v>7262.0799999999981</v>
      </c>
      <c r="Y49" s="2"/>
      <c r="Z49" s="6">
        <f t="shared" si="27"/>
        <v>0.90235377295776653</v>
      </c>
    </row>
    <row r="50" spans="1:26" s="24" customFormat="1" hidden="1" outlineLevel="2" x14ac:dyDescent="0.25">
      <c r="A50" s="29"/>
      <c r="B50" s="11" t="str">
        <f>CONCATENATE("          ", "6005", " - ", "TEMPORARY WAGES-HOURLY")</f>
        <v xml:space="preserve">          6005 - TEMPORARY WAGES-HOURLY</v>
      </c>
      <c r="C50" s="11"/>
      <c r="D50" s="7">
        <v>30780.25</v>
      </c>
      <c r="E50" s="2"/>
      <c r="F50" s="6">
        <f t="shared" si="20"/>
        <v>0.12917097040728856</v>
      </c>
      <c r="G50" s="2"/>
      <c r="H50" s="7">
        <v>26637.37</v>
      </c>
      <c r="I50" s="2"/>
      <c r="J50" s="6">
        <f t="shared" si="21"/>
        <v>9.351762665341376E-2</v>
      </c>
      <c r="K50" s="2"/>
      <c r="L50" s="7">
        <f t="shared" si="22"/>
        <v>4142.880000000001</v>
      </c>
      <c r="M50" s="2"/>
      <c r="N50" s="6">
        <f t="shared" si="23"/>
        <v>0.15552886790249942</v>
      </c>
      <c r="O50" s="11"/>
      <c r="P50" s="7">
        <v>30780.25</v>
      </c>
      <c r="Q50" s="2"/>
      <c r="R50" s="6">
        <f t="shared" si="24"/>
        <v>0.12917097040728856</v>
      </c>
      <c r="S50" s="2"/>
      <c r="T50" s="7">
        <v>26637.37</v>
      </c>
      <c r="U50" s="2"/>
      <c r="V50" s="6">
        <f t="shared" si="25"/>
        <v>9.351762665341376E-2</v>
      </c>
      <c r="W50" s="2"/>
      <c r="X50" s="7">
        <f t="shared" si="26"/>
        <v>4142.880000000001</v>
      </c>
      <c r="Y50" s="2"/>
      <c r="Z50" s="6">
        <f t="shared" si="27"/>
        <v>0.15552886790249942</v>
      </c>
    </row>
    <row r="51" spans="1:26" s="24" customFormat="1" hidden="1" outlineLevel="2" x14ac:dyDescent="0.25">
      <c r="A51" s="29"/>
      <c r="B51" s="11" t="str">
        <f>CONCATENATE("          ", "6006", " - ", "TEMPORARY PART TIME")</f>
        <v xml:space="preserve">          6006 - TEMPORARY PART TIME</v>
      </c>
      <c r="C51" s="11"/>
      <c r="D51" s="7">
        <v>2977.39</v>
      </c>
      <c r="E51" s="2"/>
      <c r="F51" s="6">
        <f t="shared" si="20"/>
        <v>1.2494776864416527E-2</v>
      </c>
      <c r="G51" s="2"/>
      <c r="H51" s="7">
        <v>1989.47</v>
      </c>
      <c r="I51" s="2"/>
      <c r="J51" s="6">
        <f t="shared" si="21"/>
        <v>6.9845676468122449E-3</v>
      </c>
      <c r="K51" s="2"/>
      <c r="L51" s="7">
        <f t="shared" si="22"/>
        <v>987.91999999999985</v>
      </c>
      <c r="M51" s="2"/>
      <c r="N51" s="6">
        <f t="shared" si="23"/>
        <v>0.49657446455588666</v>
      </c>
      <c r="O51" s="11"/>
      <c r="P51" s="7">
        <v>2977.39</v>
      </c>
      <c r="Q51" s="2"/>
      <c r="R51" s="6">
        <f t="shared" si="24"/>
        <v>1.2494776864416527E-2</v>
      </c>
      <c r="S51" s="2"/>
      <c r="T51" s="7">
        <v>1989.47</v>
      </c>
      <c r="U51" s="2"/>
      <c r="V51" s="6">
        <f t="shared" si="25"/>
        <v>6.9845676468122449E-3</v>
      </c>
      <c r="W51" s="2"/>
      <c r="X51" s="7">
        <f t="shared" si="26"/>
        <v>987.91999999999985</v>
      </c>
      <c r="Y51" s="2"/>
      <c r="Z51" s="6">
        <f t="shared" si="27"/>
        <v>0.49657446455588666</v>
      </c>
    </row>
    <row r="52" spans="1:26" s="24" customFormat="1" hidden="1" outlineLevel="2" x14ac:dyDescent="0.25">
      <c r="A52" s="29"/>
      <c r="B52" s="11" t="str">
        <f>CONCATENATE("          ", "6007", " - ", "STUDENT HOURLY")</f>
        <v xml:space="preserve">          6007 - STUDENT HOURLY</v>
      </c>
      <c r="C52" s="11"/>
      <c r="D52" s="7">
        <v>48793.15</v>
      </c>
      <c r="E52" s="2"/>
      <c r="F52" s="6">
        <f t="shared" si="20"/>
        <v>0.20476307160365467</v>
      </c>
      <c r="G52" s="2"/>
      <c r="H52" s="7">
        <v>39932.839999999997</v>
      </c>
      <c r="I52" s="2"/>
      <c r="J52" s="6">
        <f t="shared" si="21"/>
        <v>0.1401949375006056</v>
      </c>
      <c r="K52" s="2"/>
      <c r="L52" s="7">
        <f t="shared" si="22"/>
        <v>8860.3100000000049</v>
      </c>
      <c r="M52" s="2"/>
      <c r="N52" s="6">
        <f t="shared" si="23"/>
        <v>0.22188028700187629</v>
      </c>
      <c r="O52" s="11"/>
      <c r="P52" s="7">
        <v>48793.15</v>
      </c>
      <c r="Q52" s="2"/>
      <c r="R52" s="6">
        <f t="shared" si="24"/>
        <v>0.20476307160365467</v>
      </c>
      <c r="S52" s="2"/>
      <c r="T52" s="7">
        <v>39932.839999999997</v>
      </c>
      <c r="U52" s="2"/>
      <c r="V52" s="6">
        <f t="shared" si="25"/>
        <v>0.1401949375006056</v>
      </c>
      <c r="W52" s="2"/>
      <c r="X52" s="7">
        <f t="shared" si="26"/>
        <v>8860.3100000000049</v>
      </c>
      <c r="Y52" s="2"/>
      <c r="Z52" s="6">
        <f t="shared" si="27"/>
        <v>0.22188028700187629</v>
      </c>
    </row>
    <row r="53" spans="1:26" s="24" customFormat="1" hidden="1" outlineLevel="2" x14ac:dyDescent="0.25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7">
        <v>2526.02</v>
      </c>
      <c r="E53" s="2"/>
      <c r="F53" s="6">
        <f t="shared" si="20"/>
        <v>1.0600578444561659E-2</v>
      </c>
      <c r="G53" s="2"/>
      <c r="H53" s="7">
        <v>4000.33</v>
      </c>
      <c r="I53" s="2"/>
      <c r="J53" s="6">
        <f t="shared" si="21"/>
        <v>1.4044230621508455E-2</v>
      </c>
      <c r="K53" s="2"/>
      <c r="L53" s="7">
        <f t="shared" si="22"/>
        <v>-1474.31</v>
      </c>
      <c r="M53" s="2"/>
      <c r="N53" s="6">
        <f t="shared" si="23"/>
        <v>-0.36854709486467363</v>
      </c>
      <c r="O53" s="11"/>
      <c r="P53" s="7">
        <v>2526.02</v>
      </c>
      <c r="Q53" s="2"/>
      <c r="R53" s="6">
        <f t="shared" si="24"/>
        <v>1.0600578444561659E-2</v>
      </c>
      <c r="S53" s="2"/>
      <c r="T53" s="7">
        <v>4000.33</v>
      </c>
      <c r="U53" s="2"/>
      <c r="V53" s="6">
        <f t="shared" si="25"/>
        <v>1.4044230621508455E-2</v>
      </c>
      <c r="W53" s="2"/>
      <c r="X53" s="7">
        <f t="shared" si="26"/>
        <v>-1474.31</v>
      </c>
      <c r="Y53" s="2"/>
      <c r="Z53" s="6">
        <f t="shared" si="27"/>
        <v>-0.36854709486467363</v>
      </c>
    </row>
    <row r="54" spans="1:26" s="28" customFormat="1" outlineLevel="1" collapsed="1" x14ac:dyDescent="0.25">
      <c r="A54" s="27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3048.45</v>
      </c>
      <c r="E54" s="1"/>
      <c r="F54" s="5">
        <f t="shared" ref="F54:F63" si="28">IF(D$12=0,0,D54/D$12)</f>
        <v>1.2792983966605168E-2</v>
      </c>
      <c r="G54" s="1"/>
      <c r="H54" s="1">
        <f>SUM(OSRRefH22_2x_0)</f>
        <v>2409.0700000000002</v>
      </c>
      <c r="I54" s="1"/>
      <c r="J54" s="5">
        <f t="shared" ref="J54:J63" si="29">IF(H$12=0,0,H54/H$12)</f>
        <v>8.4576859067520375E-3</v>
      </c>
      <c r="K54" s="1"/>
      <c r="L54" s="1">
        <f t="shared" ref="L54:L63" si="30">+D54-H54</f>
        <v>639.37999999999965</v>
      </c>
      <c r="M54" s="1"/>
      <c r="N54" s="5">
        <f t="shared" ref="N54:N63" si="31">IF(H54=0,0,L54/H54)</f>
        <v>0.26540532238581677</v>
      </c>
      <c r="O54" s="14"/>
      <c r="P54" s="1">
        <f>SUM(OSRRefP22_2x_0)</f>
        <v>3048.45</v>
      </c>
      <c r="Q54" s="1"/>
      <c r="R54" s="5">
        <f t="shared" ref="R54:R63" si="32">IF(P$12=0,0,P54/P$12)</f>
        <v>1.2792983966605168E-2</v>
      </c>
      <c r="S54" s="1"/>
      <c r="T54" s="1">
        <f>SUM(OSRRefT22_2x_0)</f>
        <v>2409.0700000000002</v>
      </c>
      <c r="U54" s="1"/>
      <c r="V54" s="5">
        <f t="shared" ref="V54:V63" si="33">IF(T$12=0,0,T54/T$12)</f>
        <v>8.4576859067520375E-3</v>
      </c>
      <c r="W54" s="1"/>
      <c r="X54" s="1">
        <f t="shared" ref="X54:X63" si="34">+P54-T54</f>
        <v>639.37999999999965</v>
      </c>
      <c r="Y54" s="1"/>
      <c r="Z54" s="5">
        <f t="shared" ref="Z54:Z63" si="35">IF(T54=0,0,X54/T54)</f>
        <v>0.26540532238581677</v>
      </c>
    </row>
    <row r="55" spans="1:26" s="24" customFormat="1" hidden="1" outlineLevel="2" x14ac:dyDescent="0.25">
      <c r="A55" s="29"/>
      <c r="B55" s="11" t="str">
        <f>CONCATENATE("          ", "6362", " - ", "ADVERTISING EXPENSE")</f>
        <v xml:space="preserve">          6362 - ADVERTISING EXPENSE</v>
      </c>
      <c r="C55" s="11"/>
      <c r="D55" s="7">
        <v>3048.45</v>
      </c>
      <c r="E55" s="2"/>
      <c r="F55" s="6">
        <f t="shared" si="28"/>
        <v>1.2792983966605168E-2</v>
      </c>
      <c r="G55" s="2"/>
      <c r="H55" s="7">
        <v>2409.0700000000002</v>
      </c>
      <c r="I55" s="2"/>
      <c r="J55" s="6">
        <f t="shared" si="29"/>
        <v>8.4576859067520375E-3</v>
      </c>
      <c r="K55" s="2"/>
      <c r="L55" s="7">
        <f t="shared" si="30"/>
        <v>639.37999999999965</v>
      </c>
      <c r="M55" s="2"/>
      <c r="N55" s="6">
        <f t="shared" si="31"/>
        <v>0.26540532238581677</v>
      </c>
      <c r="O55" s="11"/>
      <c r="P55" s="7">
        <v>3048.45</v>
      </c>
      <c r="Q55" s="2"/>
      <c r="R55" s="6">
        <f t="shared" si="32"/>
        <v>1.2792983966605168E-2</v>
      </c>
      <c r="S55" s="2"/>
      <c r="T55" s="7">
        <v>2409.0700000000002</v>
      </c>
      <c r="U55" s="2"/>
      <c r="V55" s="6">
        <f t="shared" si="33"/>
        <v>8.4576859067520375E-3</v>
      </c>
      <c r="W55" s="2"/>
      <c r="X55" s="7">
        <f t="shared" si="34"/>
        <v>639.37999999999965</v>
      </c>
      <c r="Y55" s="2"/>
      <c r="Z55" s="6">
        <f t="shared" si="35"/>
        <v>0.26540532238581677</v>
      </c>
    </row>
    <row r="56" spans="1:26" s="28" customFormat="1" outlineLevel="1" collapsed="1" x14ac:dyDescent="0.25">
      <c r="A56" s="27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-20.76</v>
      </c>
      <c r="E56" s="1"/>
      <c r="F56" s="5">
        <f t="shared" si="28"/>
        <v>-8.7120453721308645E-5</v>
      </c>
      <c r="G56" s="1"/>
      <c r="H56" s="1">
        <f>SUM(OSRRefH22_3x_0)</f>
        <v>-23.13</v>
      </c>
      <c r="I56" s="1"/>
      <c r="J56" s="5">
        <f t="shared" si="29"/>
        <v>-8.1204064233573366E-5</v>
      </c>
      <c r="K56" s="1"/>
      <c r="L56" s="1">
        <f t="shared" si="30"/>
        <v>2.3699999999999974</v>
      </c>
      <c r="M56" s="1"/>
      <c r="N56" s="5">
        <f t="shared" si="31"/>
        <v>-0.10246433203631637</v>
      </c>
      <c r="O56" s="14"/>
      <c r="P56" s="1">
        <f>SUM(OSRRefP22_3x_0)</f>
        <v>-20.76</v>
      </c>
      <c r="Q56" s="1"/>
      <c r="R56" s="5">
        <f t="shared" si="32"/>
        <v>-8.7120453721308645E-5</v>
      </c>
      <c r="S56" s="1"/>
      <c r="T56" s="1">
        <f>SUM(OSRRefT22_3x_0)</f>
        <v>-23.13</v>
      </c>
      <c r="U56" s="1"/>
      <c r="V56" s="5">
        <f t="shared" si="33"/>
        <v>-8.1204064233573366E-5</v>
      </c>
      <c r="W56" s="1"/>
      <c r="X56" s="1">
        <f t="shared" si="34"/>
        <v>2.3699999999999974</v>
      </c>
      <c r="Y56" s="1"/>
      <c r="Z56" s="5">
        <f t="shared" si="35"/>
        <v>-0.10246433203631637</v>
      </c>
    </row>
    <row r="57" spans="1:26" s="24" customFormat="1" hidden="1" outlineLevel="2" x14ac:dyDescent="0.25">
      <c r="A57" s="29"/>
      <c r="B57" s="11" t="str">
        <f>CONCATENATE("          ", "6272", " - ", "CASH (OVER/SHORT)")</f>
        <v xml:space="preserve">          6272 - CASH (OVER/SHORT)</v>
      </c>
      <c r="C57" s="11"/>
      <c r="D57" s="7">
        <v>-20.76</v>
      </c>
      <c r="E57" s="2"/>
      <c r="F57" s="6">
        <f t="shared" si="28"/>
        <v>-8.7120453721308645E-5</v>
      </c>
      <c r="G57" s="2"/>
      <c r="H57" s="7">
        <v>-23.13</v>
      </c>
      <c r="I57" s="2"/>
      <c r="J57" s="6">
        <f t="shared" si="29"/>
        <v>-8.1204064233573366E-5</v>
      </c>
      <c r="K57" s="2"/>
      <c r="L57" s="7">
        <f t="shared" si="30"/>
        <v>2.3699999999999974</v>
      </c>
      <c r="M57" s="2"/>
      <c r="N57" s="6">
        <f t="shared" si="31"/>
        <v>-0.10246433203631637</v>
      </c>
      <c r="O57" s="11"/>
      <c r="P57" s="7">
        <v>-20.76</v>
      </c>
      <c r="Q57" s="2"/>
      <c r="R57" s="6">
        <f t="shared" si="32"/>
        <v>-8.7120453721308645E-5</v>
      </c>
      <c r="S57" s="2"/>
      <c r="T57" s="7">
        <v>-23.13</v>
      </c>
      <c r="U57" s="2"/>
      <c r="V57" s="6">
        <f t="shared" si="33"/>
        <v>-8.1204064233573366E-5</v>
      </c>
      <c r="W57" s="2"/>
      <c r="X57" s="7">
        <f t="shared" si="34"/>
        <v>2.3699999999999974</v>
      </c>
      <c r="Y57" s="2"/>
      <c r="Z57" s="6">
        <f t="shared" si="35"/>
        <v>-0.10246433203631637</v>
      </c>
    </row>
    <row r="58" spans="1:26" s="28" customFormat="1" outlineLevel="1" collapsed="1" x14ac:dyDescent="0.25">
      <c r="A58" s="27"/>
      <c r="B58" s="14" t="str">
        <f>CONCATENATE("     ","Bank/card Fees                                    ")</f>
        <v xml:space="preserve">     Bank/card Fees                                    </v>
      </c>
      <c r="C58" s="14"/>
      <c r="D58" s="1">
        <f>SUM(OSRRefD22_4x_0)</f>
        <v>5718.72</v>
      </c>
      <c r="E58" s="1"/>
      <c r="F58" s="5">
        <f t="shared" si="28"/>
        <v>2.3998915274813206E-2</v>
      </c>
      <c r="G58" s="1"/>
      <c r="H58" s="1">
        <f>SUM(OSRRefH22_4x_0)</f>
        <v>5914.01</v>
      </c>
      <c r="I58" s="1"/>
      <c r="J58" s="5">
        <f t="shared" si="29"/>
        <v>2.076271716031108E-2</v>
      </c>
      <c r="K58" s="1"/>
      <c r="L58" s="1">
        <f t="shared" si="30"/>
        <v>-195.28999999999996</v>
      </c>
      <c r="M58" s="1"/>
      <c r="N58" s="5">
        <f t="shared" si="31"/>
        <v>-3.3021587721359949E-2</v>
      </c>
      <c r="O58" s="14"/>
      <c r="P58" s="1">
        <f>SUM(OSRRefP22_4x_0)</f>
        <v>5718.72</v>
      </c>
      <c r="Q58" s="1"/>
      <c r="R58" s="5">
        <f t="shared" si="32"/>
        <v>2.3998915274813206E-2</v>
      </c>
      <c r="S58" s="1"/>
      <c r="T58" s="1">
        <f>SUM(OSRRefT22_4x_0)</f>
        <v>5914.01</v>
      </c>
      <c r="U58" s="1"/>
      <c r="V58" s="5">
        <f t="shared" si="33"/>
        <v>2.076271716031108E-2</v>
      </c>
      <c r="W58" s="1"/>
      <c r="X58" s="1">
        <f t="shared" si="34"/>
        <v>-195.28999999999996</v>
      </c>
      <c r="Y58" s="1"/>
      <c r="Z58" s="5">
        <f t="shared" si="35"/>
        <v>-3.3021587721359949E-2</v>
      </c>
    </row>
    <row r="59" spans="1:26" s="24" customFormat="1" hidden="1" outlineLevel="2" x14ac:dyDescent="0.25">
      <c r="A59" s="29"/>
      <c r="B59" s="11" t="str">
        <f>CONCATENATE("          ", "6381", " - ", "BANK/CREDIT CARD FEES")</f>
        <v xml:space="preserve">          6381 - BANK/CREDIT CARD FEES</v>
      </c>
      <c r="C59" s="11"/>
      <c r="D59" s="7">
        <v>5718.72</v>
      </c>
      <c r="E59" s="2"/>
      <c r="F59" s="6">
        <f t="shared" si="28"/>
        <v>2.3998915274813206E-2</v>
      </c>
      <c r="G59" s="2"/>
      <c r="H59" s="7">
        <v>5914.01</v>
      </c>
      <c r="I59" s="2"/>
      <c r="J59" s="6">
        <f t="shared" si="29"/>
        <v>2.076271716031108E-2</v>
      </c>
      <c r="K59" s="2"/>
      <c r="L59" s="7">
        <f t="shared" si="30"/>
        <v>-195.28999999999996</v>
      </c>
      <c r="M59" s="2"/>
      <c r="N59" s="6">
        <f t="shared" si="31"/>
        <v>-3.3021587721359949E-2</v>
      </c>
      <c r="O59" s="11"/>
      <c r="P59" s="7">
        <v>5718.72</v>
      </c>
      <c r="Q59" s="2"/>
      <c r="R59" s="6">
        <f t="shared" si="32"/>
        <v>2.3998915274813206E-2</v>
      </c>
      <c r="S59" s="2"/>
      <c r="T59" s="7">
        <v>5914.01</v>
      </c>
      <c r="U59" s="2"/>
      <c r="V59" s="6">
        <f t="shared" si="33"/>
        <v>2.076271716031108E-2</v>
      </c>
      <c r="W59" s="2"/>
      <c r="X59" s="7">
        <f t="shared" si="34"/>
        <v>-195.28999999999996</v>
      </c>
      <c r="Y59" s="2"/>
      <c r="Z59" s="6">
        <f t="shared" si="35"/>
        <v>-3.3021587721359949E-2</v>
      </c>
    </row>
    <row r="60" spans="1:26" s="28" customFormat="1" outlineLevel="1" collapsed="1" x14ac:dyDescent="0.25">
      <c r="A60" s="27"/>
      <c r="B60" s="14" t="str">
        <f>CONCATENATE("     ","Depreciation                                      ")</f>
        <v xml:space="preserve">     Depreciation                                      </v>
      </c>
      <c r="C60" s="14"/>
      <c r="D60" s="1">
        <f>SUM(OSRRefD22_5x_0)</f>
        <v>47974.53</v>
      </c>
      <c r="E60" s="1"/>
      <c r="F60" s="5">
        <f t="shared" si="28"/>
        <v>0.20132768885676941</v>
      </c>
      <c r="G60" s="1"/>
      <c r="H60" s="1">
        <f>SUM(OSRRefH22_5x_0)</f>
        <v>50133.29</v>
      </c>
      <c r="I60" s="1"/>
      <c r="J60" s="5">
        <f t="shared" si="29"/>
        <v>0.17600635111977353</v>
      </c>
      <c r="K60" s="1"/>
      <c r="L60" s="1">
        <f t="shared" si="30"/>
        <v>-2158.760000000002</v>
      </c>
      <c r="M60" s="1"/>
      <c r="N60" s="5">
        <f t="shared" si="31"/>
        <v>-4.3060409560194475E-2</v>
      </c>
      <c r="O60" s="14"/>
      <c r="P60" s="1">
        <f>SUM(OSRRefP22_5x_0)</f>
        <v>47974.53</v>
      </c>
      <c r="Q60" s="1"/>
      <c r="R60" s="5">
        <f t="shared" si="32"/>
        <v>0.20132768885676941</v>
      </c>
      <c r="S60" s="1"/>
      <c r="T60" s="1">
        <f>SUM(OSRRefT22_5x_0)</f>
        <v>50133.29</v>
      </c>
      <c r="U60" s="1"/>
      <c r="V60" s="5">
        <f t="shared" si="33"/>
        <v>0.17600635111977353</v>
      </c>
      <c r="W60" s="1"/>
      <c r="X60" s="1">
        <f t="shared" si="34"/>
        <v>-2158.760000000002</v>
      </c>
      <c r="Y60" s="1"/>
      <c r="Z60" s="5">
        <f t="shared" si="35"/>
        <v>-4.3060409560194475E-2</v>
      </c>
    </row>
    <row r="61" spans="1:26" s="24" customFormat="1" hidden="1" outlineLevel="2" x14ac:dyDescent="0.25">
      <c r="A61" s="29"/>
      <c r="B61" s="11" t="str">
        <f>CONCATENATE("          ", "6321", " - ", "BUILDING DEPRECIATION")</f>
        <v xml:space="preserve">          6321 - BUILDING DEPRECIATION</v>
      </c>
      <c r="C61" s="11"/>
      <c r="D61" s="7">
        <v>29123.47</v>
      </c>
      <c r="E61" s="2"/>
      <c r="F61" s="6">
        <f t="shared" si="28"/>
        <v>0.12221820425524665</v>
      </c>
      <c r="G61" s="2"/>
      <c r="H61" s="7">
        <v>32921.64</v>
      </c>
      <c r="I61" s="2"/>
      <c r="J61" s="6">
        <f t="shared" si="29"/>
        <v>0.11558024077970508</v>
      </c>
      <c r="K61" s="2"/>
      <c r="L61" s="7">
        <f t="shared" si="30"/>
        <v>-3798.1699999999983</v>
      </c>
      <c r="M61" s="2"/>
      <c r="N61" s="6">
        <f t="shared" si="31"/>
        <v>-0.11537001194351187</v>
      </c>
      <c r="O61" s="11"/>
      <c r="P61" s="7">
        <v>29123.47</v>
      </c>
      <c r="Q61" s="2"/>
      <c r="R61" s="6">
        <f t="shared" si="32"/>
        <v>0.12221820425524665</v>
      </c>
      <c r="S61" s="2"/>
      <c r="T61" s="7">
        <v>32921.64</v>
      </c>
      <c r="U61" s="2"/>
      <c r="V61" s="6">
        <f t="shared" si="33"/>
        <v>0.11558024077970508</v>
      </c>
      <c r="W61" s="2"/>
      <c r="X61" s="7">
        <f t="shared" si="34"/>
        <v>-3798.1699999999983</v>
      </c>
      <c r="Y61" s="2"/>
      <c r="Z61" s="6">
        <f t="shared" si="35"/>
        <v>-0.11537001194351187</v>
      </c>
    </row>
    <row r="62" spans="1:26" s="24" customFormat="1" hidden="1" outlineLevel="2" x14ac:dyDescent="0.25">
      <c r="A62" s="29"/>
      <c r="B62" s="11" t="str">
        <f>CONCATENATE("          ", "6322", " - ", "EQUIPMENT DEPRECIATION EXPENSE")</f>
        <v xml:space="preserve">          6322 - EQUIPMENT DEPRECIATION EXPENSE</v>
      </c>
      <c r="C62" s="11"/>
      <c r="D62" s="7">
        <v>18426.809999999998</v>
      </c>
      <c r="E62" s="2"/>
      <c r="F62" s="6">
        <f t="shared" si="28"/>
        <v>7.732909671658704E-2</v>
      </c>
      <c r="G62" s="2"/>
      <c r="H62" s="7">
        <v>16787.400000000001</v>
      </c>
      <c r="I62" s="2"/>
      <c r="J62" s="6">
        <f t="shared" si="29"/>
        <v>5.8936667008849537E-2</v>
      </c>
      <c r="K62" s="2"/>
      <c r="L62" s="7">
        <f t="shared" si="30"/>
        <v>1639.4099999999962</v>
      </c>
      <c r="M62" s="2"/>
      <c r="N62" s="6">
        <f t="shared" si="31"/>
        <v>9.7657171450015845E-2</v>
      </c>
      <c r="O62" s="11"/>
      <c r="P62" s="7">
        <v>18426.809999999998</v>
      </c>
      <c r="Q62" s="2"/>
      <c r="R62" s="6">
        <f t="shared" si="32"/>
        <v>7.732909671658704E-2</v>
      </c>
      <c r="S62" s="2"/>
      <c r="T62" s="7">
        <v>16787.400000000001</v>
      </c>
      <c r="U62" s="2"/>
      <c r="V62" s="6">
        <f t="shared" si="33"/>
        <v>5.8936667008849537E-2</v>
      </c>
      <c r="W62" s="2"/>
      <c r="X62" s="7">
        <f t="shared" si="34"/>
        <v>1639.4099999999962</v>
      </c>
      <c r="Y62" s="2"/>
      <c r="Z62" s="6">
        <f t="shared" si="35"/>
        <v>9.7657171450015845E-2</v>
      </c>
    </row>
    <row r="63" spans="1:26" s="24" customFormat="1" hidden="1" outlineLevel="2" x14ac:dyDescent="0.25">
      <c r="A63" s="29"/>
      <c r="B63" s="11" t="str">
        <f>CONCATENATE("          ", "6326", " - ", "VEHICLES DEPRECIATION EXPENSE")</f>
        <v xml:space="preserve">          6326 - VEHICLES DEPRECIATION EXPENSE</v>
      </c>
      <c r="C63" s="11"/>
      <c r="D63" s="7">
        <v>424.25</v>
      </c>
      <c r="E63" s="2"/>
      <c r="F63" s="6">
        <f t="shared" si="28"/>
        <v>1.7803878849357029E-3</v>
      </c>
      <c r="G63" s="2"/>
      <c r="H63" s="7">
        <v>424.25</v>
      </c>
      <c r="I63" s="2"/>
      <c r="J63" s="6">
        <f t="shared" si="29"/>
        <v>1.4894433312189149E-3</v>
      </c>
      <c r="K63" s="2"/>
      <c r="L63" s="7">
        <f t="shared" si="30"/>
        <v>0</v>
      </c>
      <c r="M63" s="2"/>
      <c r="N63" s="6">
        <f t="shared" si="31"/>
        <v>0</v>
      </c>
      <c r="O63" s="11"/>
      <c r="P63" s="7">
        <v>424.25</v>
      </c>
      <c r="Q63" s="2"/>
      <c r="R63" s="6">
        <f t="shared" si="32"/>
        <v>1.7803878849357029E-3</v>
      </c>
      <c r="S63" s="2"/>
      <c r="T63" s="7">
        <v>424.25</v>
      </c>
      <c r="U63" s="2"/>
      <c r="V63" s="6">
        <f t="shared" si="33"/>
        <v>1.4894433312189149E-3</v>
      </c>
      <c r="W63" s="2"/>
      <c r="X63" s="7">
        <f t="shared" si="34"/>
        <v>0</v>
      </c>
      <c r="Y63" s="2"/>
      <c r="Z63" s="6">
        <f t="shared" si="35"/>
        <v>0</v>
      </c>
    </row>
    <row r="64" spans="1:26" s="28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SUM(OSRRefD22_6x_0)</f>
        <v>13.91</v>
      </c>
      <c r="E64" s="1"/>
      <c r="F64" s="5">
        <f t="shared" ref="F64:F82" si="36">IF(D$12=0,0,D64/D$12)</f>
        <v>5.8374061236194759E-5</v>
      </c>
      <c r="G64" s="1"/>
      <c r="H64" s="1">
        <f>SUM(OSRRefH22_6x_0)</f>
        <v>10.050000000000001</v>
      </c>
      <c r="I64" s="1"/>
      <c r="J64" s="5">
        <f t="shared" ref="J64:J82" si="37">IF(H$12=0,0,H64/H$12)</f>
        <v>3.5283218571007885E-5</v>
      </c>
      <c r="K64" s="1"/>
      <c r="L64" s="1">
        <f t="shared" ref="L64:L82" si="38">+D64-H64</f>
        <v>3.8599999999999994</v>
      </c>
      <c r="M64" s="1"/>
      <c r="N64" s="5">
        <f t="shared" ref="N64:N82" si="39">IF(H64=0,0,L64/H64)</f>
        <v>0.38407960199004965</v>
      </c>
      <c r="O64" s="14"/>
      <c r="P64" s="1">
        <f>SUM(OSRRefP22_6x_0)</f>
        <v>13.91</v>
      </c>
      <c r="Q64" s="1"/>
      <c r="R64" s="5">
        <f t="shared" ref="R64:R82" si="40">IF(P$12=0,0,P64/P$12)</f>
        <v>5.8374061236194759E-5</v>
      </c>
      <c r="S64" s="1"/>
      <c r="T64" s="1">
        <f>SUM(OSRRefT22_6x_0)</f>
        <v>10.050000000000001</v>
      </c>
      <c r="U64" s="1"/>
      <c r="V64" s="5">
        <f t="shared" ref="V64:V82" si="41">IF(T$12=0,0,T64/T$12)</f>
        <v>3.5283218571007885E-5</v>
      </c>
      <c r="W64" s="1"/>
      <c r="X64" s="1">
        <f t="shared" ref="X64:X82" si="42">+P64-T64</f>
        <v>3.8599999999999994</v>
      </c>
      <c r="Y64" s="1"/>
      <c r="Z64" s="5">
        <f t="shared" ref="Z64:Z82" si="43">IF(T64=0,0,X64/T64)</f>
        <v>0.38407960199004965</v>
      </c>
    </row>
    <row r="65" spans="1:26" s="24" customFormat="1" hidden="1" outlineLevel="2" x14ac:dyDescent="0.25">
      <c r="A65" s="29"/>
      <c r="B65" s="11" t="str">
        <f>CONCATENATE("          ", "6382", " - ", "DISCOUNTS/MARK DOWNS")</f>
        <v xml:space="preserve">          6382 - DISCOUNTS/MARK DOWNS</v>
      </c>
      <c r="C65" s="11"/>
      <c r="D65" s="7">
        <v>13.91</v>
      </c>
      <c r="E65" s="2"/>
      <c r="F65" s="6">
        <f t="shared" si="36"/>
        <v>5.8374061236194759E-5</v>
      </c>
      <c r="G65" s="2"/>
      <c r="H65" s="7">
        <v>10.050000000000001</v>
      </c>
      <c r="I65" s="2"/>
      <c r="J65" s="6">
        <f t="shared" si="37"/>
        <v>3.5283218571007885E-5</v>
      </c>
      <c r="K65" s="2"/>
      <c r="L65" s="7">
        <f t="shared" si="38"/>
        <v>3.8599999999999994</v>
      </c>
      <c r="M65" s="2"/>
      <c r="N65" s="6">
        <f t="shared" si="39"/>
        <v>0.38407960199004965</v>
      </c>
      <c r="O65" s="11"/>
      <c r="P65" s="7">
        <v>13.91</v>
      </c>
      <c r="Q65" s="2"/>
      <c r="R65" s="6">
        <f t="shared" si="40"/>
        <v>5.8374061236194759E-5</v>
      </c>
      <c r="S65" s="2"/>
      <c r="T65" s="7">
        <v>10.050000000000001</v>
      </c>
      <c r="U65" s="2"/>
      <c r="V65" s="6">
        <f t="shared" si="41"/>
        <v>3.5283218571007885E-5</v>
      </c>
      <c r="W65" s="2"/>
      <c r="X65" s="7">
        <f t="shared" si="42"/>
        <v>3.8599999999999994</v>
      </c>
      <c r="Y65" s="2"/>
      <c r="Z65" s="6">
        <f t="shared" si="43"/>
        <v>0.38407960199004965</v>
      </c>
    </row>
    <row r="66" spans="1:26" s="28" customFormat="1" outlineLevel="1" collapsed="1" x14ac:dyDescent="0.25">
      <c r="A66" s="27"/>
      <c r="B66" s="14" t="str">
        <f>CONCATENATE("     ","Employees' Appreciation                           ")</f>
        <v xml:space="preserve">     Employees' Appreciation                           </v>
      </c>
      <c r="C66" s="14"/>
      <c r="D66" s="1">
        <f>SUM(OSRRefD22_7x_0)</f>
        <v>109.76</v>
      </c>
      <c r="E66" s="1"/>
      <c r="F66" s="5">
        <f t="shared" si="36"/>
        <v>4.60613728345416E-4</v>
      </c>
      <c r="G66" s="1"/>
      <c r="H66" s="1">
        <f>SUM(OSRRefH22_7x_0)</f>
        <v>61.8</v>
      </c>
      <c r="I66" s="1"/>
      <c r="J66" s="5">
        <f t="shared" si="37"/>
        <v>2.1696546345157088E-4</v>
      </c>
      <c r="K66" s="1"/>
      <c r="L66" s="1">
        <f t="shared" si="38"/>
        <v>47.960000000000008</v>
      </c>
      <c r="M66" s="1"/>
      <c r="N66" s="5">
        <f t="shared" si="39"/>
        <v>0.7760517799352753</v>
      </c>
      <c r="O66" s="14"/>
      <c r="P66" s="1">
        <f>SUM(OSRRefP22_7x_0)</f>
        <v>109.76</v>
      </c>
      <c r="Q66" s="1"/>
      <c r="R66" s="5">
        <f t="shared" si="40"/>
        <v>4.60613728345416E-4</v>
      </c>
      <c r="S66" s="1"/>
      <c r="T66" s="1">
        <f>SUM(OSRRefT22_7x_0)</f>
        <v>61.8</v>
      </c>
      <c r="U66" s="1"/>
      <c r="V66" s="5">
        <f t="shared" si="41"/>
        <v>2.1696546345157088E-4</v>
      </c>
      <c r="W66" s="1"/>
      <c r="X66" s="1">
        <f t="shared" si="42"/>
        <v>47.960000000000008</v>
      </c>
      <c r="Y66" s="1"/>
      <c r="Z66" s="5">
        <f t="shared" si="43"/>
        <v>0.7760517799352753</v>
      </c>
    </row>
    <row r="67" spans="1:26" s="24" customFormat="1" hidden="1" outlineLevel="2" x14ac:dyDescent="0.25">
      <c r="A67" s="29"/>
      <c r="B67" s="11" t="str">
        <f>CONCATENATE("          ", "6277", " - ", "EMPLOYEE APPRECIATION")</f>
        <v xml:space="preserve">          6277 - EMPLOYEE APPRECIATION</v>
      </c>
      <c r="C67" s="11"/>
      <c r="D67" s="7">
        <v>109.76</v>
      </c>
      <c r="E67" s="2"/>
      <c r="F67" s="6">
        <f t="shared" si="36"/>
        <v>4.60613728345416E-4</v>
      </c>
      <c r="G67" s="2"/>
      <c r="H67" s="7">
        <v>61.8</v>
      </c>
      <c r="I67" s="2"/>
      <c r="J67" s="6">
        <f t="shared" si="37"/>
        <v>2.1696546345157088E-4</v>
      </c>
      <c r="K67" s="2"/>
      <c r="L67" s="7">
        <f t="shared" si="38"/>
        <v>47.960000000000008</v>
      </c>
      <c r="M67" s="2"/>
      <c r="N67" s="6">
        <f t="shared" si="39"/>
        <v>0.7760517799352753</v>
      </c>
      <c r="O67" s="11"/>
      <c r="P67" s="7">
        <v>109.76</v>
      </c>
      <c r="Q67" s="2"/>
      <c r="R67" s="6">
        <f t="shared" si="40"/>
        <v>4.60613728345416E-4</v>
      </c>
      <c r="S67" s="2"/>
      <c r="T67" s="7">
        <v>61.8</v>
      </c>
      <c r="U67" s="2"/>
      <c r="V67" s="6">
        <f t="shared" si="41"/>
        <v>2.1696546345157088E-4</v>
      </c>
      <c r="W67" s="2"/>
      <c r="X67" s="7">
        <f t="shared" si="42"/>
        <v>47.960000000000008</v>
      </c>
      <c r="Y67" s="2"/>
      <c r="Z67" s="6">
        <f t="shared" si="43"/>
        <v>0.7760517799352753</v>
      </c>
    </row>
    <row r="68" spans="1:26" s="28" customFormat="1" outlineLevel="1" collapsed="1" x14ac:dyDescent="0.25">
      <c r="A68" s="27"/>
      <c r="B68" s="14" t="str">
        <f>CONCATENATE("     ","Equipment Rental                                  ")</f>
        <v xml:space="preserve">     Equipment Rental                                  </v>
      </c>
      <c r="C68" s="14"/>
      <c r="D68" s="1">
        <f>SUM(OSRRefD22_8x_0)</f>
        <v>1684.48</v>
      </c>
      <c r="E68" s="1"/>
      <c r="F68" s="5">
        <f t="shared" si="36"/>
        <v>7.0690106880765885E-3</v>
      </c>
      <c r="G68" s="1"/>
      <c r="H68" s="1">
        <f>SUM(OSRRefH22_8x_0)</f>
        <v>2332.75</v>
      </c>
      <c r="I68" s="1"/>
      <c r="J68" s="5">
        <f t="shared" si="37"/>
        <v>8.1897440916933982E-3</v>
      </c>
      <c r="K68" s="1"/>
      <c r="L68" s="1">
        <f t="shared" si="38"/>
        <v>-648.27</v>
      </c>
      <c r="M68" s="1"/>
      <c r="N68" s="5">
        <f t="shared" si="39"/>
        <v>-0.27789947486871719</v>
      </c>
      <c r="O68" s="14"/>
      <c r="P68" s="1">
        <f>SUM(OSRRefP22_8x_0)</f>
        <v>1684.48</v>
      </c>
      <c r="Q68" s="1"/>
      <c r="R68" s="5">
        <f t="shared" si="40"/>
        <v>7.0690106880765885E-3</v>
      </c>
      <c r="S68" s="1"/>
      <c r="T68" s="1">
        <f>SUM(OSRRefT22_8x_0)</f>
        <v>2332.75</v>
      </c>
      <c r="U68" s="1"/>
      <c r="V68" s="5">
        <f t="shared" si="41"/>
        <v>8.1897440916933982E-3</v>
      </c>
      <c r="W68" s="1"/>
      <c r="X68" s="1">
        <f t="shared" si="42"/>
        <v>-648.27</v>
      </c>
      <c r="Y68" s="1"/>
      <c r="Z68" s="5">
        <f t="shared" si="43"/>
        <v>-0.27789947486871719</v>
      </c>
    </row>
    <row r="69" spans="1:26" s="24" customFormat="1" hidden="1" outlineLevel="2" x14ac:dyDescent="0.25">
      <c r="A69" s="29"/>
      <c r="B69" s="11" t="str">
        <f>CONCATENATE("          ", "6351", " - ", "EQUIPMENT RENTAL")</f>
        <v xml:space="preserve">          6351 - EQUIPMENT RENTAL</v>
      </c>
      <c r="C69" s="11"/>
      <c r="D69" s="7">
        <v>1684.48</v>
      </c>
      <c r="E69" s="2"/>
      <c r="F69" s="6">
        <f t="shared" si="36"/>
        <v>7.0690106880765885E-3</v>
      </c>
      <c r="G69" s="2"/>
      <c r="H69" s="7">
        <v>2332.75</v>
      </c>
      <c r="I69" s="2"/>
      <c r="J69" s="6">
        <f t="shared" si="37"/>
        <v>8.1897440916933982E-3</v>
      </c>
      <c r="K69" s="2"/>
      <c r="L69" s="7">
        <f t="shared" si="38"/>
        <v>-648.27</v>
      </c>
      <c r="M69" s="2"/>
      <c r="N69" s="6">
        <f t="shared" si="39"/>
        <v>-0.27789947486871719</v>
      </c>
      <c r="O69" s="11"/>
      <c r="P69" s="7">
        <v>1684.48</v>
      </c>
      <c r="Q69" s="2"/>
      <c r="R69" s="6">
        <f t="shared" si="40"/>
        <v>7.0690106880765885E-3</v>
      </c>
      <c r="S69" s="2"/>
      <c r="T69" s="7">
        <v>2332.75</v>
      </c>
      <c r="U69" s="2"/>
      <c r="V69" s="6">
        <f t="shared" si="41"/>
        <v>8.1897440916933982E-3</v>
      </c>
      <c r="W69" s="2"/>
      <c r="X69" s="7">
        <f t="shared" si="42"/>
        <v>-648.27</v>
      </c>
      <c r="Y69" s="2"/>
      <c r="Z69" s="6">
        <f t="shared" si="43"/>
        <v>-0.27789947486871719</v>
      </c>
    </row>
    <row r="70" spans="1:26" s="28" customFormat="1" outlineLevel="1" collapsed="1" x14ac:dyDescent="0.25">
      <c r="A70" s="27"/>
      <c r="B70" s="14" t="str">
        <f>CONCATENATE("     ","Freight out/Postage                               ")</f>
        <v xml:space="preserve">     Freight out/Postage                               </v>
      </c>
      <c r="C70" s="14"/>
      <c r="D70" s="1">
        <f>SUM(OSRRefD22_9x_0)</f>
        <v>71.69</v>
      </c>
      <c r="E70" s="1"/>
      <c r="F70" s="5">
        <f t="shared" si="36"/>
        <v>3.0085093098654222E-4</v>
      </c>
      <c r="G70" s="1"/>
      <c r="H70" s="1">
        <f>SUM(OSRRefH22_9x_0)</f>
        <v>65.52</v>
      </c>
      <c r="I70" s="1"/>
      <c r="J70" s="5">
        <f t="shared" si="37"/>
        <v>2.3002552047486931E-4</v>
      </c>
      <c r="K70" s="1"/>
      <c r="L70" s="1">
        <f t="shared" si="38"/>
        <v>6.1700000000000017</v>
      </c>
      <c r="M70" s="1"/>
      <c r="N70" s="5">
        <f t="shared" si="39"/>
        <v>9.4169719169719196E-2</v>
      </c>
      <c r="O70" s="14"/>
      <c r="P70" s="1">
        <f>SUM(OSRRefP22_9x_0)</f>
        <v>71.69</v>
      </c>
      <c r="Q70" s="1"/>
      <c r="R70" s="5">
        <f t="shared" si="40"/>
        <v>3.0085093098654222E-4</v>
      </c>
      <c r="S70" s="1"/>
      <c r="T70" s="1">
        <f>SUM(OSRRefT22_9x_0)</f>
        <v>65.52</v>
      </c>
      <c r="U70" s="1"/>
      <c r="V70" s="5">
        <f t="shared" si="41"/>
        <v>2.3002552047486931E-4</v>
      </c>
      <c r="W70" s="1"/>
      <c r="X70" s="1">
        <f t="shared" si="42"/>
        <v>6.1700000000000017</v>
      </c>
      <c r="Y70" s="1"/>
      <c r="Z70" s="5">
        <f t="shared" si="43"/>
        <v>9.4169719169719196E-2</v>
      </c>
    </row>
    <row r="71" spans="1:26" s="24" customFormat="1" hidden="1" outlineLevel="2" x14ac:dyDescent="0.25">
      <c r="A71" s="29"/>
      <c r="B71" s="11" t="str">
        <f>CONCATENATE("          ", "6305", " - ", "FREIGHT OUT")</f>
        <v xml:space="preserve">          6305 - FREIGHT OUT</v>
      </c>
      <c r="C71" s="11"/>
      <c r="D71" s="7">
        <v>71.69</v>
      </c>
      <c r="E71" s="2"/>
      <c r="F71" s="6">
        <f t="shared" si="36"/>
        <v>3.0085093098654222E-4</v>
      </c>
      <c r="G71" s="2"/>
      <c r="H71" s="7">
        <v>65.52</v>
      </c>
      <c r="I71" s="2"/>
      <c r="J71" s="6">
        <f t="shared" si="37"/>
        <v>2.3002552047486931E-4</v>
      </c>
      <c r="K71" s="2"/>
      <c r="L71" s="7">
        <f t="shared" si="38"/>
        <v>6.1700000000000017</v>
      </c>
      <c r="M71" s="2"/>
      <c r="N71" s="6">
        <f t="shared" si="39"/>
        <v>9.4169719169719196E-2</v>
      </c>
      <c r="O71" s="11"/>
      <c r="P71" s="7">
        <v>71.69</v>
      </c>
      <c r="Q71" s="2"/>
      <c r="R71" s="6">
        <f t="shared" si="40"/>
        <v>3.0085093098654222E-4</v>
      </c>
      <c r="S71" s="2"/>
      <c r="T71" s="7">
        <v>65.52</v>
      </c>
      <c r="U71" s="2"/>
      <c r="V71" s="6">
        <f t="shared" si="41"/>
        <v>2.3002552047486931E-4</v>
      </c>
      <c r="W71" s="2"/>
      <c r="X71" s="7">
        <f t="shared" si="42"/>
        <v>6.1700000000000017</v>
      </c>
      <c r="Y71" s="2"/>
      <c r="Z71" s="6">
        <f t="shared" si="43"/>
        <v>9.4169719169719196E-2</v>
      </c>
    </row>
    <row r="72" spans="1:26" s="28" customFormat="1" outlineLevel="1" collapsed="1" x14ac:dyDescent="0.25">
      <c r="A72" s="27"/>
      <c r="B72" s="14" t="str">
        <f>CONCATENATE("     ","General                                           ")</f>
        <v xml:space="preserve">     General                                           </v>
      </c>
      <c r="C72" s="14"/>
      <c r="D72" s="1">
        <f>SUM(OSRRefD22_10x_0)</f>
        <v>22041.85</v>
      </c>
      <c r="E72" s="1"/>
      <c r="F72" s="5">
        <f t="shared" si="36"/>
        <v>9.2499806014307642E-2</v>
      </c>
      <c r="G72" s="1"/>
      <c r="H72" s="1">
        <f>SUM(OSRRefH22_10x_0)</f>
        <v>19823.310000000001</v>
      </c>
      <c r="I72" s="1"/>
      <c r="J72" s="5">
        <f t="shared" si="37"/>
        <v>6.95950427393877E-2</v>
      </c>
      <c r="K72" s="1"/>
      <c r="L72" s="1">
        <f t="shared" si="38"/>
        <v>2218.5399999999972</v>
      </c>
      <c r="M72" s="1"/>
      <c r="N72" s="5">
        <f t="shared" si="39"/>
        <v>0.11191571942324451</v>
      </c>
      <c r="O72" s="14"/>
      <c r="P72" s="1">
        <f>SUM(OSRRefP22_10x_0)</f>
        <v>22041.85</v>
      </c>
      <c r="Q72" s="1"/>
      <c r="R72" s="5">
        <f t="shared" si="40"/>
        <v>9.2499806014307642E-2</v>
      </c>
      <c r="S72" s="1"/>
      <c r="T72" s="1">
        <f>SUM(OSRRefT22_10x_0)</f>
        <v>19823.310000000001</v>
      </c>
      <c r="U72" s="1"/>
      <c r="V72" s="5">
        <f t="shared" si="41"/>
        <v>6.95950427393877E-2</v>
      </c>
      <c r="W72" s="1"/>
      <c r="X72" s="1">
        <f t="shared" si="42"/>
        <v>2218.5399999999972</v>
      </c>
      <c r="Y72" s="1"/>
      <c r="Z72" s="5">
        <f t="shared" si="43"/>
        <v>0.11191571942324451</v>
      </c>
    </row>
    <row r="73" spans="1:26" s="24" customFormat="1" hidden="1" outlineLevel="2" x14ac:dyDescent="0.25">
      <c r="A73" s="29"/>
      <c r="B73" s="11" t="str">
        <f>CONCATENATE("          ", "6279", " - ", "GENERAL EXPENSE")</f>
        <v xml:space="preserve">          6279 - GENERAL EXPENSE</v>
      </c>
      <c r="C73" s="11"/>
      <c r="D73" s="7">
        <v>22041.85</v>
      </c>
      <c r="E73" s="2"/>
      <c r="F73" s="6">
        <f t="shared" si="36"/>
        <v>9.2499806014307642E-2</v>
      </c>
      <c r="G73" s="2"/>
      <c r="H73" s="7">
        <v>19823.310000000001</v>
      </c>
      <c r="I73" s="2"/>
      <c r="J73" s="6">
        <f t="shared" si="37"/>
        <v>6.95950427393877E-2</v>
      </c>
      <c r="K73" s="2"/>
      <c r="L73" s="7">
        <f t="shared" si="38"/>
        <v>2218.5399999999972</v>
      </c>
      <c r="M73" s="2"/>
      <c r="N73" s="6">
        <f t="shared" si="39"/>
        <v>0.11191571942324451</v>
      </c>
      <c r="O73" s="11"/>
      <c r="P73" s="7">
        <v>22041.85</v>
      </c>
      <c r="Q73" s="2"/>
      <c r="R73" s="6">
        <f t="shared" si="40"/>
        <v>9.2499806014307642E-2</v>
      </c>
      <c r="S73" s="2"/>
      <c r="T73" s="7">
        <v>19823.310000000001</v>
      </c>
      <c r="U73" s="2"/>
      <c r="V73" s="6">
        <f t="shared" si="41"/>
        <v>6.95950427393877E-2</v>
      </c>
      <c r="W73" s="2"/>
      <c r="X73" s="7">
        <f t="shared" si="42"/>
        <v>2218.5399999999972</v>
      </c>
      <c r="Y73" s="2"/>
      <c r="Z73" s="6">
        <f t="shared" si="43"/>
        <v>0.11191571942324451</v>
      </c>
    </row>
    <row r="74" spans="1:26" s="28" customFormat="1" outlineLevel="1" collapsed="1" x14ac:dyDescent="0.25">
      <c r="A74" s="27"/>
      <c r="B74" s="14" t="str">
        <f>CONCATENATE("     ","Insurance                                         ")</f>
        <v xml:space="preserve">     Insurance                                         </v>
      </c>
      <c r="C74" s="14"/>
      <c r="D74" s="1">
        <f>SUM(OSRRefD22_11x_0)</f>
        <v>4483.67</v>
      </c>
      <c r="E74" s="1"/>
      <c r="F74" s="5">
        <f t="shared" si="36"/>
        <v>1.8815961692515409E-2</v>
      </c>
      <c r="G74" s="1"/>
      <c r="H74" s="1">
        <f>SUM(OSRRefH22_11x_0)</f>
        <v>4222.62</v>
      </c>
      <c r="I74" s="1"/>
      <c r="J74" s="5">
        <f t="shared" si="37"/>
        <v>1.4824639244010876E-2</v>
      </c>
      <c r="K74" s="1"/>
      <c r="L74" s="1">
        <f t="shared" si="38"/>
        <v>261.05000000000018</v>
      </c>
      <c r="M74" s="1"/>
      <c r="N74" s="5">
        <f t="shared" si="39"/>
        <v>6.1821807313942573E-2</v>
      </c>
      <c r="O74" s="14"/>
      <c r="P74" s="1">
        <f>SUM(OSRRefP22_11x_0)</f>
        <v>4483.67</v>
      </c>
      <c r="Q74" s="1"/>
      <c r="R74" s="5">
        <f t="shared" si="40"/>
        <v>1.8815961692515409E-2</v>
      </c>
      <c r="S74" s="1"/>
      <c r="T74" s="1">
        <f>SUM(OSRRefT22_11x_0)</f>
        <v>4222.62</v>
      </c>
      <c r="U74" s="1"/>
      <c r="V74" s="5">
        <f t="shared" si="41"/>
        <v>1.4824639244010876E-2</v>
      </c>
      <c r="W74" s="1"/>
      <c r="X74" s="1">
        <f t="shared" si="42"/>
        <v>261.05000000000018</v>
      </c>
      <c r="Y74" s="1"/>
      <c r="Z74" s="5">
        <f t="shared" si="43"/>
        <v>6.1821807313942573E-2</v>
      </c>
    </row>
    <row r="75" spans="1:26" s="24" customFormat="1" hidden="1" outlineLevel="2" x14ac:dyDescent="0.25">
      <c r="A75" s="29"/>
      <c r="B75" s="11" t="str">
        <f>CONCATENATE("          ", "6314", " - ", "LIABILITY INSURANCE")</f>
        <v xml:space="preserve">          6314 - LIABILITY INSURANCE</v>
      </c>
      <c r="C75" s="11"/>
      <c r="D75" s="7">
        <v>4483.67</v>
      </c>
      <c r="E75" s="2"/>
      <c r="F75" s="6">
        <f t="shared" si="36"/>
        <v>1.8815961692515409E-2</v>
      </c>
      <c r="G75" s="2"/>
      <c r="H75" s="7">
        <v>4222.62</v>
      </c>
      <c r="I75" s="2"/>
      <c r="J75" s="6">
        <f t="shared" si="37"/>
        <v>1.4824639244010876E-2</v>
      </c>
      <c r="K75" s="2"/>
      <c r="L75" s="7">
        <f t="shared" si="38"/>
        <v>261.05000000000018</v>
      </c>
      <c r="M75" s="2"/>
      <c r="N75" s="6">
        <f t="shared" si="39"/>
        <v>6.1821807313942573E-2</v>
      </c>
      <c r="O75" s="11"/>
      <c r="P75" s="7">
        <v>4483.67</v>
      </c>
      <c r="Q75" s="2"/>
      <c r="R75" s="6">
        <f t="shared" si="40"/>
        <v>1.8815961692515409E-2</v>
      </c>
      <c r="S75" s="2"/>
      <c r="T75" s="7">
        <v>4222.62</v>
      </c>
      <c r="U75" s="2"/>
      <c r="V75" s="6">
        <f t="shared" si="41"/>
        <v>1.4824639244010876E-2</v>
      </c>
      <c r="W75" s="2"/>
      <c r="X75" s="7">
        <f t="shared" si="42"/>
        <v>261.05000000000018</v>
      </c>
      <c r="Y75" s="2"/>
      <c r="Z75" s="6">
        <f t="shared" si="43"/>
        <v>6.1821807313942573E-2</v>
      </c>
    </row>
    <row r="76" spans="1:26" s="28" customFormat="1" outlineLevel="1" collapsed="1" x14ac:dyDescent="0.25">
      <c r="A76" s="27"/>
      <c r="B76" s="14" t="str">
        <f>CONCATENATE("     ","Interest                                          ")</f>
        <v xml:space="preserve">     Interest                                          </v>
      </c>
      <c r="C76" s="14"/>
      <c r="D76" s="1">
        <f>SUM(OSRRefD22_12x_0)</f>
        <v>11740</v>
      </c>
      <c r="E76" s="1"/>
      <c r="F76" s="5">
        <f t="shared" si="36"/>
        <v>4.926753982120248E-2</v>
      </c>
      <c r="G76" s="1"/>
      <c r="H76" s="1">
        <f>SUM(OSRRefH22_12x_0)</f>
        <v>12229</v>
      </c>
      <c r="I76" s="1"/>
      <c r="J76" s="5">
        <f t="shared" si="37"/>
        <v>4.2933182080085119E-2</v>
      </c>
      <c r="K76" s="1"/>
      <c r="L76" s="1">
        <f t="shared" si="38"/>
        <v>-489</v>
      </c>
      <c r="M76" s="1"/>
      <c r="N76" s="5">
        <f t="shared" si="39"/>
        <v>-3.9986916346389727E-2</v>
      </c>
      <c r="O76" s="14"/>
      <c r="P76" s="1">
        <f>SUM(OSRRefP22_12x_0)</f>
        <v>11740</v>
      </c>
      <c r="Q76" s="1"/>
      <c r="R76" s="5">
        <f t="shared" si="40"/>
        <v>4.926753982120248E-2</v>
      </c>
      <c r="S76" s="1"/>
      <c r="T76" s="1">
        <f>SUM(OSRRefT22_12x_0)</f>
        <v>12229</v>
      </c>
      <c r="U76" s="1"/>
      <c r="V76" s="5">
        <f t="shared" si="41"/>
        <v>4.2933182080085119E-2</v>
      </c>
      <c r="W76" s="1"/>
      <c r="X76" s="1">
        <f t="shared" si="42"/>
        <v>-489</v>
      </c>
      <c r="Y76" s="1"/>
      <c r="Z76" s="5">
        <f t="shared" si="43"/>
        <v>-3.9986916346389727E-2</v>
      </c>
    </row>
    <row r="77" spans="1:26" s="24" customFormat="1" hidden="1" outlineLevel="2" x14ac:dyDescent="0.25">
      <c r="A77" s="29"/>
      <c r="B77" s="11" t="str">
        <f>CONCATENATE("          ", "6401", " - ", "INTEREST EXPENSE")</f>
        <v xml:space="preserve">          6401 - INTEREST EXPENSE</v>
      </c>
      <c r="C77" s="11"/>
      <c r="D77" s="7">
        <v>11740</v>
      </c>
      <c r="E77" s="2"/>
      <c r="F77" s="6">
        <f t="shared" si="36"/>
        <v>4.926753982120248E-2</v>
      </c>
      <c r="G77" s="2"/>
      <c r="H77" s="7">
        <v>12229</v>
      </c>
      <c r="I77" s="2"/>
      <c r="J77" s="6">
        <f t="shared" si="37"/>
        <v>4.2933182080085119E-2</v>
      </c>
      <c r="K77" s="2"/>
      <c r="L77" s="7">
        <f t="shared" si="38"/>
        <v>-489</v>
      </c>
      <c r="M77" s="2"/>
      <c r="N77" s="6">
        <f t="shared" si="39"/>
        <v>-3.9986916346389727E-2</v>
      </c>
      <c r="O77" s="11"/>
      <c r="P77" s="7">
        <v>11740</v>
      </c>
      <c r="Q77" s="2"/>
      <c r="R77" s="6">
        <f t="shared" si="40"/>
        <v>4.926753982120248E-2</v>
      </c>
      <c r="S77" s="2"/>
      <c r="T77" s="7">
        <v>12229</v>
      </c>
      <c r="U77" s="2"/>
      <c r="V77" s="6">
        <f t="shared" si="41"/>
        <v>4.2933182080085119E-2</v>
      </c>
      <c r="W77" s="2"/>
      <c r="X77" s="7">
        <f t="shared" si="42"/>
        <v>-489</v>
      </c>
      <c r="Y77" s="2"/>
      <c r="Z77" s="6">
        <f t="shared" si="43"/>
        <v>-3.9986916346389727E-2</v>
      </c>
    </row>
    <row r="78" spans="1:26" s="28" customFormat="1" outlineLevel="1" collapsed="1" x14ac:dyDescent="0.25">
      <c r="A78" s="27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SUM(OSRRefD22_13x_0)</f>
        <v>3000</v>
      </c>
      <c r="E78" s="1"/>
      <c r="F78" s="5">
        <f t="shared" si="36"/>
        <v>1.2589660942385641E-2</v>
      </c>
      <c r="G78" s="1"/>
      <c r="H78" s="1">
        <f>SUM(OSRRefH22_13x_0)</f>
        <v>3000</v>
      </c>
      <c r="I78" s="1"/>
      <c r="J78" s="5">
        <f t="shared" si="37"/>
        <v>1.0532304051047129E-2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SUM(OSRRefP22_13x_0)</f>
        <v>3000</v>
      </c>
      <c r="Q78" s="1"/>
      <c r="R78" s="5">
        <f t="shared" si="40"/>
        <v>1.2589660942385641E-2</v>
      </c>
      <c r="S78" s="1"/>
      <c r="T78" s="1">
        <f>SUM(OSRRefT22_13x_0)</f>
        <v>3000</v>
      </c>
      <c r="U78" s="1"/>
      <c r="V78" s="5">
        <f t="shared" si="41"/>
        <v>1.0532304051047129E-2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9"/>
      <c r="B79" s="11" t="str">
        <f>CONCATENATE("          ", "6273", " - ", "RENT")</f>
        <v xml:space="preserve">          6273 - RENT</v>
      </c>
      <c r="C79" s="11"/>
      <c r="D79" s="7">
        <v>3000</v>
      </c>
      <c r="E79" s="2"/>
      <c r="F79" s="6">
        <f t="shared" si="36"/>
        <v>1.2589660942385641E-2</v>
      </c>
      <c r="G79" s="2"/>
      <c r="H79" s="7">
        <v>3000</v>
      </c>
      <c r="I79" s="2"/>
      <c r="J79" s="6">
        <f t="shared" si="37"/>
        <v>1.0532304051047129E-2</v>
      </c>
      <c r="K79" s="2"/>
      <c r="L79" s="7">
        <f t="shared" si="38"/>
        <v>0</v>
      </c>
      <c r="M79" s="2"/>
      <c r="N79" s="6">
        <f t="shared" si="39"/>
        <v>0</v>
      </c>
      <c r="O79" s="11"/>
      <c r="P79" s="7">
        <v>3000</v>
      </c>
      <c r="Q79" s="2"/>
      <c r="R79" s="6">
        <f t="shared" si="40"/>
        <v>1.2589660942385641E-2</v>
      </c>
      <c r="S79" s="2"/>
      <c r="T79" s="7">
        <v>3000</v>
      </c>
      <c r="U79" s="2"/>
      <c r="V79" s="6">
        <f t="shared" si="41"/>
        <v>1.0532304051047129E-2</v>
      </c>
      <c r="W79" s="2"/>
      <c r="X79" s="7">
        <f t="shared" si="42"/>
        <v>0</v>
      </c>
      <c r="Y79" s="2"/>
      <c r="Z79" s="6">
        <f t="shared" si="43"/>
        <v>0</v>
      </c>
    </row>
    <row r="80" spans="1:26" s="28" customFormat="1" outlineLevel="1" collapsed="1" x14ac:dyDescent="0.25">
      <c r="A80" s="27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SUM(OSRRefD22_14x_0)</f>
        <v>27630.34</v>
      </c>
      <c r="E80" s="1"/>
      <c r="F80" s="5">
        <f t="shared" si="36"/>
        <v>0.11595220410761189</v>
      </c>
      <c r="G80" s="1"/>
      <c r="H80" s="1">
        <f>SUM(OSRRefH22_14x_0)</f>
        <v>25572.190000000002</v>
      </c>
      <c r="I80" s="1"/>
      <c r="J80" s="5">
        <f t="shared" si="37"/>
        <v>8.9778026777048978E-2</v>
      </c>
      <c r="K80" s="1"/>
      <c r="L80" s="1">
        <f t="shared" si="38"/>
        <v>2058.1499999999978</v>
      </c>
      <c r="M80" s="1"/>
      <c r="N80" s="5">
        <f t="shared" si="39"/>
        <v>8.0483916316905102E-2</v>
      </c>
      <c r="O80" s="14"/>
      <c r="P80" s="1">
        <f>SUM(OSRRefP22_14x_0)</f>
        <v>27630.34</v>
      </c>
      <c r="Q80" s="1"/>
      <c r="R80" s="5">
        <f t="shared" si="40"/>
        <v>0.11595220410761189</v>
      </c>
      <c r="S80" s="1"/>
      <c r="T80" s="1">
        <f>SUM(OSRRefT22_14x_0)</f>
        <v>25572.190000000002</v>
      </c>
      <c r="U80" s="1"/>
      <c r="V80" s="5">
        <f t="shared" si="41"/>
        <v>8.9778026777048978E-2</v>
      </c>
      <c r="W80" s="1"/>
      <c r="X80" s="1">
        <f t="shared" si="42"/>
        <v>2058.1499999999978</v>
      </c>
      <c r="Y80" s="1"/>
      <c r="Z80" s="5">
        <f t="shared" si="43"/>
        <v>8.0483916316905102E-2</v>
      </c>
    </row>
    <row r="81" spans="1:26" s="24" customFormat="1" hidden="1" outlineLevel="2" x14ac:dyDescent="0.25">
      <c r="A81" s="29"/>
      <c r="B81" s="11" t="str">
        <f>CONCATENATE("          ", "6373", " - ", "MAINTENANCE CONTRACTS")</f>
        <v xml:space="preserve">          6373 - MAINTENANCE CONTRACTS</v>
      </c>
      <c r="C81" s="11"/>
      <c r="D81" s="7">
        <v>6028.88</v>
      </c>
      <c r="E81" s="2"/>
      <c r="F81" s="6">
        <f t="shared" si="36"/>
        <v>2.5300518354109982E-2</v>
      </c>
      <c r="G81" s="2"/>
      <c r="H81" s="7">
        <v>6839.01</v>
      </c>
      <c r="I81" s="2"/>
      <c r="J81" s="6">
        <f t="shared" si="37"/>
        <v>2.4010177576050611E-2</v>
      </c>
      <c r="K81" s="2"/>
      <c r="L81" s="7">
        <f t="shared" si="38"/>
        <v>-810.13000000000011</v>
      </c>
      <c r="M81" s="2"/>
      <c r="N81" s="6">
        <f t="shared" si="39"/>
        <v>-0.11845720360110602</v>
      </c>
      <c r="O81" s="11"/>
      <c r="P81" s="7">
        <v>6028.88</v>
      </c>
      <c r="Q81" s="2"/>
      <c r="R81" s="6">
        <f t="shared" si="40"/>
        <v>2.5300518354109982E-2</v>
      </c>
      <c r="S81" s="2"/>
      <c r="T81" s="7">
        <v>6839.01</v>
      </c>
      <c r="U81" s="2"/>
      <c r="V81" s="6">
        <f t="shared" si="41"/>
        <v>2.4010177576050611E-2</v>
      </c>
      <c r="W81" s="2"/>
      <c r="X81" s="7">
        <f t="shared" si="42"/>
        <v>-810.13000000000011</v>
      </c>
      <c r="Y81" s="2"/>
      <c r="Z81" s="6">
        <f t="shared" si="43"/>
        <v>-0.11845720360110602</v>
      </c>
    </row>
    <row r="82" spans="1:26" s="24" customFormat="1" hidden="1" outlineLevel="2" x14ac:dyDescent="0.25">
      <c r="A82" s="29"/>
      <c r="B82" s="11" t="str">
        <f>CONCATENATE("          ", "6375", " - ", "OUTSIDE REPAIRS &amp; MAINTENANCE")</f>
        <v xml:space="preserve">          6375 - OUTSIDE REPAIRS &amp; MAINTENANCE</v>
      </c>
      <c r="C82" s="11"/>
      <c r="D82" s="7">
        <v>21601.46</v>
      </c>
      <c r="E82" s="2"/>
      <c r="F82" s="6">
        <f t="shared" si="36"/>
        <v>9.0651685753501909E-2</v>
      </c>
      <c r="G82" s="2"/>
      <c r="H82" s="7">
        <v>18733.18</v>
      </c>
      <c r="I82" s="2"/>
      <c r="J82" s="6">
        <f t="shared" si="37"/>
        <v>6.576784920099836E-2</v>
      </c>
      <c r="K82" s="2"/>
      <c r="L82" s="7">
        <f t="shared" si="38"/>
        <v>2868.2799999999988</v>
      </c>
      <c r="M82" s="2"/>
      <c r="N82" s="6">
        <f t="shared" si="39"/>
        <v>0.15311228526069781</v>
      </c>
      <c r="O82" s="11"/>
      <c r="P82" s="7">
        <v>21601.46</v>
      </c>
      <c r="Q82" s="2"/>
      <c r="R82" s="6">
        <f t="shared" si="40"/>
        <v>9.0651685753501909E-2</v>
      </c>
      <c r="S82" s="2"/>
      <c r="T82" s="7">
        <v>18733.18</v>
      </c>
      <c r="U82" s="2"/>
      <c r="V82" s="6">
        <f t="shared" si="41"/>
        <v>6.576784920099836E-2</v>
      </c>
      <c r="W82" s="2"/>
      <c r="X82" s="7">
        <f t="shared" si="42"/>
        <v>2868.2799999999988</v>
      </c>
      <c r="Y82" s="2"/>
      <c r="Z82" s="6">
        <f t="shared" si="43"/>
        <v>0.15311228526069781</v>
      </c>
    </row>
    <row r="83" spans="1:26" s="28" customFormat="1" outlineLevel="1" collapsed="1" x14ac:dyDescent="0.25">
      <c r="A83" s="27"/>
      <c r="B83" s="14" t="str">
        <f>CONCATENATE("     ","Royalty &amp; Commissions                             ")</f>
        <v xml:space="preserve">     Royalty &amp; Commissions                             </v>
      </c>
      <c r="C83" s="14"/>
      <c r="D83" s="1">
        <f>SUM(OSRRefD22_15x_0)</f>
        <v>16858.099999999999</v>
      </c>
      <c r="E83" s="1"/>
      <c r="F83" s="5">
        <f t="shared" ref="F83:F85" si="44">IF(D$12=0,0,D83/D$12)</f>
        <v>7.0745921044277127E-2</v>
      </c>
      <c r="G83" s="1"/>
      <c r="H83" s="1">
        <f>SUM(OSRRefH22_15x_0)</f>
        <v>15428.06</v>
      </c>
      <c r="I83" s="1"/>
      <c r="J83" s="5">
        <f t="shared" ref="J83:J85" si="45">IF(H$12=0,0,H83/H$12)</f>
        <v>5.4164339612599394E-2</v>
      </c>
      <c r="K83" s="1"/>
      <c r="L83" s="1">
        <f t="shared" ref="L83:L85" si="46">+D83-H83</f>
        <v>1430.0399999999991</v>
      </c>
      <c r="M83" s="1"/>
      <c r="N83" s="5">
        <f t="shared" ref="N83:N85" si="47">IF(H83=0,0,L83/H83)</f>
        <v>9.2690850307815695E-2</v>
      </c>
      <c r="O83" s="14"/>
      <c r="P83" s="1">
        <f>SUM(OSRRefP22_15x_0)</f>
        <v>16858.099999999999</v>
      </c>
      <c r="Q83" s="1"/>
      <c r="R83" s="5">
        <f t="shared" ref="R83:R85" si="48">IF(P$12=0,0,P83/P$12)</f>
        <v>7.0745921044277127E-2</v>
      </c>
      <c r="S83" s="1"/>
      <c r="T83" s="1">
        <f>SUM(OSRRefT22_15x_0)</f>
        <v>15428.06</v>
      </c>
      <c r="U83" s="1"/>
      <c r="V83" s="5">
        <f t="shared" ref="V83:V85" si="49">IF(T$12=0,0,T83/T$12)</f>
        <v>5.4164339612599394E-2</v>
      </c>
      <c r="W83" s="1"/>
      <c r="X83" s="1">
        <f t="shared" ref="X83:X85" si="50">+P83-T83</f>
        <v>1430.0399999999991</v>
      </c>
      <c r="Y83" s="1"/>
      <c r="Z83" s="5">
        <f t="shared" ref="Z83:Z85" si="51">IF(T83=0,0,X83/T83)</f>
        <v>9.2690850307815695E-2</v>
      </c>
    </row>
    <row r="84" spans="1:26" s="24" customFormat="1" hidden="1" outlineLevel="2" x14ac:dyDescent="0.25">
      <c r="A84" s="29"/>
      <c r="B84" s="11" t="str">
        <f>CONCATENATE("          ", "6254", " - ", "ROYALTY &amp; COMMISSIONS")</f>
        <v xml:space="preserve">          6254 - ROYALTY &amp; COMMISSIONS</v>
      </c>
      <c r="C84" s="11"/>
      <c r="D84" s="7">
        <v>13972.66</v>
      </c>
      <c r="E84" s="2"/>
      <c r="F84" s="6">
        <f t="shared" si="44"/>
        <v>5.8637017287744717E-2</v>
      </c>
      <c r="G84" s="2"/>
      <c r="H84" s="7">
        <v>12420.3</v>
      </c>
      <c r="I84" s="2"/>
      <c r="J84" s="6">
        <f t="shared" si="45"/>
        <v>4.3604792001740222E-2</v>
      </c>
      <c r="K84" s="2"/>
      <c r="L84" s="7">
        <f t="shared" si="46"/>
        <v>1552.3600000000006</v>
      </c>
      <c r="M84" s="2"/>
      <c r="N84" s="6">
        <f t="shared" si="47"/>
        <v>0.12498570887981778</v>
      </c>
      <c r="O84" s="11"/>
      <c r="P84" s="7">
        <v>13972.66</v>
      </c>
      <c r="Q84" s="2"/>
      <c r="R84" s="6">
        <f t="shared" si="48"/>
        <v>5.8637017287744717E-2</v>
      </c>
      <c r="S84" s="2"/>
      <c r="T84" s="7">
        <v>12420.3</v>
      </c>
      <c r="U84" s="2"/>
      <c r="V84" s="6">
        <f t="shared" si="49"/>
        <v>4.3604792001740222E-2</v>
      </c>
      <c r="W84" s="2"/>
      <c r="X84" s="7">
        <f t="shared" si="50"/>
        <v>1552.3600000000006</v>
      </c>
      <c r="Y84" s="2"/>
      <c r="Z84" s="6">
        <f t="shared" si="51"/>
        <v>0.12498570887981778</v>
      </c>
    </row>
    <row r="85" spans="1:26" s="24" customFormat="1" hidden="1" outlineLevel="2" x14ac:dyDescent="0.25">
      <c r="A85" s="29"/>
      <c r="B85" s="11" t="str">
        <f>CONCATENATE("          ", "6259", " - ", "ROYALTY &amp; COMMISSIONS")</f>
        <v xml:space="preserve">          6259 - ROYALTY &amp; COMMISSIONS</v>
      </c>
      <c r="C85" s="11"/>
      <c r="D85" s="7">
        <v>2885.44</v>
      </c>
      <c r="E85" s="2"/>
      <c r="F85" s="6">
        <f t="shared" si="44"/>
        <v>1.2108903756532409E-2</v>
      </c>
      <c r="G85" s="2"/>
      <c r="H85" s="7">
        <v>3007.76</v>
      </c>
      <c r="I85" s="2"/>
      <c r="J85" s="6">
        <f t="shared" si="45"/>
        <v>1.0559547610859173E-2</v>
      </c>
      <c r="K85" s="2"/>
      <c r="L85" s="7">
        <f t="shared" si="46"/>
        <v>-122.32000000000016</v>
      </c>
      <c r="M85" s="2"/>
      <c r="N85" s="6">
        <f t="shared" si="47"/>
        <v>-4.0668138415299142E-2</v>
      </c>
      <c r="O85" s="11"/>
      <c r="P85" s="7">
        <v>2885.44</v>
      </c>
      <c r="Q85" s="2"/>
      <c r="R85" s="6">
        <f t="shared" si="48"/>
        <v>1.2108903756532409E-2</v>
      </c>
      <c r="S85" s="2"/>
      <c r="T85" s="7">
        <v>3007.76</v>
      </c>
      <c r="U85" s="2"/>
      <c r="V85" s="6">
        <f t="shared" si="49"/>
        <v>1.0559547610859173E-2</v>
      </c>
      <c r="W85" s="2"/>
      <c r="X85" s="7">
        <f t="shared" si="50"/>
        <v>-122.32000000000016</v>
      </c>
      <c r="Y85" s="2"/>
      <c r="Z85" s="6">
        <f t="shared" si="51"/>
        <v>-4.0668138415299142E-2</v>
      </c>
    </row>
    <row r="86" spans="1:26" s="28" customFormat="1" outlineLevel="1" collapsed="1" x14ac:dyDescent="0.25">
      <c r="A86" s="27"/>
      <c r="B86" s="14" t="str">
        <f>CONCATENATE("     ","Services                                          ")</f>
        <v xml:space="preserve">     Services                                          </v>
      </c>
      <c r="C86" s="14"/>
      <c r="D86" s="1">
        <f>SUM(OSRRefD22_16x_0)</f>
        <v>23127.74</v>
      </c>
      <c r="E86" s="1"/>
      <c r="F86" s="5">
        <f t="shared" ref="F86:F91" si="52">IF(D$12=0,0,D86/D$12)</f>
        <v>9.7056801654550037E-2</v>
      </c>
      <c r="G86" s="1"/>
      <c r="H86" s="1">
        <f>SUM(OSRRefH22_16x_0)</f>
        <v>22210.579999999998</v>
      </c>
      <c r="I86" s="1"/>
      <c r="J86" s="5">
        <f t="shared" ref="J86:J91" si="53">IF(H$12=0,0,H86/H$12)</f>
        <v>7.7976193903368782E-2</v>
      </c>
      <c r="K86" s="1"/>
      <c r="L86" s="1">
        <f t="shared" ref="L86:L91" si="54">+D86-H86</f>
        <v>917.16000000000349</v>
      </c>
      <c r="M86" s="1"/>
      <c r="N86" s="5">
        <f t="shared" ref="N86:N91" si="55">IF(H86=0,0,L86/H86)</f>
        <v>4.1293833839548703E-2</v>
      </c>
      <c r="O86" s="14"/>
      <c r="P86" s="1">
        <f>SUM(OSRRefP22_16x_0)</f>
        <v>23127.74</v>
      </c>
      <c r="Q86" s="1"/>
      <c r="R86" s="5">
        <f t="shared" ref="R86:R91" si="56">IF(P$12=0,0,P86/P$12)</f>
        <v>9.7056801654550037E-2</v>
      </c>
      <c r="S86" s="1"/>
      <c r="T86" s="1">
        <f>SUM(OSRRefT22_16x_0)</f>
        <v>22210.579999999998</v>
      </c>
      <c r="U86" s="1"/>
      <c r="V86" s="5">
        <f t="shared" ref="V86:V91" si="57">IF(T$12=0,0,T86/T$12)</f>
        <v>7.7976193903368782E-2</v>
      </c>
      <c r="W86" s="1"/>
      <c r="X86" s="1">
        <f t="shared" ref="X86:X91" si="58">+P86-T86</f>
        <v>917.16000000000349</v>
      </c>
      <c r="Y86" s="1"/>
      <c r="Z86" s="5">
        <f t="shared" ref="Z86:Z91" si="59">IF(T86=0,0,X86/T86)</f>
        <v>4.1293833839548703E-2</v>
      </c>
    </row>
    <row r="87" spans="1:26" s="24" customFormat="1" hidden="1" outlineLevel="2" x14ac:dyDescent="0.25">
      <c r="A87" s="29"/>
      <c r="B87" s="11" t="str">
        <f>CONCATENATE("          ", "6282", " - ", "JANITORIAL/EXTERMINATOR EXPENS")</f>
        <v xml:space="preserve">          6282 - JANITORIAL/EXTERMINATOR EXPENS</v>
      </c>
      <c r="C87" s="11"/>
      <c r="D87" s="7">
        <v>1879.66</v>
      </c>
      <c r="E87" s="2"/>
      <c r="F87" s="6">
        <f t="shared" si="52"/>
        <v>7.888094028988199E-3</v>
      </c>
      <c r="G87" s="2"/>
      <c r="H87" s="7">
        <v>1782.7</v>
      </c>
      <c r="I87" s="2"/>
      <c r="J87" s="6">
        <f t="shared" si="53"/>
        <v>6.2586461439339061E-3</v>
      </c>
      <c r="K87" s="2"/>
      <c r="L87" s="7">
        <f t="shared" si="54"/>
        <v>96.960000000000036</v>
      </c>
      <c r="M87" s="2"/>
      <c r="N87" s="6">
        <f t="shared" si="55"/>
        <v>5.4389409322937135E-2</v>
      </c>
      <c r="O87" s="11"/>
      <c r="P87" s="7">
        <v>1879.66</v>
      </c>
      <c r="Q87" s="2"/>
      <c r="R87" s="6">
        <f t="shared" si="56"/>
        <v>7.888094028988199E-3</v>
      </c>
      <c r="S87" s="2"/>
      <c r="T87" s="7">
        <v>1782.7</v>
      </c>
      <c r="U87" s="2"/>
      <c r="V87" s="6">
        <f t="shared" si="57"/>
        <v>6.2586461439339061E-3</v>
      </c>
      <c r="W87" s="2"/>
      <c r="X87" s="7">
        <f t="shared" si="58"/>
        <v>96.960000000000036</v>
      </c>
      <c r="Y87" s="2"/>
      <c r="Z87" s="6">
        <f t="shared" si="59"/>
        <v>5.4389409322937135E-2</v>
      </c>
    </row>
    <row r="88" spans="1:26" s="24" customFormat="1" hidden="1" outlineLevel="2" x14ac:dyDescent="0.25">
      <c r="A88" s="29"/>
      <c r="B88" s="11" t="str">
        <f>CONCATENATE("          ", "6283", " - ", "PLANT SERVICE")</f>
        <v xml:space="preserve">          6283 - PLANT SERVICE</v>
      </c>
      <c r="C88" s="11"/>
      <c r="D88" s="7">
        <v>199.78</v>
      </c>
      <c r="E88" s="2"/>
      <c r="F88" s="6">
        <f t="shared" si="52"/>
        <v>8.3838748768993445E-4</v>
      </c>
      <c r="G88" s="2"/>
      <c r="H88" s="7">
        <v>176</v>
      </c>
      <c r="I88" s="2"/>
      <c r="J88" s="6">
        <f t="shared" si="53"/>
        <v>6.1789517099476493E-4</v>
      </c>
      <c r="K88" s="2"/>
      <c r="L88" s="7">
        <f t="shared" si="54"/>
        <v>23.78</v>
      </c>
      <c r="M88" s="2"/>
      <c r="N88" s="6">
        <f t="shared" si="55"/>
        <v>0.13511363636363638</v>
      </c>
      <c r="O88" s="11"/>
      <c r="P88" s="7">
        <v>199.78</v>
      </c>
      <c r="Q88" s="2"/>
      <c r="R88" s="6">
        <f t="shared" si="56"/>
        <v>8.3838748768993445E-4</v>
      </c>
      <c r="S88" s="2"/>
      <c r="T88" s="7">
        <v>176</v>
      </c>
      <c r="U88" s="2"/>
      <c r="V88" s="6">
        <f t="shared" si="57"/>
        <v>6.1789517099476493E-4</v>
      </c>
      <c r="W88" s="2"/>
      <c r="X88" s="7">
        <f t="shared" si="58"/>
        <v>23.78</v>
      </c>
      <c r="Y88" s="2"/>
      <c r="Z88" s="6">
        <f t="shared" si="59"/>
        <v>0.13511363636363638</v>
      </c>
    </row>
    <row r="89" spans="1:26" s="24" customFormat="1" hidden="1" outlineLevel="2" x14ac:dyDescent="0.25">
      <c r="A89" s="29"/>
      <c r="B89" s="11" t="str">
        <f>CONCATENATE("          ", "6284", " - ", "TRASH REMOVAL EXPENSE")</f>
        <v xml:space="preserve">          6284 - TRASH REMOVAL EXPENSE</v>
      </c>
      <c r="C89" s="11"/>
      <c r="D89" s="7">
        <v>4436</v>
      </c>
      <c r="E89" s="2"/>
      <c r="F89" s="6">
        <f t="shared" si="52"/>
        <v>1.8615911980140901E-2</v>
      </c>
      <c r="G89" s="2"/>
      <c r="H89" s="7">
        <v>3373</v>
      </c>
      <c r="I89" s="2"/>
      <c r="J89" s="6">
        <f t="shared" si="53"/>
        <v>1.184182052139399E-2</v>
      </c>
      <c r="K89" s="2"/>
      <c r="L89" s="7">
        <f t="shared" si="54"/>
        <v>1063</v>
      </c>
      <c r="M89" s="2"/>
      <c r="N89" s="6">
        <f t="shared" si="55"/>
        <v>0.31514971835161576</v>
      </c>
      <c r="O89" s="11"/>
      <c r="P89" s="7">
        <v>4436</v>
      </c>
      <c r="Q89" s="2"/>
      <c r="R89" s="6">
        <f t="shared" si="56"/>
        <v>1.8615911980140901E-2</v>
      </c>
      <c r="S89" s="2"/>
      <c r="T89" s="7">
        <v>3373</v>
      </c>
      <c r="U89" s="2"/>
      <c r="V89" s="6">
        <f t="shared" si="57"/>
        <v>1.184182052139399E-2</v>
      </c>
      <c r="W89" s="2"/>
      <c r="X89" s="7">
        <f t="shared" si="58"/>
        <v>1063</v>
      </c>
      <c r="Y89" s="2"/>
      <c r="Z89" s="6">
        <f t="shared" si="59"/>
        <v>0.31514971835161576</v>
      </c>
    </row>
    <row r="90" spans="1:26" s="24" customFormat="1" hidden="1" outlineLevel="2" x14ac:dyDescent="0.25">
      <c r="A90" s="29"/>
      <c r="B90" s="11" t="str">
        <f>CONCATENATE("          ", "6285", " - ", "JANITORIAL SERVICES")</f>
        <v xml:space="preserve">          6285 - JANITORIAL SERVICES</v>
      </c>
      <c r="C90" s="11"/>
      <c r="D90" s="7">
        <v>12917.08</v>
      </c>
      <c r="E90" s="2"/>
      <c r="F90" s="6">
        <f t="shared" si="52"/>
        <v>5.4207219188556907E-2</v>
      </c>
      <c r="G90" s="2"/>
      <c r="H90" s="7">
        <v>12523.01</v>
      </c>
      <c r="I90" s="2"/>
      <c r="J90" s="6">
        <f t="shared" si="53"/>
        <v>4.396538298476791E-2</v>
      </c>
      <c r="K90" s="2"/>
      <c r="L90" s="7">
        <f t="shared" si="54"/>
        <v>394.06999999999971</v>
      </c>
      <c r="M90" s="2"/>
      <c r="N90" s="6">
        <f t="shared" si="55"/>
        <v>3.1467674305139075E-2</v>
      </c>
      <c r="O90" s="11"/>
      <c r="P90" s="7">
        <v>12917.08</v>
      </c>
      <c r="Q90" s="2"/>
      <c r="R90" s="6">
        <f t="shared" si="56"/>
        <v>5.4207219188556907E-2</v>
      </c>
      <c r="S90" s="2"/>
      <c r="T90" s="7">
        <v>12523.01</v>
      </c>
      <c r="U90" s="2"/>
      <c r="V90" s="6">
        <f t="shared" si="57"/>
        <v>4.396538298476791E-2</v>
      </c>
      <c r="W90" s="2"/>
      <c r="X90" s="7">
        <f t="shared" si="58"/>
        <v>394.06999999999971</v>
      </c>
      <c r="Y90" s="2"/>
      <c r="Z90" s="6">
        <f t="shared" si="59"/>
        <v>3.1467674305139075E-2</v>
      </c>
    </row>
    <row r="91" spans="1:26" s="24" customFormat="1" hidden="1" outlineLevel="2" x14ac:dyDescent="0.25">
      <c r="A91" s="29"/>
      <c r="B91" s="11" t="str">
        <f>CONCATENATE("          ", "6286", " - ", "LAUNDRY EXPENSE")</f>
        <v xml:space="preserve">          6286 - LAUNDRY EXPENSE</v>
      </c>
      <c r="C91" s="11"/>
      <c r="D91" s="7">
        <v>3695.22</v>
      </c>
      <c r="E91" s="2"/>
      <c r="F91" s="6">
        <f t="shared" si="52"/>
        <v>1.550718896917409E-2</v>
      </c>
      <c r="G91" s="2"/>
      <c r="H91" s="7">
        <v>4355.87</v>
      </c>
      <c r="I91" s="2"/>
      <c r="J91" s="6">
        <f t="shared" si="53"/>
        <v>1.529244908227822E-2</v>
      </c>
      <c r="K91" s="2"/>
      <c r="L91" s="7">
        <f t="shared" si="54"/>
        <v>-660.65000000000009</v>
      </c>
      <c r="M91" s="2"/>
      <c r="N91" s="6">
        <f t="shared" si="55"/>
        <v>-0.15166889737297029</v>
      </c>
      <c r="O91" s="11"/>
      <c r="P91" s="7">
        <v>3695.22</v>
      </c>
      <c r="Q91" s="2"/>
      <c r="R91" s="6">
        <f t="shared" si="56"/>
        <v>1.550718896917409E-2</v>
      </c>
      <c r="S91" s="2"/>
      <c r="T91" s="7">
        <v>4355.87</v>
      </c>
      <c r="U91" s="2"/>
      <c r="V91" s="6">
        <f t="shared" si="57"/>
        <v>1.529244908227822E-2</v>
      </c>
      <c r="W91" s="2"/>
      <c r="X91" s="7">
        <f t="shared" si="58"/>
        <v>-660.65000000000009</v>
      </c>
      <c r="Y91" s="2"/>
      <c r="Z91" s="6">
        <f t="shared" si="59"/>
        <v>-0.15166889737297029</v>
      </c>
    </row>
    <row r="92" spans="1:26" s="28" customFormat="1" outlineLevel="1" collapsed="1" x14ac:dyDescent="0.25">
      <c r="A92" s="27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1">
        <f>SUM(OSRRefD22_17x_0)</f>
        <v>569.82000000000005</v>
      </c>
      <c r="E92" s="1"/>
      <c r="F92" s="5">
        <f t="shared" ref="F92:F94" si="60">IF(D$12=0,0,D92/D$12)</f>
        <v>2.3912801993967291E-3</v>
      </c>
      <c r="G92" s="1"/>
      <c r="H92" s="1">
        <f>SUM(OSRRefH22_17x_0)</f>
        <v>93.16</v>
      </c>
      <c r="I92" s="1"/>
      <c r="J92" s="5">
        <f t="shared" ref="J92:J94" si="61">IF(H$12=0,0,H92/H$12)</f>
        <v>3.2706314846518356E-4</v>
      </c>
      <c r="K92" s="1"/>
      <c r="L92" s="1">
        <f t="shared" ref="L92:L94" si="62">+D92-H92</f>
        <v>476.66000000000008</v>
      </c>
      <c r="M92" s="1"/>
      <c r="N92" s="5">
        <f t="shared" ref="N92:N94" si="63">IF(H92=0,0,L92/H92)</f>
        <v>5.1165736367539729</v>
      </c>
      <c r="O92" s="14"/>
      <c r="P92" s="1">
        <f>SUM(OSRRefP22_17x_0)</f>
        <v>569.82000000000005</v>
      </c>
      <c r="Q92" s="1"/>
      <c r="R92" s="5">
        <f t="shared" ref="R92:R94" si="64">IF(P$12=0,0,P92/P$12)</f>
        <v>2.3912801993967291E-3</v>
      </c>
      <c r="S92" s="1"/>
      <c r="T92" s="1">
        <f>SUM(OSRRefT22_17x_0)</f>
        <v>93.16</v>
      </c>
      <c r="U92" s="1"/>
      <c r="V92" s="5">
        <f t="shared" ref="V92:V94" si="65">IF(T$12=0,0,T92/T$12)</f>
        <v>3.2706314846518356E-4</v>
      </c>
      <c r="W92" s="1"/>
      <c r="X92" s="1">
        <f t="shared" ref="X92:X94" si="66">+P92-T92</f>
        <v>476.66000000000008</v>
      </c>
      <c r="Y92" s="1"/>
      <c r="Z92" s="5">
        <f t="shared" ref="Z92:Z94" si="67">IF(T92=0,0,X92/T92)</f>
        <v>5.1165736367539729</v>
      </c>
    </row>
    <row r="93" spans="1:26" s="24" customFormat="1" hidden="1" outlineLevel="2" x14ac:dyDescent="0.25">
      <c r="A93" s="29"/>
      <c r="B93" s="11" t="str">
        <f>CONCATENATE("          ", "6258", " - ", "MEMBERSHIP DUES")</f>
        <v xml:space="preserve">          6258 - MEMBERSHIP DUES</v>
      </c>
      <c r="C93" s="11"/>
      <c r="D93" s="7"/>
      <c r="E93" s="2"/>
      <c r="F93" s="6">
        <f t="shared" si="60"/>
        <v>0</v>
      </c>
      <c r="G93" s="2"/>
      <c r="H93" s="7">
        <v>31.8</v>
      </c>
      <c r="I93" s="2"/>
      <c r="J93" s="6">
        <f t="shared" si="61"/>
        <v>1.1164242294109958E-4</v>
      </c>
      <c r="K93" s="2"/>
      <c r="L93" s="7">
        <f t="shared" si="62"/>
        <v>-31.8</v>
      </c>
      <c r="M93" s="2"/>
      <c r="N93" s="6">
        <f t="shared" si="63"/>
        <v>-1</v>
      </c>
      <c r="O93" s="11"/>
      <c r="P93" s="7"/>
      <c r="Q93" s="2"/>
      <c r="R93" s="6">
        <f t="shared" si="64"/>
        <v>0</v>
      </c>
      <c r="S93" s="2"/>
      <c r="T93" s="7">
        <v>31.8</v>
      </c>
      <c r="U93" s="2"/>
      <c r="V93" s="6">
        <f t="shared" si="65"/>
        <v>1.1164242294109958E-4</v>
      </c>
      <c r="W93" s="2"/>
      <c r="X93" s="7">
        <f t="shared" si="66"/>
        <v>-31.8</v>
      </c>
      <c r="Y93" s="2"/>
      <c r="Z93" s="6">
        <f t="shared" si="67"/>
        <v>-1</v>
      </c>
    </row>
    <row r="94" spans="1:26" s="24" customFormat="1" hidden="1" outlineLevel="2" x14ac:dyDescent="0.25">
      <c r="A94" s="29"/>
      <c r="B94" s="11" t="str">
        <f>CONCATENATE("          ", "6275", " - ", "SUBSCRIPTIONS")</f>
        <v xml:space="preserve">          6275 - SUBSCRIPTIONS</v>
      </c>
      <c r="C94" s="11"/>
      <c r="D94" s="7">
        <v>569.82000000000005</v>
      </c>
      <c r="E94" s="2"/>
      <c r="F94" s="6">
        <f t="shared" si="60"/>
        <v>2.3912801993967291E-3</v>
      </c>
      <c r="G94" s="2"/>
      <c r="H94" s="7">
        <v>61.36</v>
      </c>
      <c r="I94" s="2"/>
      <c r="J94" s="6">
        <f t="shared" si="61"/>
        <v>2.1542072552408397E-4</v>
      </c>
      <c r="K94" s="2"/>
      <c r="L94" s="7">
        <f t="shared" si="62"/>
        <v>508.46000000000004</v>
      </c>
      <c r="M94" s="2"/>
      <c r="N94" s="6">
        <f t="shared" si="63"/>
        <v>8.286505867014343</v>
      </c>
      <c r="O94" s="11"/>
      <c r="P94" s="7">
        <v>569.82000000000005</v>
      </c>
      <c r="Q94" s="2"/>
      <c r="R94" s="6">
        <f t="shared" si="64"/>
        <v>2.3912801993967291E-3</v>
      </c>
      <c r="S94" s="2"/>
      <c r="T94" s="7">
        <v>61.36</v>
      </c>
      <c r="U94" s="2"/>
      <c r="V94" s="6">
        <f t="shared" si="65"/>
        <v>2.1542072552408397E-4</v>
      </c>
      <c r="W94" s="2"/>
      <c r="X94" s="7">
        <f t="shared" si="66"/>
        <v>508.46000000000004</v>
      </c>
      <c r="Y94" s="2"/>
      <c r="Z94" s="6">
        <f t="shared" si="67"/>
        <v>8.286505867014343</v>
      </c>
    </row>
    <row r="95" spans="1:26" s="28" customFormat="1" outlineLevel="1" collapsed="1" x14ac:dyDescent="0.25">
      <c r="A95" s="27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SUM(OSRRefD22_18x_0)</f>
        <v>24206.949999999997</v>
      </c>
      <c r="E95" s="1"/>
      <c r="F95" s="5">
        <f t="shared" ref="F95:F103" si="68">IF(D$12=0,0,D95/D$12)</f>
        <v>0.10158576431642735</v>
      </c>
      <c r="G95" s="1"/>
      <c r="H95" s="1">
        <f>SUM(OSRRefH22_18x_0)</f>
        <v>23299.949999999997</v>
      </c>
      <c r="I95" s="1"/>
      <c r="J95" s="5">
        <f t="shared" ref="J95:J103" si="69">IF(H$12=0,0,H95/H$12)</f>
        <v>8.1800719258065188E-2</v>
      </c>
      <c r="K95" s="1"/>
      <c r="L95" s="1">
        <f t="shared" ref="L95:L103" si="70">+D95-H95</f>
        <v>907</v>
      </c>
      <c r="M95" s="1"/>
      <c r="N95" s="5">
        <f t="shared" ref="N95:N103" si="71">IF(H95=0,0,L95/H95)</f>
        <v>3.8927122161206362E-2</v>
      </c>
      <c r="O95" s="14"/>
      <c r="P95" s="1">
        <f>SUM(OSRRefP22_18x_0)</f>
        <v>24206.949999999997</v>
      </c>
      <c r="Q95" s="1"/>
      <c r="R95" s="5">
        <f t="shared" ref="R95:R103" si="72">IF(P$12=0,0,P95/P$12)</f>
        <v>0.10158576431642735</v>
      </c>
      <c r="S95" s="1"/>
      <c r="T95" s="1">
        <f>SUM(OSRRefT22_18x_0)</f>
        <v>23299.949999999997</v>
      </c>
      <c r="U95" s="1"/>
      <c r="V95" s="5">
        <f t="shared" ref="V95:V103" si="73">IF(T$12=0,0,T95/T$12)</f>
        <v>8.1800719258065188E-2</v>
      </c>
      <c r="W95" s="1"/>
      <c r="X95" s="1">
        <f t="shared" ref="X95:X103" si="74">+P95-T95</f>
        <v>907</v>
      </c>
      <c r="Y95" s="1"/>
      <c r="Z95" s="5">
        <f t="shared" ref="Z95:Z103" si="75">IF(T95=0,0,X95/T95)</f>
        <v>3.8927122161206362E-2</v>
      </c>
    </row>
    <row r="96" spans="1:26" s="24" customFormat="1" hidden="1" outlineLevel="2" x14ac:dyDescent="0.25">
      <c r="A96" s="29"/>
      <c r="B96" s="11" t="str">
        <f>CONCATENATE("          ", "6234", " - ", "EXPENDABLE SUPPLIES &amp; EQUIPMEN")</f>
        <v xml:space="preserve">          6234 - EXPENDABLE SUPPLIES &amp; EQUIPMEN</v>
      </c>
      <c r="C96" s="11"/>
      <c r="D96" s="7"/>
      <c r="E96" s="2"/>
      <c r="F96" s="6">
        <f t="shared" si="68"/>
        <v>0</v>
      </c>
      <c r="G96" s="2"/>
      <c r="H96" s="7">
        <v>2432.98</v>
      </c>
      <c r="I96" s="2"/>
      <c r="J96" s="6">
        <f t="shared" si="69"/>
        <v>8.5416283700388822E-3</v>
      </c>
      <c r="K96" s="2"/>
      <c r="L96" s="7">
        <f t="shared" si="70"/>
        <v>-2432.98</v>
      </c>
      <c r="M96" s="2"/>
      <c r="N96" s="6">
        <f t="shared" si="71"/>
        <v>-1</v>
      </c>
      <c r="O96" s="11"/>
      <c r="P96" s="7"/>
      <c r="Q96" s="2"/>
      <c r="R96" s="6">
        <f t="shared" si="72"/>
        <v>0</v>
      </c>
      <c r="S96" s="2"/>
      <c r="T96" s="7">
        <v>2432.98</v>
      </c>
      <c r="U96" s="2"/>
      <c r="V96" s="6">
        <f t="shared" si="73"/>
        <v>8.5416283700388822E-3</v>
      </c>
      <c r="W96" s="2"/>
      <c r="X96" s="7">
        <f t="shared" si="74"/>
        <v>-2432.98</v>
      </c>
      <c r="Y96" s="2"/>
      <c r="Z96" s="6">
        <f t="shared" si="75"/>
        <v>-1</v>
      </c>
    </row>
    <row r="97" spans="1:26" s="24" customFormat="1" hidden="1" outlineLevel="2" x14ac:dyDescent="0.25">
      <c r="A97" s="29"/>
      <c r="B97" s="11" t="str">
        <f>CONCATENATE("          ", "6237", " - ", "JANITORIAL SUPPLIES")</f>
        <v xml:space="preserve">          6237 - JANITORIAL SUPPLIES</v>
      </c>
      <c r="C97" s="11"/>
      <c r="D97" s="7">
        <v>4251.6400000000003</v>
      </c>
      <c r="E97" s="2"/>
      <c r="F97" s="6">
        <f t="shared" si="68"/>
        <v>1.784223534969483E-2</v>
      </c>
      <c r="G97" s="2"/>
      <c r="H97" s="7">
        <v>5817.02</v>
      </c>
      <c r="I97" s="2"/>
      <c r="J97" s="6">
        <f t="shared" si="69"/>
        <v>2.0422207770340726E-2</v>
      </c>
      <c r="K97" s="2"/>
      <c r="L97" s="7">
        <f t="shared" si="70"/>
        <v>-1565.38</v>
      </c>
      <c r="M97" s="2"/>
      <c r="N97" s="6">
        <f t="shared" si="71"/>
        <v>-0.26910342408999799</v>
      </c>
      <c r="O97" s="11"/>
      <c r="P97" s="7">
        <v>4251.6400000000003</v>
      </c>
      <c r="Q97" s="2"/>
      <c r="R97" s="6">
        <f t="shared" si="72"/>
        <v>1.784223534969483E-2</v>
      </c>
      <c r="S97" s="2"/>
      <c r="T97" s="7">
        <v>5817.02</v>
      </c>
      <c r="U97" s="2"/>
      <c r="V97" s="6">
        <f t="shared" si="73"/>
        <v>2.0422207770340726E-2</v>
      </c>
      <c r="W97" s="2"/>
      <c r="X97" s="7">
        <f t="shared" si="74"/>
        <v>-1565.38</v>
      </c>
      <c r="Y97" s="2"/>
      <c r="Z97" s="6">
        <f t="shared" si="75"/>
        <v>-0.26910342408999799</v>
      </c>
    </row>
    <row r="98" spans="1:26" s="24" customFormat="1" hidden="1" outlineLevel="2" x14ac:dyDescent="0.25">
      <c r="A98" s="29"/>
      <c r="B98" s="11" t="str">
        <f>CONCATENATE("          ", "6239", " - ", "KITCHEN SUPPLIES")</f>
        <v xml:space="preserve">          6239 - KITCHEN SUPPLIES</v>
      </c>
      <c r="C98" s="11"/>
      <c r="D98" s="7">
        <v>6419.53</v>
      </c>
      <c r="E98" s="2"/>
      <c r="F98" s="6">
        <f t="shared" si="68"/>
        <v>2.6939902036490965E-2</v>
      </c>
      <c r="G98" s="2"/>
      <c r="H98" s="7">
        <v>1621.22</v>
      </c>
      <c r="I98" s="2"/>
      <c r="J98" s="6">
        <f t="shared" si="69"/>
        <v>5.6917273245462091E-3</v>
      </c>
      <c r="K98" s="2"/>
      <c r="L98" s="7">
        <f t="shared" si="70"/>
        <v>4798.3099999999995</v>
      </c>
      <c r="M98" s="2"/>
      <c r="N98" s="6">
        <f t="shared" si="71"/>
        <v>2.9596908501005412</v>
      </c>
      <c r="O98" s="11"/>
      <c r="P98" s="7">
        <v>6419.53</v>
      </c>
      <c r="Q98" s="2"/>
      <c r="R98" s="6">
        <f t="shared" si="72"/>
        <v>2.6939902036490965E-2</v>
      </c>
      <c r="S98" s="2"/>
      <c r="T98" s="7">
        <v>1621.22</v>
      </c>
      <c r="U98" s="2"/>
      <c r="V98" s="6">
        <f t="shared" si="73"/>
        <v>5.6917273245462091E-3</v>
      </c>
      <c r="W98" s="2"/>
      <c r="X98" s="7">
        <f t="shared" si="74"/>
        <v>4798.3099999999995</v>
      </c>
      <c r="Y98" s="2"/>
      <c r="Z98" s="6">
        <f t="shared" si="75"/>
        <v>2.9596908501005412</v>
      </c>
    </row>
    <row r="99" spans="1:26" s="24" customFormat="1" hidden="1" outlineLevel="2" x14ac:dyDescent="0.25">
      <c r="A99" s="29"/>
      <c r="B99" s="11" t="str">
        <f>CONCATENATE("          ", "6241", " - ", "OFFICE EXPENSE")</f>
        <v xml:space="preserve">          6241 - OFFICE EXPENSE</v>
      </c>
      <c r="C99" s="11"/>
      <c r="D99" s="7">
        <v>3018.64</v>
      </c>
      <c r="E99" s="2"/>
      <c r="F99" s="6">
        <f t="shared" si="68"/>
        <v>1.266788470237433E-2</v>
      </c>
      <c r="G99" s="2"/>
      <c r="H99" s="7">
        <v>8231.83</v>
      </c>
      <c r="I99" s="2"/>
      <c r="J99" s="6">
        <f t="shared" si="69"/>
        <v>2.8900045485510433E-2</v>
      </c>
      <c r="K99" s="2"/>
      <c r="L99" s="7">
        <f t="shared" si="70"/>
        <v>-5213.1900000000005</v>
      </c>
      <c r="M99" s="2"/>
      <c r="N99" s="6">
        <f t="shared" si="71"/>
        <v>-0.63329660597947246</v>
      </c>
      <c r="O99" s="11"/>
      <c r="P99" s="7">
        <v>3018.64</v>
      </c>
      <c r="Q99" s="2"/>
      <c r="R99" s="6">
        <f t="shared" si="72"/>
        <v>1.266788470237433E-2</v>
      </c>
      <c r="S99" s="2"/>
      <c r="T99" s="7">
        <v>8231.83</v>
      </c>
      <c r="U99" s="2"/>
      <c r="V99" s="6">
        <f t="shared" si="73"/>
        <v>2.8900045485510433E-2</v>
      </c>
      <c r="W99" s="2"/>
      <c r="X99" s="7">
        <f t="shared" si="74"/>
        <v>-5213.1900000000005</v>
      </c>
      <c r="Y99" s="2"/>
      <c r="Z99" s="6">
        <f t="shared" si="75"/>
        <v>-0.63329660597947246</v>
      </c>
    </row>
    <row r="100" spans="1:26" s="24" customFormat="1" hidden="1" outlineLevel="2" x14ac:dyDescent="0.25">
      <c r="A100" s="29"/>
      <c r="B100" s="11" t="str">
        <f>CONCATENATE("          ", "6243", " - ", "PAPER SUPPLIES")</f>
        <v xml:space="preserve">          6243 - PAPER SUPPLIES</v>
      </c>
      <c r="C100" s="11"/>
      <c r="D100" s="7">
        <v>2838.31</v>
      </c>
      <c r="E100" s="2"/>
      <c r="F100" s="6">
        <f t="shared" si="68"/>
        <v>1.191112018312753E-2</v>
      </c>
      <c r="G100" s="2"/>
      <c r="H100" s="7">
        <v>2056.9299999999998</v>
      </c>
      <c r="I100" s="2"/>
      <c r="J100" s="6">
        <f t="shared" si="69"/>
        <v>7.2214040572401239E-3</v>
      </c>
      <c r="K100" s="2"/>
      <c r="L100" s="7">
        <f t="shared" si="70"/>
        <v>781.38000000000011</v>
      </c>
      <c r="M100" s="2"/>
      <c r="N100" s="6">
        <f t="shared" si="71"/>
        <v>0.37987680669735974</v>
      </c>
      <c r="O100" s="11"/>
      <c r="P100" s="7">
        <v>2838.31</v>
      </c>
      <c r="Q100" s="2"/>
      <c r="R100" s="6">
        <f t="shared" si="72"/>
        <v>1.191112018312753E-2</v>
      </c>
      <c r="S100" s="2"/>
      <c r="T100" s="7">
        <v>2056.9299999999998</v>
      </c>
      <c r="U100" s="2"/>
      <c r="V100" s="6">
        <f t="shared" si="73"/>
        <v>7.2214040572401239E-3</v>
      </c>
      <c r="W100" s="2"/>
      <c r="X100" s="7">
        <f t="shared" si="74"/>
        <v>781.38000000000011</v>
      </c>
      <c r="Y100" s="2"/>
      <c r="Z100" s="6">
        <f t="shared" si="75"/>
        <v>0.37987680669735974</v>
      </c>
    </row>
    <row r="101" spans="1:26" s="24" customFormat="1" hidden="1" outlineLevel="2" x14ac:dyDescent="0.25">
      <c r="A101" s="29"/>
      <c r="B101" s="11" t="str">
        <f>CONCATENATE("          ", "6245", " - ", "PRINTING")</f>
        <v xml:space="preserve">          6245 - PRINTING</v>
      </c>
      <c r="C101" s="11"/>
      <c r="D101" s="7">
        <v>137.76</v>
      </c>
      <c r="E101" s="2"/>
      <c r="F101" s="6">
        <f t="shared" si="68"/>
        <v>5.7811723047434865E-4</v>
      </c>
      <c r="G101" s="2"/>
      <c r="H101" s="7">
        <v>51.82</v>
      </c>
      <c r="I101" s="2"/>
      <c r="J101" s="6">
        <f t="shared" si="69"/>
        <v>1.8192799864175408E-4</v>
      </c>
      <c r="K101" s="2"/>
      <c r="L101" s="7">
        <f t="shared" si="70"/>
        <v>85.94</v>
      </c>
      <c r="M101" s="2"/>
      <c r="N101" s="6">
        <f t="shared" si="71"/>
        <v>1.6584330374372829</v>
      </c>
      <c r="O101" s="11"/>
      <c r="P101" s="7">
        <v>137.76</v>
      </c>
      <c r="Q101" s="2"/>
      <c r="R101" s="6">
        <f t="shared" si="72"/>
        <v>5.7811723047434865E-4</v>
      </c>
      <c r="S101" s="2"/>
      <c r="T101" s="7">
        <v>51.82</v>
      </c>
      <c r="U101" s="2"/>
      <c r="V101" s="6">
        <f t="shared" si="73"/>
        <v>1.8192799864175408E-4</v>
      </c>
      <c r="W101" s="2"/>
      <c r="X101" s="7">
        <f t="shared" si="74"/>
        <v>85.94</v>
      </c>
      <c r="Y101" s="2"/>
      <c r="Z101" s="6">
        <f t="shared" si="75"/>
        <v>1.6584330374372829</v>
      </c>
    </row>
    <row r="102" spans="1:26" s="24" customFormat="1" hidden="1" outlineLevel="2" x14ac:dyDescent="0.25">
      <c r="A102" s="29"/>
      <c r="B102" s="11" t="str">
        <f>CONCATENATE("          ", "6247", " - ", "STORE SUPPLIES")</f>
        <v xml:space="preserve">          6247 - STORE SUPPLIES</v>
      </c>
      <c r="C102" s="11"/>
      <c r="D102" s="7">
        <v>6961.63</v>
      </c>
      <c r="E102" s="2"/>
      <c r="F102" s="6">
        <f t="shared" si="68"/>
        <v>2.9214853768780052E-2</v>
      </c>
      <c r="G102" s="2"/>
      <c r="H102" s="7">
        <v>146.47999999999999</v>
      </c>
      <c r="I102" s="2"/>
      <c r="J102" s="6">
        <f t="shared" si="69"/>
        <v>5.1425729913246116E-4</v>
      </c>
      <c r="K102" s="2"/>
      <c r="L102" s="7">
        <f t="shared" si="70"/>
        <v>6815.1500000000005</v>
      </c>
      <c r="M102" s="2"/>
      <c r="N102" s="6">
        <f t="shared" si="71"/>
        <v>46.526146914254511</v>
      </c>
      <c r="O102" s="11"/>
      <c r="P102" s="7">
        <v>6961.63</v>
      </c>
      <c r="Q102" s="2"/>
      <c r="R102" s="6">
        <f t="shared" si="72"/>
        <v>2.9214853768780052E-2</v>
      </c>
      <c r="S102" s="2"/>
      <c r="T102" s="7">
        <v>146.47999999999999</v>
      </c>
      <c r="U102" s="2"/>
      <c r="V102" s="6">
        <f t="shared" si="73"/>
        <v>5.1425729913246116E-4</v>
      </c>
      <c r="W102" s="2"/>
      <c r="X102" s="7">
        <f t="shared" si="74"/>
        <v>6815.1500000000005</v>
      </c>
      <c r="Y102" s="2"/>
      <c r="Z102" s="6">
        <f t="shared" si="75"/>
        <v>46.526146914254511</v>
      </c>
    </row>
    <row r="103" spans="1:26" s="24" customFormat="1" hidden="1" outlineLevel="2" x14ac:dyDescent="0.25">
      <c r="A103" s="29"/>
      <c r="B103" s="11" t="str">
        <f>CONCATENATE("          ", "6248", " - ", "UNIFORMS")</f>
        <v xml:space="preserve">          6248 - UNIFORMS</v>
      </c>
      <c r="C103" s="11"/>
      <c r="D103" s="7">
        <v>579.44000000000005</v>
      </c>
      <c r="E103" s="2"/>
      <c r="F103" s="6">
        <f t="shared" si="68"/>
        <v>2.4316510454853121E-3</v>
      </c>
      <c r="G103" s="2"/>
      <c r="H103" s="7">
        <v>2941.67</v>
      </c>
      <c r="I103" s="2"/>
      <c r="J103" s="6">
        <f t="shared" si="69"/>
        <v>1.0327520952614603E-2</v>
      </c>
      <c r="K103" s="2"/>
      <c r="L103" s="7">
        <f t="shared" si="70"/>
        <v>-2362.23</v>
      </c>
      <c r="M103" s="2"/>
      <c r="N103" s="6">
        <f t="shared" si="71"/>
        <v>-0.80302345266464281</v>
      </c>
      <c r="O103" s="11"/>
      <c r="P103" s="7">
        <v>579.44000000000005</v>
      </c>
      <c r="Q103" s="2"/>
      <c r="R103" s="6">
        <f t="shared" si="72"/>
        <v>2.4316510454853121E-3</v>
      </c>
      <c r="S103" s="2"/>
      <c r="T103" s="7">
        <v>2941.67</v>
      </c>
      <c r="U103" s="2"/>
      <c r="V103" s="6">
        <f t="shared" si="73"/>
        <v>1.0327520952614603E-2</v>
      </c>
      <c r="W103" s="2"/>
      <c r="X103" s="7">
        <f t="shared" si="74"/>
        <v>-2362.23</v>
      </c>
      <c r="Y103" s="2"/>
      <c r="Z103" s="6">
        <f t="shared" si="75"/>
        <v>-0.80302345266464281</v>
      </c>
    </row>
    <row r="104" spans="1:26" s="28" customFormat="1" outlineLevel="1" collapsed="1" x14ac:dyDescent="0.25">
      <c r="A104" s="27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SUM(OSRRefD22_19x_0)</f>
        <v>1185.1500000000001</v>
      </c>
      <c r="E104" s="1"/>
      <c r="F104" s="5">
        <f t="shared" ref="F104:F111" si="76">IF(D$12=0,0,D104/D$12)</f>
        <v>4.9735455552894483E-3</v>
      </c>
      <c r="G104" s="1"/>
      <c r="H104" s="1">
        <f>SUM(OSRRefH22_19x_0)</f>
        <v>1749.14</v>
      </c>
      <c r="I104" s="1"/>
      <c r="J104" s="5">
        <f t="shared" ref="J104:J111" si="77">IF(H$12=0,0,H104/H$12)</f>
        <v>6.1408247692828592E-3</v>
      </c>
      <c r="K104" s="1"/>
      <c r="L104" s="1">
        <f t="shared" ref="L104:L111" si="78">+D104-H104</f>
        <v>-563.99</v>
      </c>
      <c r="M104" s="1"/>
      <c r="N104" s="5">
        <f t="shared" ref="N104:N111" si="79">IF(H104=0,0,L104/H104)</f>
        <v>-0.32243845546954503</v>
      </c>
      <c r="O104" s="14"/>
      <c r="P104" s="1">
        <f>SUM(OSRRefP22_19x_0)</f>
        <v>1185.1500000000001</v>
      </c>
      <c r="Q104" s="1"/>
      <c r="R104" s="5">
        <f t="shared" ref="R104:R111" si="80">IF(P$12=0,0,P104/P$12)</f>
        <v>4.9735455552894483E-3</v>
      </c>
      <c r="S104" s="1"/>
      <c r="T104" s="1">
        <f>SUM(OSRRefT22_19x_0)</f>
        <v>1749.14</v>
      </c>
      <c r="U104" s="1"/>
      <c r="V104" s="5">
        <f t="shared" ref="V104:V111" si="81">IF(T$12=0,0,T104/T$12)</f>
        <v>6.1408247692828592E-3</v>
      </c>
      <c r="W104" s="1"/>
      <c r="X104" s="1">
        <f t="shared" ref="X104:X111" si="82">+P104-T104</f>
        <v>-563.99</v>
      </c>
      <c r="Y104" s="1"/>
      <c r="Z104" s="5">
        <f t="shared" ref="Z104:Z111" si="83">IF(T104=0,0,X104/T104)</f>
        <v>-0.32243845546954503</v>
      </c>
    </row>
    <row r="105" spans="1:26" s="24" customFormat="1" hidden="1" outlineLevel="2" x14ac:dyDescent="0.25">
      <c r="A105" s="29"/>
      <c r="B105" s="11" t="str">
        <f>CONCATENATE("          ", "6309", " - ", "TELEPHONE")</f>
        <v xml:space="preserve">          6309 - TELEPHONE</v>
      </c>
      <c r="C105" s="11"/>
      <c r="D105" s="7">
        <v>1185.1500000000001</v>
      </c>
      <c r="E105" s="2"/>
      <c r="F105" s="6">
        <f t="shared" si="76"/>
        <v>4.9735455552894483E-3</v>
      </c>
      <c r="G105" s="2"/>
      <c r="H105" s="7">
        <v>1749.14</v>
      </c>
      <c r="I105" s="2"/>
      <c r="J105" s="6">
        <f t="shared" si="77"/>
        <v>6.1408247692828592E-3</v>
      </c>
      <c r="K105" s="2"/>
      <c r="L105" s="7">
        <f t="shared" si="78"/>
        <v>-563.99</v>
      </c>
      <c r="M105" s="2"/>
      <c r="N105" s="6">
        <f t="shared" si="79"/>
        <v>-0.32243845546954503</v>
      </c>
      <c r="O105" s="11"/>
      <c r="P105" s="7">
        <v>1185.1500000000001</v>
      </c>
      <c r="Q105" s="2"/>
      <c r="R105" s="6">
        <f t="shared" si="80"/>
        <v>4.9735455552894483E-3</v>
      </c>
      <c r="S105" s="2"/>
      <c r="T105" s="7">
        <v>1749.14</v>
      </c>
      <c r="U105" s="2"/>
      <c r="V105" s="6">
        <f t="shared" si="81"/>
        <v>6.1408247692828592E-3</v>
      </c>
      <c r="W105" s="2"/>
      <c r="X105" s="7">
        <f t="shared" si="82"/>
        <v>-563.99</v>
      </c>
      <c r="Y105" s="2"/>
      <c r="Z105" s="6">
        <f t="shared" si="83"/>
        <v>-0.32243845546954503</v>
      </c>
    </row>
    <row r="106" spans="1:26" s="28" customFormat="1" outlineLevel="1" collapsed="1" x14ac:dyDescent="0.25">
      <c r="A106" s="27"/>
      <c r="B106" s="14" t="str">
        <f>CONCATENATE("     ","Training                                          ")</f>
        <v xml:space="preserve">     Training                                          </v>
      </c>
      <c r="C106" s="14"/>
      <c r="D106" s="1">
        <f>SUM(OSRRefD22_20x_0)</f>
        <v>868.85</v>
      </c>
      <c r="E106" s="1"/>
      <c r="F106" s="5">
        <f t="shared" si="76"/>
        <v>3.6461756365972551E-3</v>
      </c>
      <c r="G106" s="1"/>
      <c r="H106" s="1">
        <f>SUM(OSRRefH22_20x_0)</f>
        <v>296.48</v>
      </c>
      <c r="I106" s="1"/>
      <c r="J106" s="5">
        <f t="shared" si="77"/>
        <v>1.0408725016848178E-3</v>
      </c>
      <c r="K106" s="1"/>
      <c r="L106" s="1">
        <f t="shared" si="78"/>
        <v>572.37</v>
      </c>
      <c r="M106" s="1"/>
      <c r="N106" s="5">
        <f t="shared" si="79"/>
        <v>1.9305518078791148</v>
      </c>
      <c r="O106" s="14"/>
      <c r="P106" s="1">
        <f>SUM(OSRRefP22_20x_0)</f>
        <v>868.85</v>
      </c>
      <c r="Q106" s="1"/>
      <c r="R106" s="5">
        <f t="shared" si="80"/>
        <v>3.6461756365972551E-3</v>
      </c>
      <c r="S106" s="1"/>
      <c r="T106" s="1">
        <f>SUM(OSRRefT22_20x_0)</f>
        <v>296.48</v>
      </c>
      <c r="U106" s="1"/>
      <c r="V106" s="5">
        <f t="shared" si="81"/>
        <v>1.0408725016848178E-3</v>
      </c>
      <c r="W106" s="1"/>
      <c r="X106" s="1">
        <f t="shared" si="82"/>
        <v>572.37</v>
      </c>
      <c r="Y106" s="1"/>
      <c r="Z106" s="5">
        <f t="shared" si="83"/>
        <v>1.9305518078791148</v>
      </c>
    </row>
    <row r="107" spans="1:26" s="24" customFormat="1" hidden="1" outlineLevel="2" x14ac:dyDescent="0.25">
      <c r="A107" s="29"/>
      <c r="B107" s="11" t="str">
        <f>CONCATENATE("          ", "6376", " - ", "TRAINING")</f>
        <v xml:space="preserve">          6376 - TRAINING</v>
      </c>
      <c r="C107" s="11"/>
      <c r="D107" s="7">
        <v>868.85</v>
      </c>
      <c r="E107" s="2"/>
      <c r="F107" s="6">
        <f t="shared" si="76"/>
        <v>3.6461756365972551E-3</v>
      </c>
      <c r="G107" s="2"/>
      <c r="H107" s="7">
        <v>296.48</v>
      </c>
      <c r="I107" s="2"/>
      <c r="J107" s="6">
        <f t="shared" si="77"/>
        <v>1.0408725016848178E-3</v>
      </c>
      <c r="K107" s="2"/>
      <c r="L107" s="7">
        <f t="shared" si="78"/>
        <v>572.37</v>
      </c>
      <c r="M107" s="2"/>
      <c r="N107" s="6">
        <f t="shared" si="79"/>
        <v>1.9305518078791148</v>
      </c>
      <c r="O107" s="11"/>
      <c r="P107" s="7">
        <v>868.85</v>
      </c>
      <c r="Q107" s="2"/>
      <c r="R107" s="6">
        <f t="shared" si="80"/>
        <v>3.6461756365972551E-3</v>
      </c>
      <c r="S107" s="2"/>
      <c r="T107" s="7">
        <v>296.48</v>
      </c>
      <c r="U107" s="2"/>
      <c r="V107" s="6">
        <f t="shared" si="81"/>
        <v>1.0408725016848178E-3</v>
      </c>
      <c r="W107" s="2"/>
      <c r="X107" s="7">
        <f t="shared" si="82"/>
        <v>572.37</v>
      </c>
      <c r="Y107" s="2"/>
      <c r="Z107" s="6">
        <f t="shared" si="83"/>
        <v>1.9305518078791148</v>
      </c>
    </row>
    <row r="108" spans="1:26" s="28" customFormat="1" outlineLevel="1" collapsed="1" x14ac:dyDescent="0.25">
      <c r="A108" s="27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SUM(OSRRefD22_21x_0)</f>
        <v>764.32</v>
      </c>
      <c r="E108" s="1"/>
      <c r="F108" s="5">
        <f t="shared" si="76"/>
        <v>3.2075098838280649E-3</v>
      </c>
      <c r="G108" s="1"/>
      <c r="H108" s="1">
        <f>SUM(OSRRefH22_21x_0)</f>
        <v>1506.99</v>
      </c>
      <c r="I108" s="1"/>
      <c r="J108" s="5">
        <f t="shared" si="77"/>
        <v>5.290692293962505E-3</v>
      </c>
      <c r="K108" s="1"/>
      <c r="L108" s="1">
        <f t="shared" si="78"/>
        <v>-742.67</v>
      </c>
      <c r="M108" s="1"/>
      <c r="N108" s="5">
        <f t="shared" si="79"/>
        <v>-0.49281680701265435</v>
      </c>
      <c r="O108" s="14"/>
      <c r="P108" s="1">
        <f>SUM(OSRRefP22_21x_0)</f>
        <v>764.32</v>
      </c>
      <c r="Q108" s="1"/>
      <c r="R108" s="5">
        <f t="shared" si="80"/>
        <v>3.2075098838280649E-3</v>
      </c>
      <c r="S108" s="1"/>
      <c r="T108" s="1">
        <f>SUM(OSRRefT22_21x_0)</f>
        <v>1506.99</v>
      </c>
      <c r="U108" s="1"/>
      <c r="V108" s="5">
        <f t="shared" si="81"/>
        <v>5.290692293962505E-3</v>
      </c>
      <c r="W108" s="1"/>
      <c r="X108" s="1">
        <f t="shared" si="82"/>
        <v>-742.67</v>
      </c>
      <c r="Y108" s="1"/>
      <c r="Z108" s="5">
        <f t="shared" si="83"/>
        <v>-0.49281680701265435</v>
      </c>
    </row>
    <row r="109" spans="1:26" s="24" customFormat="1" hidden="1" outlineLevel="2" x14ac:dyDescent="0.25">
      <c r="A109" s="29"/>
      <c r="B109" s="11" t="str">
        <f>CONCATENATE("          ", "6292", " - ", "TRAVEL/CONFERENCE")</f>
        <v xml:space="preserve">          6292 - TRAVEL/CONFERENCE</v>
      </c>
      <c r="C109" s="11"/>
      <c r="D109" s="7">
        <v>505.23</v>
      </c>
      <c r="E109" s="2"/>
      <c r="F109" s="6">
        <f t="shared" si="76"/>
        <v>2.120224799307166E-3</v>
      </c>
      <c r="G109" s="2"/>
      <c r="H109" s="7">
        <v>178.03</v>
      </c>
      <c r="I109" s="2"/>
      <c r="J109" s="6">
        <f t="shared" si="77"/>
        <v>6.2502203006930689E-4</v>
      </c>
      <c r="K109" s="2"/>
      <c r="L109" s="7">
        <f t="shared" si="78"/>
        <v>327.20000000000005</v>
      </c>
      <c r="M109" s="2"/>
      <c r="N109" s="6">
        <f t="shared" si="79"/>
        <v>1.8378924900297704</v>
      </c>
      <c r="O109" s="11"/>
      <c r="P109" s="7">
        <v>505.23</v>
      </c>
      <c r="Q109" s="2"/>
      <c r="R109" s="6">
        <f t="shared" si="80"/>
        <v>2.120224799307166E-3</v>
      </c>
      <c r="S109" s="2"/>
      <c r="T109" s="7">
        <v>178.03</v>
      </c>
      <c r="U109" s="2"/>
      <c r="V109" s="6">
        <f t="shared" si="81"/>
        <v>6.2502203006930689E-4</v>
      </c>
      <c r="W109" s="2"/>
      <c r="X109" s="7">
        <f t="shared" si="82"/>
        <v>327.20000000000005</v>
      </c>
      <c r="Y109" s="2"/>
      <c r="Z109" s="6">
        <f t="shared" si="83"/>
        <v>1.8378924900297704</v>
      </c>
    </row>
    <row r="110" spans="1:26" s="24" customFormat="1" hidden="1" outlineLevel="2" x14ac:dyDescent="0.25">
      <c r="A110" s="29"/>
      <c r="B110" s="11" t="str">
        <f>CONCATENATE("          ", "6294", " - ", "TRAVEL OPERATIONAL")</f>
        <v xml:space="preserve">          6294 - TRAVEL OPERATIONAL</v>
      </c>
      <c r="C110" s="11"/>
      <c r="D110" s="7">
        <v>45.49</v>
      </c>
      <c r="E110" s="2"/>
      <c r="F110" s="6">
        <f t="shared" si="76"/>
        <v>1.9090122542304096E-4</v>
      </c>
      <c r="G110" s="2"/>
      <c r="H110" s="7">
        <v>1258.9000000000001</v>
      </c>
      <c r="I110" s="2"/>
      <c r="J110" s="6">
        <f t="shared" si="77"/>
        <v>4.4197058566210774E-3</v>
      </c>
      <c r="K110" s="2"/>
      <c r="L110" s="7">
        <f t="shared" si="78"/>
        <v>-1213.4100000000001</v>
      </c>
      <c r="M110" s="2"/>
      <c r="N110" s="6">
        <f t="shared" si="79"/>
        <v>-0.96386527921201048</v>
      </c>
      <c r="O110" s="11"/>
      <c r="P110" s="7">
        <v>45.49</v>
      </c>
      <c r="Q110" s="2"/>
      <c r="R110" s="6">
        <f t="shared" si="80"/>
        <v>1.9090122542304096E-4</v>
      </c>
      <c r="S110" s="2"/>
      <c r="T110" s="7">
        <v>1258.9000000000001</v>
      </c>
      <c r="U110" s="2"/>
      <c r="V110" s="6">
        <f t="shared" si="81"/>
        <v>4.4197058566210774E-3</v>
      </c>
      <c r="W110" s="2"/>
      <c r="X110" s="7">
        <f t="shared" si="82"/>
        <v>-1213.4100000000001</v>
      </c>
      <c r="Y110" s="2"/>
      <c r="Z110" s="6">
        <f t="shared" si="83"/>
        <v>-0.96386527921201048</v>
      </c>
    </row>
    <row r="111" spans="1:26" s="24" customFormat="1" hidden="1" outlineLevel="2" x14ac:dyDescent="0.25">
      <c r="A111" s="29"/>
      <c r="B111" s="11" t="str">
        <f>CONCATENATE("          ", "6298", " - ", "VEHICLE MILEAGE")</f>
        <v xml:space="preserve">          6298 - VEHICLE MILEAGE</v>
      </c>
      <c r="C111" s="11"/>
      <c r="D111" s="7">
        <v>213.6</v>
      </c>
      <c r="E111" s="2"/>
      <c r="F111" s="6">
        <f t="shared" si="76"/>
        <v>8.9638385909785769E-4</v>
      </c>
      <c r="G111" s="2"/>
      <c r="H111" s="7">
        <v>70.06</v>
      </c>
      <c r="I111" s="2"/>
      <c r="J111" s="6">
        <f t="shared" si="77"/>
        <v>2.4596440727212064E-4</v>
      </c>
      <c r="K111" s="2"/>
      <c r="L111" s="7">
        <f t="shared" si="78"/>
        <v>143.54</v>
      </c>
      <c r="M111" s="2"/>
      <c r="N111" s="6">
        <f t="shared" si="79"/>
        <v>2.0488153011704253</v>
      </c>
      <c r="O111" s="11"/>
      <c r="P111" s="7">
        <v>213.6</v>
      </c>
      <c r="Q111" s="2"/>
      <c r="R111" s="6">
        <f t="shared" si="80"/>
        <v>8.9638385909785769E-4</v>
      </c>
      <c r="S111" s="2"/>
      <c r="T111" s="7">
        <v>70.06</v>
      </c>
      <c r="U111" s="2"/>
      <c r="V111" s="6">
        <f t="shared" si="81"/>
        <v>2.4596440727212064E-4</v>
      </c>
      <c r="W111" s="2"/>
      <c r="X111" s="7">
        <f t="shared" si="82"/>
        <v>143.54</v>
      </c>
      <c r="Y111" s="2"/>
      <c r="Z111" s="6">
        <f t="shared" si="83"/>
        <v>2.0488153011704253</v>
      </c>
    </row>
    <row r="112" spans="1:26" s="28" customFormat="1" outlineLevel="1" collapsed="1" x14ac:dyDescent="0.25">
      <c r="A112" s="27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SUM(OSRRefD22_22x_0)</f>
        <v>14650</v>
      </c>
      <c r="E112" s="1"/>
      <c r="F112" s="5">
        <f t="shared" ref="F112:F113" si="84">IF(D$12=0,0,D112/D$12)</f>
        <v>6.1479510935316548E-2</v>
      </c>
      <c r="G112" s="1"/>
      <c r="H112" s="1">
        <f>SUM(OSRRefH22_22x_0)</f>
        <v>16490</v>
      </c>
      <c r="I112" s="1"/>
      <c r="J112" s="5">
        <f t="shared" ref="J112:J113" si="85">IF(H$12=0,0,H112/H$12)</f>
        <v>5.7892564600589058E-2</v>
      </c>
      <c r="K112" s="1"/>
      <c r="L112" s="1">
        <f t="shared" ref="L112:L113" si="86">+D112-H112</f>
        <v>-1840</v>
      </c>
      <c r="M112" s="1"/>
      <c r="N112" s="5">
        <f t="shared" ref="N112:N113" si="87">IF(H112=0,0,L112/H112)</f>
        <v>-0.11158277744087326</v>
      </c>
      <c r="O112" s="14"/>
      <c r="P112" s="1">
        <f>SUM(OSRRefP22_22x_0)</f>
        <v>14650</v>
      </c>
      <c r="Q112" s="1"/>
      <c r="R112" s="5">
        <f t="shared" ref="R112:R113" si="88">IF(P$12=0,0,P112/P$12)</f>
        <v>6.1479510935316548E-2</v>
      </c>
      <c r="S112" s="1"/>
      <c r="T112" s="1">
        <f>SUM(OSRRefT22_22x_0)</f>
        <v>16490</v>
      </c>
      <c r="U112" s="1"/>
      <c r="V112" s="5">
        <f t="shared" ref="V112:V113" si="89">IF(T$12=0,0,T112/T$12)</f>
        <v>5.7892564600589058E-2</v>
      </c>
      <c r="W112" s="1"/>
      <c r="X112" s="1">
        <f t="shared" ref="X112:X113" si="90">+P112-T112</f>
        <v>-1840</v>
      </c>
      <c r="Y112" s="1"/>
      <c r="Z112" s="5">
        <f t="shared" ref="Z112:Z113" si="91">IF(T112=0,0,X112/T112)</f>
        <v>-0.11158277744087326</v>
      </c>
    </row>
    <row r="113" spans="1:26" s="24" customFormat="1" hidden="1" outlineLevel="2" x14ac:dyDescent="0.25">
      <c r="A113" s="29"/>
      <c r="B113" s="11" t="str">
        <f>CONCATENATE("          ", "6274", " - ", "UTILITIES")</f>
        <v xml:space="preserve">          6274 - UTILITIES</v>
      </c>
      <c r="C113" s="11"/>
      <c r="D113" s="7">
        <v>14650</v>
      </c>
      <c r="E113" s="2"/>
      <c r="F113" s="6">
        <f t="shared" si="84"/>
        <v>6.1479510935316548E-2</v>
      </c>
      <c r="G113" s="2"/>
      <c r="H113" s="7">
        <v>16490</v>
      </c>
      <c r="I113" s="2"/>
      <c r="J113" s="6">
        <f t="shared" si="85"/>
        <v>5.7892564600589058E-2</v>
      </c>
      <c r="K113" s="2"/>
      <c r="L113" s="7">
        <f t="shared" si="86"/>
        <v>-1840</v>
      </c>
      <c r="M113" s="2"/>
      <c r="N113" s="6">
        <f t="shared" si="87"/>
        <v>-0.11158277744087326</v>
      </c>
      <c r="O113" s="11"/>
      <c r="P113" s="7">
        <v>14650</v>
      </c>
      <c r="Q113" s="2"/>
      <c r="R113" s="6">
        <f t="shared" si="88"/>
        <v>6.1479510935316548E-2</v>
      </c>
      <c r="S113" s="2"/>
      <c r="T113" s="7">
        <v>16490</v>
      </c>
      <c r="U113" s="2"/>
      <c r="V113" s="6">
        <f t="shared" si="89"/>
        <v>5.7892564600589058E-2</v>
      </c>
      <c r="W113" s="2"/>
      <c r="X113" s="7">
        <f t="shared" si="90"/>
        <v>-1840</v>
      </c>
      <c r="Y113" s="2"/>
      <c r="Z113" s="6">
        <f t="shared" si="91"/>
        <v>-0.11158277744087326</v>
      </c>
    </row>
    <row r="114" spans="1:26" s="54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6" t="s">
        <v>0</v>
      </c>
      <c r="C115" s="10"/>
      <c r="D115" s="4">
        <f>SUM(OSRRefD25x_0)</f>
        <v>50933.41</v>
      </c>
      <c r="E115" s="4"/>
      <c r="F115" s="12">
        <f t="shared" ref="F115:F118" si="92">IF(D$12=0,0,D115/D$12)</f>
        <v>0.21374478751317144</v>
      </c>
      <c r="G115" s="4"/>
      <c r="H115" s="4">
        <f>SUM(OSRRefH25x_0)</f>
        <v>17560.98</v>
      </c>
      <c r="I115" s="4"/>
      <c r="J115" s="12">
        <f t="shared" ref="J115:J118" si="93">IF(H$12=0,0,H115/H$12)</f>
        <v>6.1652526931452539E-2</v>
      </c>
      <c r="K115" s="4"/>
      <c r="L115" s="4">
        <f t="shared" ref="L115:L118" si="94">+D115-H115</f>
        <v>33372.430000000008</v>
      </c>
      <c r="M115" s="4"/>
      <c r="N115" s="12">
        <f t="shared" ref="N115:N118" si="95">IF(H115=0,0,L115/H115)</f>
        <v>1.9003740110176088</v>
      </c>
      <c r="O115" s="10"/>
      <c r="P115" s="4">
        <f>SUM(OSRRefP25x_0)</f>
        <v>50933.41</v>
      </c>
      <c r="Q115" s="4"/>
      <c r="R115" s="12">
        <f t="shared" ref="R115:R118" si="96">IF(P$12=0,0,P115/P$12)</f>
        <v>0.21374478751317144</v>
      </c>
      <c r="S115" s="4"/>
      <c r="T115" s="4">
        <f>SUM(OSRRefT25x_0)</f>
        <v>17560.98</v>
      </c>
      <c r="U115" s="4"/>
      <c r="V115" s="12">
        <f t="shared" ref="V115:V118" si="97">IF(T$12=0,0,T115/T$12)</f>
        <v>6.1652526931452539E-2</v>
      </c>
      <c r="W115" s="4"/>
      <c r="X115" s="4">
        <f t="shared" ref="X115:X118" si="98">+P115-T115</f>
        <v>33372.430000000008</v>
      </c>
      <c r="Y115" s="4"/>
      <c r="Z115" s="12">
        <f t="shared" ref="Z115:Z118" si="99">IF(T115=0,0,X115/T115)</f>
        <v>1.9003740110176088</v>
      </c>
    </row>
    <row r="116" spans="1:26" s="24" customFormat="1" hidden="1" outlineLevel="1" x14ac:dyDescent="0.25">
      <c r="A116" s="50"/>
      <c r="B116" s="11" t="str">
        <f>CONCATENATE("          ", "9150", " - ", "MISC. INCOME")</f>
        <v xml:space="preserve">          9150 - MISC. INCOME</v>
      </c>
      <c r="C116" s="11"/>
      <c r="D116" s="2">
        <f>--41260.26</f>
        <v>41260.26</v>
      </c>
      <c r="E116" s="2"/>
      <c r="F116" s="22">
        <f t="shared" si="92"/>
        <v>0.17315089459822552</v>
      </c>
      <c r="G116" s="2"/>
      <c r="H116" s="2">
        <f>--4981.16</f>
        <v>4981.16</v>
      </c>
      <c r="I116" s="2"/>
      <c r="J116" s="22">
        <f t="shared" si="93"/>
        <v>1.7487697215637973E-2</v>
      </c>
      <c r="K116" s="2"/>
      <c r="L116" s="2">
        <f t="shared" si="94"/>
        <v>36279.100000000006</v>
      </c>
      <c r="M116" s="2"/>
      <c r="N116" s="22">
        <f t="shared" si="95"/>
        <v>7.2832633362509949</v>
      </c>
      <c r="O116" s="11"/>
      <c r="P116" s="2">
        <f>--41260.26</f>
        <v>41260.26</v>
      </c>
      <c r="Q116" s="2"/>
      <c r="R116" s="22">
        <f t="shared" si="96"/>
        <v>0.17315089459822552</v>
      </c>
      <c r="S116" s="2"/>
      <c r="T116" s="2">
        <f>--4981.16</f>
        <v>4981.16</v>
      </c>
      <c r="U116" s="2"/>
      <c r="V116" s="22">
        <f t="shared" si="97"/>
        <v>1.7487697215637973E-2</v>
      </c>
      <c r="W116" s="2"/>
      <c r="X116" s="2">
        <f t="shared" si="98"/>
        <v>36279.100000000006</v>
      </c>
      <c r="Y116" s="2"/>
      <c r="Z116" s="22">
        <f t="shared" si="99"/>
        <v>7.2832633362509949</v>
      </c>
    </row>
    <row r="117" spans="1:26" s="24" customFormat="1" hidden="1" outlineLevel="1" x14ac:dyDescent="0.25">
      <c r="A117" s="50"/>
      <c r="B117" s="11" t="str">
        <f>CONCATENATE("          ", "9160", " - ", "MISC. INCOME")</f>
        <v xml:space="preserve">          9160 - MISC. INCOME</v>
      </c>
      <c r="C117" s="11"/>
      <c r="D117" s="2">
        <f>--5992.1</f>
        <v>5992.1</v>
      </c>
      <c r="E117" s="2"/>
      <c r="F117" s="22">
        <f t="shared" si="92"/>
        <v>2.5146169110956334E-2</v>
      </c>
      <c r="G117" s="2"/>
      <c r="H117" s="2">
        <f>--10460.99</f>
        <v>10460.99</v>
      </c>
      <c r="I117" s="2"/>
      <c r="J117" s="22">
        <f t="shared" si="93"/>
        <v>3.6726109118321172E-2</v>
      </c>
      <c r="K117" s="2"/>
      <c r="L117" s="2">
        <f t="shared" si="94"/>
        <v>-4468.8899999999994</v>
      </c>
      <c r="M117" s="2"/>
      <c r="N117" s="22">
        <f t="shared" si="95"/>
        <v>-0.42719570518660277</v>
      </c>
      <c r="O117" s="11"/>
      <c r="P117" s="2">
        <f>--5992.1</f>
        <v>5992.1</v>
      </c>
      <c r="Q117" s="2"/>
      <c r="R117" s="22">
        <f t="shared" si="96"/>
        <v>2.5146169110956334E-2</v>
      </c>
      <c r="S117" s="2"/>
      <c r="T117" s="2">
        <f>--10460.99</f>
        <v>10460.99</v>
      </c>
      <c r="U117" s="2"/>
      <c r="V117" s="22">
        <f t="shared" si="97"/>
        <v>3.6726109118321172E-2</v>
      </c>
      <c r="W117" s="2"/>
      <c r="X117" s="2">
        <f t="shared" si="98"/>
        <v>-4468.8899999999994</v>
      </c>
      <c r="Y117" s="2"/>
      <c r="Z117" s="22">
        <f t="shared" si="99"/>
        <v>-0.42719570518660277</v>
      </c>
    </row>
    <row r="118" spans="1:26" s="24" customFormat="1" hidden="1" outlineLevel="1" x14ac:dyDescent="0.25">
      <c r="A118" s="50"/>
      <c r="B118" s="11" t="str">
        <f>CONCATENATE("          ", "9165", " - ", "OTHER INCOME")</f>
        <v xml:space="preserve">          9165 - OTHER INCOME</v>
      </c>
      <c r="C118" s="11"/>
      <c r="D118" s="2">
        <f>--3681.05</f>
        <v>3681.05</v>
      </c>
      <c r="E118" s="2"/>
      <c r="F118" s="22">
        <f t="shared" si="92"/>
        <v>1.5447723803989555E-2</v>
      </c>
      <c r="G118" s="2"/>
      <c r="H118" s="2">
        <f>--2118.83</f>
        <v>2118.83</v>
      </c>
      <c r="I118" s="2"/>
      <c r="J118" s="22">
        <f t="shared" si="93"/>
        <v>7.438720597493397E-3</v>
      </c>
      <c r="K118" s="2"/>
      <c r="L118" s="2">
        <f t="shared" si="94"/>
        <v>1562.2200000000003</v>
      </c>
      <c r="M118" s="2"/>
      <c r="N118" s="22">
        <f t="shared" si="95"/>
        <v>0.73730313427693606</v>
      </c>
      <c r="O118" s="11"/>
      <c r="P118" s="2">
        <f>--3681.05</f>
        <v>3681.05</v>
      </c>
      <c r="Q118" s="2"/>
      <c r="R118" s="22">
        <f t="shared" si="96"/>
        <v>1.5447723803989555E-2</v>
      </c>
      <c r="S118" s="2"/>
      <c r="T118" s="2">
        <f>--2118.83</f>
        <v>2118.83</v>
      </c>
      <c r="U118" s="2"/>
      <c r="V118" s="22">
        <f t="shared" si="97"/>
        <v>7.438720597493397E-3</v>
      </c>
      <c r="W118" s="2"/>
      <c r="X118" s="2">
        <f t="shared" si="98"/>
        <v>1562.2200000000003</v>
      </c>
      <c r="Y118" s="2"/>
      <c r="Z118" s="22">
        <f t="shared" si="99"/>
        <v>0.73730313427693606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5" t="s">
        <v>3</v>
      </c>
      <c r="C120" s="25"/>
      <c r="D120" s="21">
        <f>+D33-D35+D115</f>
        <v>-294147.01</v>
      </c>
      <c r="E120" s="13"/>
      <c r="F120" s="20">
        <f>IF(D$12=0,0,D120/D$12)</f>
        <v>-1.2344037077055063</v>
      </c>
      <c r="G120" s="13"/>
      <c r="H120" s="21">
        <f>+H33-H35+H115</f>
        <v>-232719.45</v>
      </c>
      <c r="I120" s="13"/>
      <c r="J120" s="20">
        <f>IF(H$12=0,0,H120/H$12)</f>
        <v>-0.8170240019974867</v>
      </c>
      <c r="K120" s="16"/>
      <c r="L120" s="21">
        <f>+D120-H120</f>
        <v>-61427.56</v>
      </c>
      <c r="M120" s="16"/>
      <c r="N120" s="20">
        <f>IF(H120=0,0,L120/H120)</f>
        <v>0.2639554192827458</v>
      </c>
      <c r="O120" s="26"/>
      <c r="P120" s="21">
        <f>+P33-P35+P115</f>
        <v>-294147.01</v>
      </c>
      <c r="Q120" s="13"/>
      <c r="R120" s="20">
        <f>IF(P$12=0,0,P120/P$12)</f>
        <v>-1.2344037077055063</v>
      </c>
      <c r="S120" s="13"/>
      <c r="T120" s="21">
        <f>+T33-T35+T115</f>
        <v>-232719.45</v>
      </c>
      <c r="U120" s="13"/>
      <c r="V120" s="20">
        <f>IF(T$12=0,0,T120/T$12)</f>
        <v>-0.8170240019974867</v>
      </c>
      <c r="W120" s="16"/>
      <c r="X120" s="21">
        <f>+P120-T120</f>
        <v>-61427.56</v>
      </c>
      <c r="Y120" s="16"/>
      <c r="Z120" s="20">
        <f>IF(T120=0,0,X120/T120)</f>
        <v>0.2639554192827458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49547.66</v>
      </c>
      <c r="E122" s="4"/>
      <c r="F122" s="12">
        <f>IF(D$12=0,0,D122/D$12)</f>
        <v>0.20792941329620113</v>
      </c>
      <c r="G122" s="4"/>
      <c r="H122" s="4">
        <v>58477.420000000006</v>
      </c>
      <c r="I122" s="4"/>
      <c r="J122" s="12">
        <f>IF(H$12=0,0,H122/H$12)</f>
        <v>0.20530065585359483</v>
      </c>
      <c r="K122" s="4"/>
      <c r="L122" s="4">
        <f>+D122-H122</f>
        <v>-8929.760000000002</v>
      </c>
      <c r="M122" s="4"/>
      <c r="N122" s="12">
        <f>IF(H122=0,0,L122/H122)</f>
        <v>-0.15270441137793017</v>
      </c>
      <c r="O122" s="10"/>
      <c r="P122" s="4">
        <v>49547.66</v>
      </c>
      <c r="Q122" s="4"/>
      <c r="R122" s="12">
        <f>IF(P$12=0,0,P122/P$12)</f>
        <v>0.20792941329620113</v>
      </c>
      <c r="S122" s="4"/>
      <c r="T122" s="4">
        <v>58477.420000000006</v>
      </c>
      <c r="U122" s="4"/>
      <c r="V122" s="12">
        <f>IF(T$12=0,0,T122/T$12)</f>
        <v>0.20530065585359483</v>
      </c>
      <c r="W122" s="4"/>
      <c r="X122" s="4">
        <f>+P122-T122</f>
        <v>-8929.760000000002</v>
      </c>
      <c r="Y122" s="4"/>
      <c r="Z122" s="12">
        <f>IF(T122=0,0,X122/T122)</f>
        <v>-0.15270441137793017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4</v>
      </c>
      <c r="C124" s="25"/>
      <c r="D124" s="33">
        <f>+D120-D122</f>
        <v>-343694.67000000004</v>
      </c>
      <c r="E124" s="13"/>
      <c r="F124" s="34">
        <f>IF(D$12=0,0,D124/D$12)</f>
        <v>-1.4423331210017076</v>
      </c>
      <c r="G124" s="13"/>
      <c r="H124" s="33">
        <f>+H120-H122</f>
        <v>-291196.87</v>
      </c>
      <c r="I124" s="13"/>
      <c r="J124" s="34">
        <f>IF(H$12=0,0,H124/H$12)</f>
        <v>-1.0223246578510814</v>
      </c>
      <c r="K124" s="16"/>
      <c r="L124" s="33">
        <f>D124-H124</f>
        <v>-52497.800000000047</v>
      </c>
      <c r="M124" s="16"/>
      <c r="N124" s="34">
        <f>IF(H124=0,0,L124/H124)</f>
        <v>0.18028284438634265</v>
      </c>
      <c r="O124" s="26"/>
      <c r="P124" s="33">
        <f>+P120-P122</f>
        <v>-343694.67000000004</v>
      </c>
      <c r="Q124" s="13"/>
      <c r="R124" s="34">
        <f>IF(P$12=0,0,P124/P$12)</f>
        <v>-1.4423331210017076</v>
      </c>
      <c r="S124" s="13"/>
      <c r="T124" s="33">
        <f>+T120-T122</f>
        <v>-291196.87</v>
      </c>
      <c r="U124" s="13"/>
      <c r="V124" s="34">
        <f>IF(T$12=0,0,T124/T$12)</f>
        <v>-1.0223246578510814</v>
      </c>
      <c r="W124" s="16"/>
      <c r="X124" s="33">
        <f>P124-T124</f>
        <v>-52497.800000000047</v>
      </c>
      <c r="Y124" s="16"/>
      <c r="Z124" s="34">
        <f>IF(T124=0,0,X124/T124)</f>
        <v>0.18028284438634265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5" t="s">
        <v>5</v>
      </c>
      <c r="C127" s="25"/>
      <c r="D127" s="31">
        <f>SUM(D124:D126)</f>
        <v>-343694.67000000004</v>
      </c>
      <c r="E127" s="13"/>
      <c r="F127" s="30">
        <f>IF(D$12=0,0,D127/D$12)</f>
        <v>-1.4423331210017076</v>
      </c>
      <c r="G127" s="13"/>
      <c r="H127" s="31">
        <f>SUM(H124:H126)</f>
        <v>-291196.87</v>
      </c>
      <c r="I127" s="13"/>
      <c r="J127" s="30">
        <f>IF(H$12=0,0,H127/H$12)</f>
        <v>-1.0223246578510814</v>
      </c>
      <c r="K127" s="16"/>
      <c r="L127" s="31">
        <f>+D127-H127</f>
        <v>-52497.800000000047</v>
      </c>
      <c r="M127" s="16"/>
      <c r="N127" s="30">
        <f>IF(H127=0,0,L127/H127)</f>
        <v>0.18028284438634265</v>
      </c>
      <c r="O127" s="26"/>
      <c r="P127" s="31">
        <f>SUM(P124:P126)</f>
        <v>-343694.67000000004</v>
      </c>
      <c r="Q127" s="13"/>
      <c r="R127" s="30">
        <f>IF(P$12=0,0,P127/P$12)</f>
        <v>-1.4423331210017076</v>
      </c>
      <c r="S127" s="13"/>
      <c r="T127" s="31">
        <f>SUM(T124:T126)</f>
        <v>-291196.87</v>
      </c>
      <c r="U127" s="13"/>
      <c r="V127" s="30">
        <f>IF(T$12=0,0,T127/T$12)</f>
        <v>-1.0223246578510814</v>
      </c>
      <c r="W127" s="16"/>
      <c r="X127" s="31">
        <f>+P127-T127</f>
        <v>-52497.800000000047</v>
      </c>
      <c r="Y127" s="16"/>
      <c r="Z127" s="30">
        <f>IF(T127=0,0,X127/T127)</f>
        <v>0.18028284438634265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>
        <v>43726.681488692127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3" t="s">
        <v>313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299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179465.83000000002</v>
      </c>
      <c r="E12" s="4"/>
      <c r="F12" s="12"/>
      <c r="G12" s="4"/>
      <c r="H12" s="4">
        <f>SUM(OSRRefH13x_0)</f>
        <v>225906.59000000003</v>
      </c>
      <c r="I12" s="4"/>
      <c r="J12" s="12"/>
      <c r="K12" s="4"/>
      <c r="L12" s="4">
        <f t="shared" ref="L12:L21" si="0">+D12-H12</f>
        <v>-46440.760000000009</v>
      </c>
      <c r="M12" s="4"/>
      <c r="N12" s="12">
        <f t="shared" ref="N12:N21" si="1">IF(H12=0,0,L12/H12)</f>
        <v>-0.20557505648684266</v>
      </c>
      <c r="O12" s="10"/>
      <c r="P12" s="4">
        <f>SUM(OSRRefP13x_0)</f>
        <v>179465.83000000002</v>
      </c>
      <c r="Q12" s="4"/>
      <c r="R12" s="12"/>
      <c r="S12" s="4"/>
      <c r="T12" s="4">
        <f>SUM(OSRRefT13x_0)</f>
        <v>225906.59000000003</v>
      </c>
      <c r="U12" s="4"/>
      <c r="V12" s="12"/>
      <c r="W12" s="4"/>
      <c r="X12" s="4">
        <f t="shared" ref="X12:X21" si="2">+P12-T12</f>
        <v>-46440.760000000009</v>
      </c>
      <c r="Y12" s="4"/>
      <c r="Z12" s="12">
        <f t="shared" ref="Z12:Z21" si="3">IF(T12=0,0,X12/T12)</f>
        <v>-0.20557505648684266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--18878.7</f>
        <v>18878.7</v>
      </c>
      <c r="E13" s="2"/>
      <c r="F13" s="22"/>
      <c r="G13" s="2"/>
      <c r="H13" s="2">
        <f>--20325.56</f>
        <v>20325.560000000001</v>
      </c>
      <c r="I13" s="2"/>
      <c r="J13" s="22"/>
      <c r="K13" s="2"/>
      <c r="L13" s="2">
        <f t="shared" si="0"/>
        <v>-1446.8600000000006</v>
      </c>
      <c r="M13" s="2"/>
      <c r="N13" s="22">
        <f t="shared" si="1"/>
        <v>-7.1184262573823334E-2</v>
      </c>
      <c r="O13" s="11"/>
      <c r="P13" s="2">
        <f>--18878.7</f>
        <v>18878.7</v>
      </c>
      <c r="Q13" s="2"/>
      <c r="R13" s="22"/>
      <c r="S13" s="2"/>
      <c r="T13" s="2">
        <f>--20325.56</f>
        <v>20325.560000000001</v>
      </c>
      <c r="U13" s="2"/>
      <c r="V13" s="22"/>
      <c r="W13" s="2"/>
      <c r="X13" s="2">
        <f t="shared" si="2"/>
        <v>-1446.8600000000006</v>
      </c>
      <c r="Y13" s="2"/>
      <c r="Z13" s="22">
        <f t="shared" si="3"/>
        <v>-7.1184262573823334E-2</v>
      </c>
    </row>
    <row r="14" spans="1:26" s="24" customFormat="1" hidden="1" outlineLevel="1" x14ac:dyDescent="0.25">
      <c r="A14" s="50"/>
      <c r="B14" s="11" t="str">
        <f>CONCATENATE("          ", "4052", " - ", "TAXABLE SALES-FOOD")</f>
        <v xml:space="preserve">          4052 - TAXABLE SALES-FOOD</v>
      </c>
      <c r="C14" s="11"/>
      <c r="D14" s="2">
        <f>--43778.84</f>
        <v>43778.84</v>
      </c>
      <c r="E14" s="2"/>
      <c r="F14" s="22"/>
      <c r="G14" s="2"/>
      <c r="H14" s="2">
        <f>--99639.78</f>
        <v>99639.78</v>
      </c>
      <c r="I14" s="2"/>
      <c r="J14" s="22"/>
      <c r="K14" s="2"/>
      <c r="L14" s="2">
        <f t="shared" si="0"/>
        <v>-55860.94</v>
      </c>
      <c r="M14" s="2"/>
      <c r="N14" s="22">
        <f t="shared" si="1"/>
        <v>-0.56062889741426569</v>
      </c>
      <c r="O14" s="11"/>
      <c r="P14" s="2">
        <f>--43778.84</f>
        <v>43778.84</v>
      </c>
      <c r="Q14" s="2"/>
      <c r="R14" s="22"/>
      <c r="S14" s="2"/>
      <c r="T14" s="2">
        <f>--99639.78</f>
        <v>99639.78</v>
      </c>
      <c r="U14" s="2"/>
      <c r="V14" s="22"/>
      <c r="W14" s="2"/>
      <c r="X14" s="2">
        <f t="shared" si="2"/>
        <v>-55860.94</v>
      </c>
      <c r="Y14" s="2"/>
      <c r="Z14" s="22">
        <f t="shared" si="3"/>
        <v>-0.56062889741426569</v>
      </c>
    </row>
    <row r="15" spans="1:26" s="24" customFormat="1" hidden="1" outlineLevel="1" x14ac:dyDescent="0.25">
      <c r="A15" s="50"/>
      <c r="B15" s="11" t="str">
        <f>CONCATENATE("          ", "4053", " - ", "TAXABLE SALES-FOOD")</f>
        <v xml:space="preserve">          4053 - TAXABLE SALES-FOOD</v>
      </c>
      <c r="C15" s="11"/>
      <c r="D15" s="2">
        <f>--24931.11</f>
        <v>24931.11</v>
      </c>
      <c r="E15" s="2"/>
      <c r="F15" s="22"/>
      <c r="G15" s="2"/>
      <c r="H15" s="2">
        <f>--11503.86</f>
        <v>11503.86</v>
      </c>
      <c r="I15" s="2"/>
      <c r="J15" s="22"/>
      <c r="K15" s="2"/>
      <c r="L15" s="2">
        <f t="shared" si="0"/>
        <v>13427.25</v>
      </c>
      <c r="M15" s="2"/>
      <c r="N15" s="22">
        <f t="shared" si="1"/>
        <v>1.1671951849205398</v>
      </c>
      <c r="O15" s="11"/>
      <c r="P15" s="2">
        <f>--24931.11</f>
        <v>24931.11</v>
      </c>
      <c r="Q15" s="2"/>
      <c r="R15" s="22"/>
      <c r="S15" s="2"/>
      <c r="T15" s="2">
        <f>--11503.86</f>
        <v>11503.86</v>
      </c>
      <c r="U15" s="2"/>
      <c r="V15" s="22"/>
      <c r="W15" s="2"/>
      <c r="X15" s="2">
        <f t="shared" si="2"/>
        <v>13427.25</v>
      </c>
      <c r="Y15" s="2"/>
      <c r="Z15" s="22">
        <f t="shared" si="3"/>
        <v>1.1671951849205398</v>
      </c>
    </row>
    <row r="16" spans="1:26" s="24" customFormat="1" hidden="1" outlineLevel="1" x14ac:dyDescent="0.25">
      <c r="A16" s="50"/>
      <c r="B16" s="11" t="str">
        <f>CONCATENATE("          ", "4055", " - ", "TAXABLE SALES-FOOD")</f>
        <v xml:space="preserve">          4055 - TAXABLE SALES-FOOD</v>
      </c>
      <c r="C16" s="11"/>
      <c r="D16" s="2">
        <f>--14243.63</f>
        <v>14243.63</v>
      </c>
      <c r="E16" s="2"/>
      <c r="F16" s="22"/>
      <c r="G16" s="2"/>
      <c r="H16" s="2">
        <f>--18095.82</f>
        <v>18095.82</v>
      </c>
      <c r="I16" s="2"/>
      <c r="J16" s="22"/>
      <c r="K16" s="2"/>
      <c r="L16" s="2">
        <f t="shared" si="0"/>
        <v>-3852.1900000000005</v>
      </c>
      <c r="M16" s="2"/>
      <c r="N16" s="22">
        <f t="shared" si="1"/>
        <v>-0.21287733852348226</v>
      </c>
      <c r="O16" s="11"/>
      <c r="P16" s="2">
        <f>--14243.63</f>
        <v>14243.63</v>
      </c>
      <c r="Q16" s="2"/>
      <c r="R16" s="22"/>
      <c r="S16" s="2"/>
      <c r="T16" s="2">
        <f>--18095.82</f>
        <v>18095.82</v>
      </c>
      <c r="U16" s="2"/>
      <c r="V16" s="22"/>
      <c r="W16" s="2"/>
      <c r="X16" s="2">
        <f t="shared" si="2"/>
        <v>-3852.1900000000005</v>
      </c>
      <c r="Y16" s="2"/>
      <c r="Z16" s="22">
        <f t="shared" si="3"/>
        <v>-0.21287733852348226</v>
      </c>
    </row>
    <row r="17" spans="1:26" s="24" customFormat="1" hidden="1" outlineLevel="1" x14ac:dyDescent="0.25">
      <c r="A17" s="50"/>
      <c r="B17" s="11" t="str">
        <f>CONCATENATE("          ", "4058", " - ", "TAXABLE SALES-FOOD")</f>
        <v xml:space="preserve">          4058 - TAXABLE SALES-FOOD</v>
      </c>
      <c r="C17" s="11"/>
      <c r="D17" s="2">
        <f>--8401.66</f>
        <v>8401.66</v>
      </c>
      <c r="E17" s="2"/>
      <c r="F17" s="22"/>
      <c r="G17" s="2"/>
      <c r="H17" s="2">
        <f>--15184.02</f>
        <v>15184.02</v>
      </c>
      <c r="I17" s="2"/>
      <c r="J17" s="22"/>
      <c r="K17" s="2"/>
      <c r="L17" s="2">
        <f t="shared" si="0"/>
        <v>-6782.3600000000006</v>
      </c>
      <c r="M17" s="2"/>
      <c r="N17" s="22">
        <f t="shared" si="1"/>
        <v>-0.44667749383891753</v>
      </c>
      <c r="O17" s="11"/>
      <c r="P17" s="2">
        <f>--8401.66</f>
        <v>8401.66</v>
      </c>
      <c r="Q17" s="2"/>
      <c r="R17" s="22"/>
      <c r="S17" s="2"/>
      <c r="T17" s="2">
        <f>--15184.02</f>
        <v>15184.02</v>
      </c>
      <c r="U17" s="2"/>
      <c r="V17" s="22"/>
      <c r="W17" s="2"/>
      <c r="X17" s="2">
        <f t="shared" si="2"/>
        <v>-6782.3600000000006</v>
      </c>
      <c r="Y17" s="2"/>
      <c r="Z17" s="22">
        <f t="shared" si="3"/>
        <v>-0.44667749383891753</v>
      </c>
    </row>
    <row r="18" spans="1:26" s="24" customFormat="1" hidden="1" outlineLevel="1" x14ac:dyDescent="0.25">
      <c r="A18" s="50"/>
      <c r="B18" s="11" t="str">
        <f>CONCATENATE("          ", "4151", " - ", "NON-TAXABLE SALES-FOOD")</f>
        <v xml:space="preserve">          4151 - NON-TAXABLE SALES-FOOD</v>
      </c>
      <c r="C18" s="11"/>
      <c r="D18" s="2">
        <f>--30368.45</f>
        <v>30368.45</v>
      </c>
      <c r="E18" s="2"/>
      <c r="F18" s="22"/>
      <c r="G18" s="2"/>
      <c r="H18" s="2">
        <f>--12643.51</f>
        <v>12643.51</v>
      </c>
      <c r="I18" s="2"/>
      <c r="J18" s="22"/>
      <c r="K18" s="2"/>
      <c r="L18" s="2">
        <f t="shared" si="0"/>
        <v>17724.940000000002</v>
      </c>
      <c r="M18" s="2"/>
      <c r="N18" s="22">
        <f t="shared" si="1"/>
        <v>1.4019002634553224</v>
      </c>
      <c r="O18" s="11"/>
      <c r="P18" s="2">
        <f>--30368.45</f>
        <v>30368.45</v>
      </c>
      <c r="Q18" s="2"/>
      <c r="R18" s="22"/>
      <c r="S18" s="2"/>
      <c r="T18" s="2">
        <f>--12643.51</f>
        <v>12643.51</v>
      </c>
      <c r="U18" s="2"/>
      <c r="V18" s="22"/>
      <c r="W18" s="2"/>
      <c r="X18" s="2">
        <f t="shared" si="2"/>
        <v>17724.940000000002</v>
      </c>
      <c r="Y18" s="2"/>
      <c r="Z18" s="22">
        <f t="shared" si="3"/>
        <v>1.4019002634553224</v>
      </c>
    </row>
    <row r="19" spans="1:26" s="24" customFormat="1" hidden="1" outlineLevel="1" x14ac:dyDescent="0.25">
      <c r="A19" s="50"/>
      <c r="B19" s="11" t="str">
        <f>CONCATENATE("          ", "4152", " - ", "NON-TAXABLE SALES-FOOD")</f>
        <v xml:space="preserve">          4152 - NON-TAXABLE SALES-FOOD</v>
      </c>
      <c r="C19" s="11"/>
      <c r="D19" s="2">
        <f>--3667.09</f>
        <v>3667.09</v>
      </c>
      <c r="E19" s="2"/>
      <c r="F19" s="22"/>
      <c r="G19" s="2"/>
      <c r="H19" s="2">
        <f>--3833.74</f>
        <v>3833.74</v>
      </c>
      <c r="I19" s="2"/>
      <c r="J19" s="22"/>
      <c r="K19" s="2"/>
      <c r="L19" s="2">
        <f t="shared" si="0"/>
        <v>-166.64999999999964</v>
      </c>
      <c r="M19" s="2"/>
      <c r="N19" s="22">
        <f t="shared" si="1"/>
        <v>-4.3469301517578045E-2</v>
      </c>
      <c r="O19" s="11"/>
      <c r="P19" s="2">
        <f>--3667.09</f>
        <v>3667.09</v>
      </c>
      <c r="Q19" s="2"/>
      <c r="R19" s="22"/>
      <c r="S19" s="2"/>
      <c r="T19" s="2">
        <f>--3833.74</f>
        <v>3833.74</v>
      </c>
      <c r="U19" s="2"/>
      <c r="V19" s="22"/>
      <c r="W19" s="2"/>
      <c r="X19" s="2">
        <f t="shared" si="2"/>
        <v>-166.64999999999964</v>
      </c>
      <c r="Y19" s="2"/>
      <c r="Z19" s="22">
        <f t="shared" si="3"/>
        <v>-4.3469301517578045E-2</v>
      </c>
    </row>
    <row r="20" spans="1:26" s="24" customFormat="1" hidden="1" outlineLevel="1" x14ac:dyDescent="0.25">
      <c r="A20" s="50"/>
      <c r="B20" s="11" t="str">
        <f>CONCATENATE("          ", "4155", " - ", "NON-TAXABLE SALES-FOOD")</f>
        <v xml:space="preserve">          4155 - NON-TAXABLE SALES-FOOD</v>
      </c>
      <c r="C20" s="11"/>
      <c r="D20" s="2">
        <f>--25636.66</f>
        <v>25636.66</v>
      </c>
      <c r="E20" s="2"/>
      <c r="F20" s="22"/>
      <c r="G20" s="2"/>
      <c r="H20" s="2">
        <f>--22267.51</f>
        <v>22267.51</v>
      </c>
      <c r="I20" s="2"/>
      <c r="J20" s="22"/>
      <c r="K20" s="2"/>
      <c r="L20" s="2">
        <f t="shared" si="0"/>
        <v>3369.1500000000015</v>
      </c>
      <c r="M20" s="2"/>
      <c r="N20" s="22">
        <f t="shared" si="1"/>
        <v>0.15130340123345634</v>
      </c>
      <c r="O20" s="11"/>
      <c r="P20" s="2">
        <f>--25636.66</f>
        <v>25636.66</v>
      </c>
      <c r="Q20" s="2"/>
      <c r="R20" s="22"/>
      <c r="S20" s="2"/>
      <c r="T20" s="2">
        <f>--22267.51</f>
        <v>22267.51</v>
      </c>
      <c r="U20" s="2"/>
      <c r="V20" s="22"/>
      <c r="W20" s="2"/>
      <c r="X20" s="2">
        <f t="shared" si="2"/>
        <v>3369.1500000000015</v>
      </c>
      <c r="Y20" s="2"/>
      <c r="Z20" s="22">
        <f t="shared" si="3"/>
        <v>0.15130340123345634</v>
      </c>
    </row>
    <row r="21" spans="1:26" s="24" customFormat="1" hidden="1" outlineLevel="1" x14ac:dyDescent="0.25">
      <c r="A21" s="50"/>
      <c r="B21" s="11" t="str">
        <f>CONCATENATE("          ", "4158", " - ", "NON-TAXABLE SALES-FOOD")</f>
        <v xml:space="preserve">          4158 - NON-TAXABLE SALES-FOOD</v>
      </c>
      <c r="C21" s="11"/>
      <c r="D21" s="2">
        <f>--9559.69</f>
        <v>9559.69</v>
      </c>
      <c r="E21" s="2"/>
      <c r="F21" s="22"/>
      <c r="G21" s="2"/>
      <c r="H21" s="2">
        <f>--22412.79</f>
        <v>22412.79</v>
      </c>
      <c r="I21" s="2"/>
      <c r="J21" s="22"/>
      <c r="K21" s="2"/>
      <c r="L21" s="2">
        <f t="shared" si="0"/>
        <v>-12853.1</v>
      </c>
      <c r="M21" s="2"/>
      <c r="N21" s="22">
        <f t="shared" si="1"/>
        <v>-0.57347166506267178</v>
      </c>
      <c r="O21" s="11"/>
      <c r="P21" s="2">
        <f>--9559.69</f>
        <v>9559.69</v>
      </c>
      <c r="Q21" s="2"/>
      <c r="R21" s="22"/>
      <c r="S21" s="2"/>
      <c r="T21" s="2">
        <f>--22412.79</f>
        <v>22412.79</v>
      </c>
      <c r="U21" s="2"/>
      <c r="V21" s="22"/>
      <c r="W21" s="2"/>
      <c r="X21" s="2">
        <f t="shared" si="2"/>
        <v>-12853.1</v>
      </c>
      <c r="Y21" s="2"/>
      <c r="Z21" s="22">
        <f t="shared" si="3"/>
        <v>-0.57347166506267178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8</v>
      </c>
      <c r="C23" s="10"/>
      <c r="D23" s="4">
        <f>SUM(OSRRefD16x_0)</f>
        <v>69621.23</v>
      </c>
      <c r="E23" s="4"/>
      <c r="F23" s="12">
        <f t="shared" ref="F23:F25" si="4">IF(D$12=0,0,D23/D$12)</f>
        <v>0.38793585386142859</v>
      </c>
      <c r="G23" s="4"/>
      <c r="H23" s="4">
        <f>SUM(OSRRefH16x_0)</f>
        <v>72082.75</v>
      </c>
      <c r="I23" s="4"/>
      <c r="J23" s="12">
        <f t="shared" ref="J23:J25" si="5">IF(H$12=0,0,H23/H$12)</f>
        <v>0.31908210380228391</v>
      </c>
      <c r="K23" s="4"/>
      <c r="L23" s="4">
        <f t="shared" ref="L23:L25" si="6">+D23-H23</f>
        <v>-2461.5200000000041</v>
      </c>
      <c r="M23" s="4"/>
      <c r="N23" s="12">
        <f t="shared" ref="N23:N25" si="7">IF(H23=0,0,L23/H23)</f>
        <v>-3.4148530681751235E-2</v>
      </c>
      <c r="O23" s="10"/>
      <c r="P23" s="4">
        <f>SUM(OSRRefP16x_0)</f>
        <v>69621.23</v>
      </c>
      <c r="Q23" s="4"/>
      <c r="R23" s="12">
        <f t="shared" ref="R23:R25" si="8">IF(P$12=0,0,P23/P$12)</f>
        <v>0.38793585386142859</v>
      </c>
      <c r="S23" s="4"/>
      <c r="T23" s="4">
        <f>SUM(OSRRefT16x_0)</f>
        <v>72082.75</v>
      </c>
      <c r="U23" s="4"/>
      <c r="V23" s="12">
        <f t="shared" ref="V23:V25" si="9">IF(T$12=0,0,T23/T$12)</f>
        <v>0.31908210380228391</v>
      </c>
      <c r="W23" s="4"/>
      <c r="X23" s="4">
        <f t="shared" ref="X23:X25" si="10">+P23-T23</f>
        <v>-2461.5200000000041</v>
      </c>
      <c r="Y23" s="4"/>
      <c r="Z23" s="12">
        <f t="shared" ref="Z23:Z25" si="11">IF(T23=0,0,X23/T23)</f>
        <v>-3.4148530681751235E-2</v>
      </c>
    </row>
    <row r="24" spans="1:26" s="24" customFormat="1" hidden="1" outlineLevel="1" x14ac:dyDescent="0.25">
      <c r="A24" s="50"/>
      <c r="B24" s="11" t="str">
        <f>CONCATENATE("          ", "5053", " - ", "PURCHASES @ COST-FOOD")</f>
        <v xml:space="preserve">          5053 - PURCHASES @ COST-FOOD</v>
      </c>
      <c r="C24" s="11"/>
      <c r="D24" s="2">
        <v>77863.23</v>
      </c>
      <c r="E24" s="2"/>
      <c r="F24" s="22">
        <f t="shared" si="4"/>
        <v>0.4338610308157268</v>
      </c>
      <c r="G24" s="2"/>
      <c r="H24" s="2">
        <v>80032.89</v>
      </c>
      <c r="I24" s="2"/>
      <c r="J24" s="22">
        <f t="shared" si="5"/>
        <v>0.35427425999392043</v>
      </c>
      <c r="K24" s="2"/>
      <c r="L24" s="2">
        <f t="shared" si="6"/>
        <v>-2169.6600000000035</v>
      </c>
      <c r="M24" s="2"/>
      <c r="N24" s="22">
        <f t="shared" si="7"/>
        <v>-2.710960456382374E-2</v>
      </c>
      <c r="O24" s="11"/>
      <c r="P24" s="2">
        <v>77863.23</v>
      </c>
      <c r="Q24" s="2"/>
      <c r="R24" s="22">
        <f t="shared" si="8"/>
        <v>0.4338610308157268</v>
      </c>
      <c r="S24" s="2"/>
      <c r="T24" s="2">
        <v>80032.89</v>
      </c>
      <c r="U24" s="2"/>
      <c r="V24" s="22">
        <f t="shared" si="9"/>
        <v>0.35427425999392043</v>
      </c>
      <c r="W24" s="2"/>
      <c r="X24" s="2">
        <f t="shared" si="10"/>
        <v>-2169.6600000000035</v>
      </c>
      <c r="Y24" s="2"/>
      <c r="Z24" s="22">
        <f t="shared" si="11"/>
        <v>-2.710960456382374E-2</v>
      </c>
    </row>
    <row r="25" spans="1:26" s="24" customFormat="1" hidden="1" outlineLevel="1" x14ac:dyDescent="0.25">
      <c r="A25" s="50"/>
      <c r="B25" s="11" t="str">
        <f>CONCATENATE("          ", "5059", " - ", "PURCHASES @ COST-FOOD")</f>
        <v xml:space="preserve">          5059 - PURCHASES @ COST-FOOD</v>
      </c>
      <c r="C25" s="11"/>
      <c r="D25" s="2">
        <v>-8242</v>
      </c>
      <c r="E25" s="2"/>
      <c r="F25" s="22">
        <f t="shared" si="4"/>
        <v>-4.5925176954298201E-2</v>
      </c>
      <c r="G25" s="2"/>
      <c r="H25" s="2">
        <v>-7950.14</v>
      </c>
      <c r="I25" s="2"/>
      <c r="J25" s="22">
        <f t="shared" si="5"/>
        <v>-3.5192156191636549E-2</v>
      </c>
      <c r="K25" s="2"/>
      <c r="L25" s="2">
        <f t="shared" si="6"/>
        <v>-291.85999999999967</v>
      </c>
      <c r="M25" s="2"/>
      <c r="N25" s="22">
        <f t="shared" si="7"/>
        <v>3.6711303197176359E-2</v>
      </c>
      <c r="O25" s="11"/>
      <c r="P25" s="2">
        <v>-8242</v>
      </c>
      <c r="Q25" s="2"/>
      <c r="R25" s="22">
        <f t="shared" si="8"/>
        <v>-4.5925176954298201E-2</v>
      </c>
      <c r="S25" s="2"/>
      <c r="T25" s="2">
        <v>-7950.14</v>
      </c>
      <c r="U25" s="2"/>
      <c r="V25" s="22">
        <f t="shared" si="9"/>
        <v>-3.5192156191636549E-2</v>
      </c>
      <c r="W25" s="2"/>
      <c r="X25" s="2">
        <f t="shared" si="10"/>
        <v>-291.85999999999967</v>
      </c>
      <c r="Y25" s="2"/>
      <c r="Z25" s="22">
        <f t="shared" si="11"/>
        <v>3.6711303197176359E-2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6</v>
      </c>
      <c r="C27" s="25"/>
      <c r="D27" s="21">
        <f>D12-D23</f>
        <v>109844.60000000002</v>
      </c>
      <c r="E27" s="13"/>
      <c r="F27" s="20">
        <f>IF(D$12=0,0,D27/D$12)</f>
        <v>0.61206414613857141</v>
      </c>
      <c r="G27" s="13"/>
      <c r="H27" s="21">
        <f>H12-H23</f>
        <v>153823.84000000003</v>
      </c>
      <c r="I27" s="13"/>
      <c r="J27" s="20">
        <f>IF(H$12=0,0,H27/H$12)</f>
        <v>0.68091789619771614</v>
      </c>
      <c r="K27" s="16"/>
      <c r="L27" s="21">
        <f>+D27-H27</f>
        <v>-43979.240000000005</v>
      </c>
      <c r="M27" s="16"/>
      <c r="N27" s="20">
        <f>IF(H27=0,0,L27/H27)</f>
        <v>-0.28590652788280413</v>
      </c>
      <c r="O27" s="26"/>
      <c r="P27" s="21">
        <f>P12-P23</f>
        <v>109844.60000000002</v>
      </c>
      <c r="Q27" s="13"/>
      <c r="R27" s="20">
        <f>IF(P$12=0,0,P27/P$12)</f>
        <v>0.61206414613857141</v>
      </c>
      <c r="S27" s="13"/>
      <c r="T27" s="21">
        <f>T12-T23</f>
        <v>153823.84000000003</v>
      </c>
      <c r="U27" s="13"/>
      <c r="V27" s="20">
        <f>IF(T$12=0,0,T27/T$12)</f>
        <v>0.68091789619771614</v>
      </c>
      <c r="W27" s="16"/>
      <c r="X27" s="21">
        <f>+P27-T27</f>
        <v>-43979.240000000005</v>
      </c>
      <c r="Y27" s="16"/>
      <c r="Z27" s="20">
        <f>IF(T27=0,0,X27/T27)</f>
        <v>-0.28590652788280413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9</v>
      </c>
      <c r="C29" s="10"/>
      <c r="D29" s="19">
        <f>SUM(OSRRefD22x_0)</f>
        <v>403759.96</v>
      </c>
      <c r="E29" s="19"/>
      <c r="F29" s="35">
        <f t="shared" ref="F29:F39" si="12">IF(D$12=0,0,D29/D$12)</f>
        <v>2.249787382924092</v>
      </c>
      <c r="G29" s="19"/>
      <c r="H29" s="19">
        <f>SUM(OSRRefH22x_0)</f>
        <v>379827.32999999996</v>
      </c>
      <c r="I29" s="19"/>
      <c r="J29" s="35">
        <f t="shared" ref="J29:J39" si="13">IF(H$12=0,0,H29/H$12)</f>
        <v>1.6813468345478542</v>
      </c>
      <c r="K29" s="4"/>
      <c r="L29" s="19">
        <f t="shared" ref="L29:L39" si="14">+D29-H29</f>
        <v>23932.630000000063</v>
      </c>
      <c r="M29" s="4"/>
      <c r="N29" s="35">
        <f t="shared" ref="N29:N39" si="15">IF(H29=0,0,L29/H29)</f>
        <v>6.3009236328518181E-2</v>
      </c>
      <c r="O29" s="10"/>
      <c r="P29" s="19">
        <f>SUM(OSRRefP22x_0)</f>
        <v>403759.96</v>
      </c>
      <c r="Q29" s="19"/>
      <c r="R29" s="35">
        <f t="shared" ref="R29:R39" si="16">IF(P$12=0,0,P29/P$12)</f>
        <v>2.249787382924092</v>
      </c>
      <c r="S29" s="19"/>
      <c r="T29" s="19">
        <f>SUM(OSRRefT22x_0)</f>
        <v>379827.32999999996</v>
      </c>
      <c r="U29" s="19"/>
      <c r="V29" s="35">
        <f t="shared" ref="V29:V39" si="17">IF(T$12=0,0,T29/T$12)</f>
        <v>1.6813468345478542</v>
      </c>
      <c r="W29" s="4"/>
      <c r="X29" s="19">
        <f t="shared" ref="X29:X39" si="18">+P29-T29</f>
        <v>23932.630000000063</v>
      </c>
      <c r="Y29" s="4"/>
      <c r="Z29" s="35">
        <f t="shared" ref="Z29:Z39" si="19">IF(T29=0,0,X29/T29)</f>
        <v>6.3009236328518181E-2</v>
      </c>
    </row>
    <row r="30" spans="1:26" s="28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66181.48</v>
      </c>
      <c r="E30" s="1"/>
      <c r="F30" s="5">
        <f t="shared" si="12"/>
        <v>0.36876925262040128</v>
      </c>
      <c r="G30" s="1"/>
      <c r="H30" s="1">
        <f>SUM(OSRRefH22_0x_0)</f>
        <v>57001.04</v>
      </c>
      <c r="I30" s="1"/>
      <c r="J30" s="5">
        <f t="shared" si="13"/>
        <v>0.25232128022471584</v>
      </c>
      <c r="K30" s="1"/>
      <c r="L30" s="1">
        <f t="shared" si="14"/>
        <v>9180.4399999999951</v>
      </c>
      <c r="M30" s="1"/>
      <c r="N30" s="5">
        <f t="shared" si="15"/>
        <v>0.16105741228581083</v>
      </c>
      <c r="O30" s="14"/>
      <c r="P30" s="1">
        <f>SUM(OSRRefP22_0x_0)</f>
        <v>66181.48</v>
      </c>
      <c r="Q30" s="1"/>
      <c r="R30" s="5">
        <f t="shared" si="16"/>
        <v>0.36876925262040128</v>
      </c>
      <c r="S30" s="1"/>
      <c r="T30" s="1">
        <f>SUM(OSRRefT22_0x_0)</f>
        <v>57001.04</v>
      </c>
      <c r="U30" s="1"/>
      <c r="V30" s="5">
        <f t="shared" si="17"/>
        <v>0.25232128022471584</v>
      </c>
      <c r="W30" s="1"/>
      <c r="X30" s="1">
        <f t="shared" si="18"/>
        <v>9180.4399999999951</v>
      </c>
      <c r="Y30" s="1"/>
      <c r="Z30" s="5">
        <f t="shared" si="19"/>
        <v>0.16105741228581083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7">
        <v>10456.19</v>
      </c>
      <c r="E31" s="2"/>
      <c r="F31" s="6">
        <f t="shared" si="12"/>
        <v>5.8262845913341826E-2</v>
      </c>
      <c r="G31" s="2"/>
      <c r="H31" s="7">
        <v>9510.9599999999991</v>
      </c>
      <c r="I31" s="2"/>
      <c r="J31" s="6">
        <f t="shared" si="13"/>
        <v>4.2101295052968564E-2</v>
      </c>
      <c r="K31" s="2"/>
      <c r="L31" s="7">
        <f t="shared" si="14"/>
        <v>945.23000000000138</v>
      </c>
      <c r="M31" s="2"/>
      <c r="N31" s="6">
        <f t="shared" si="15"/>
        <v>9.9383237864526977E-2</v>
      </c>
      <c r="O31" s="11"/>
      <c r="P31" s="7">
        <v>10456.19</v>
      </c>
      <c r="Q31" s="2"/>
      <c r="R31" s="6">
        <f t="shared" si="16"/>
        <v>5.8262845913341826E-2</v>
      </c>
      <c r="S31" s="2"/>
      <c r="T31" s="7">
        <v>9510.9599999999991</v>
      </c>
      <c r="U31" s="2"/>
      <c r="V31" s="6">
        <f t="shared" si="17"/>
        <v>4.2101295052968564E-2</v>
      </c>
      <c r="W31" s="2"/>
      <c r="X31" s="7">
        <f t="shared" si="18"/>
        <v>945.23000000000138</v>
      </c>
      <c r="Y31" s="2"/>
      <c r="Z31" s="6">
        <f t="shared" si="19"/>
        <v>9.9383237864526977E-2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4948.8</v>
      </c>
      <c r="E32" s="2"/>
      <c r="F32" s="6">
        <f t="shared" si="12"/>
        <v>2.7575165701459715E-2</v>
      </c>
      <c r="G32" s="2"/>
      <c r="H32" s="7">
        <v>6081.81</v>
      </c>
      <c r="I32" s="2"/>
      <c r="J32" s="6">
        <f t="shared" si="13"/>
        <v>2.6921790993348179E-2</v>
      </c>
      <c r="K32" s="2"/>
      <c r="L32" s="7">
        <f t="shared" si="14"/>
        <v>-1133.0100000000002</v>
      </c>
      <c r="M32" s="2"/>
      <c r="N32" s="6">
        <f t="shared" si="15"/>
        <v>-0.18629486945498136</v>
      </c>
      <c r="O32" s="11"/>
      <c r="P32" s="7">
        <v>4948.8</v>
      </c>
      <c r="Q32" s="2"/>
      <c r="R32" s="6">
        <f t="shared" si="16"/>
        <v>2.7575165701459715E-2</v>
      </c>
      <c r="S32" s="2"/>
      <c r="T32" s="7">
        <v>6081.81</v>
      </c>
      <c r="U32" s="2"/>
      <c r="V32" s="6">
        <f t="shared" si="17"/>
        <v>2.6921790993348179E-2</v>
      </c>
      <c r="W32" s="2"/>
      <c r="X32" s="7">
        <f t="shared" si="18"/>
        <v>-1133.0100000000002</v>
      </c>
      <c r="Y32" s="2"/>
      <c r="Z32" s="6">
        <f t="shared" si="19"/>
        <v>-0.18629486945498136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7">
        <v>20602.560000000001</v>
      </c>
      <c r="E33" s="2"/>
      <c r="F33" s="6">
        <f t="shared" si="12"/>
        <v>0.11479934648283742</v>
      </c>
      <c r="G33" s="2"/>
      <c r="H33" s="7">
        <v>8836.43</v>
      </c>
      <c r="I33" s="2"/>
      <c r="J33" s="6">
        <f t="shared" si="13"/>
        <v>3.9115414915518842E-2</v>
      </c>
      <c r="K33" s="2"/>
      <c r="L33" s="7">
        <f t="shared" si="14"/>
        <v>11766.130000000001</v>
      </c>
      <c r="M33" s="2"/>
      <c r="N33" s="6">
        <f t="shared" si="15"/>
        <v>1.3315479215022357</v>
      </c>
      <c r="O33" s="11"/>
      <c r="P33" s="7">
        <v>20602.560000000001</v>
      </c>
      <c r="Q33" s="2"/>
      <c r="R33" s="6">
        <f t="shared" si="16"/>
        <v>0.11479934648283742</v>
      </c>
      <c r="S33" s="2"/>
      <c r="T33" s="7">
        <v>8836.43</v>
      </c>
      <c r="U33" s="2"/>
      <c r="V33" s="6">
        <f t="shared" si="17"/>
        <v>3.9115414915518842E-2</v>
      </c>
      <c r="W33" s="2"/>
      <c r="X33" s="7">
        <f t="shared" si="18"/>
        <v>11766.130000000001</v>
      </c>
      <c r="Y33" s="2"/>
      <c r="Z33" s="6">
        <f t="shared" si="19"/>
        <v>1.3315479215022357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>
        <v>349.45</v>
      </c>
      <c r="E34" s="2"/>
      <c r="F34" s="6">
        <f t="shared" si="12"/>
        <v>1.9471673242756015E-3</v>
      </c>
      <c r="G34" s="2"/>
      <c r="H34" s="7">
        <v>466.69</v>
      </c>
      <c r="I34" s="2"/>
      <c r="J34" s="6">
        <f t="shared" si="13"/>
        <v>2.0658538557905724E-3</v>
      </c>
      <c r="K34" s="2"/>
      <c r="L34" s="7">
        <f t="shared" si="14"/>
        <v>-117.24000000000001</v>
      </c>
      <c r="M34" s="2"/>
      <c r="N34" s="6">
        <f t="shared" si="15"/>
        <v>-0.25121601062804005</v>
      </c>
      <c r="O34" s="11"/>
      <c r="P34" s="7">
        <v>349.45</v>
      </c>
      <c r="Q34" s="2"/>
      <c r="R34" s="6">
        <f t="shared" si="16"/>
        <v>1.9471673242756015E-3</v>
      </c>
      <c r="S34" s="2"/>
      <c r="T34" s="7">
        <v>466.69</v>
      </c>
      <c r="U34" s="2"/>
      <c r="V34" s="6">
        <f t="shared" si="17"/>
        <v>2.0658538557905724E-3</v>
      </c>
      <c r="W34" s="2"/>
      <c r="X34" s="7">
        <f t="shared" si="18"/>
        <v>-117.24000000000001</v>
      </c>
      <c r="Y34" s="2"/>
      <c r="Z34" s="6">
        <f t="shared" si="19"/>
        <v>-0.25121601062804005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7">
        <v>5779.58</v>
      </c>
      <c r="E35" s="2"/>
      <c r="F35" s="6">
        <f t="shared" si="12"/>
        <v>3.2204347758010531E-2</v>
      </c>
      <c r="G35" s="2"/>
      <c r="H35" s="7">
        <v>8619.2999999999993</v>
      </c>
      <c r="I35" s="2"/>
      <c r="J35" s="6">
        <f t="shared" si="13"/>
        <v>3.8154265442190062E-2</v>
      </c>
      <c r="K35" s="2"/>
      <c r="L35" s="7">
        <f t="shared" si="14"/>
        <v>-2839.7199999999993</v>
      </c>
      <c r="M35" s="2"/>
      <c r="N35" s="6">
        <f t="shared" si="15"/>
        <v>-0.32946062905340334</v>
      </c>
      <c r="O35" s="11"/>
      <c r="P35" s="7">
        <v>5779.58</v>
      </c>
      <c r="Q35" s="2"/>
      <c r="R35" s="6">
        <f t="shared" si="16"/>
        <v>3.2204347758010531E-2</v>
      </c>
      <c r="S35" s="2"/>
      <c r="T35" s="7">
        <v>8619.2999999999993</v>
      </c>
      <c r="U35" s="2"/>
      <c r="V35" s="6">
        <f t="shared" si="17"/>
        <v>3.8154265442190062E-2</v>
      </c>
      <c r="W35" s="2"/>
      <c r="X35" s="7">
        <f t="shared" si="18"/>
        <v>-2839.7199999999993</v>
      </c>
      <c r="Y35" s="2"/>
      <c r="Z35" s="6">
        <f t="shared" si="19"/>
        <v>-0.32946062905340334</v>
      </c>
    </row>
    <row r="36" spans="1:26" s="24" customFormat="1" hidden="1" outlineLevel="2" x14ac:dyDescent="0.25">
      <c r="A36" s="29"/>
      <c r="B36" s="11" t="str">
        <f>CONCATENATE("          ", "6117", " - ", "RETIREMENT STAFF HOURLY")</f>
        <v xml:space="preserve">          6117 - RETIREMENT STAFF HOURLY</v>
      </c>
      <c r="C36" s="11"/>
      <c r="D36" s="7">
        <v>56</v>
      </c>
      <c r="E36" s="2"/>
      <c r="F36" s="6">
        <f t="shared" si="12"/>
        <v>3.1203711592340443E-4</v>
      </c>
      <c r="G36" s="2"/>
      <c r="H36" s="7">
        <v>56</v>
      </c>
      <c r="I36" s="2"/>
      <c r="J36" s="6">
        <f t="shared" si="13"/>
        <v>2.4789006819145911E-4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>
        <v>56</v>
      </c>
      <c r="Q36" s="2"/>
      <c r="R36" s="6">
        <f t="shared" si="16"/>
        <v>3.1203711592340443E-4</v>
      </c>
      <c r="S36" s="2"/>
      <c r="T36" s="7">
        <v>56</v>
      </c>
      <c r="U36" s="2"/>
      <c r="V36" s="6">
        <f t="shared" si="17"/>
        <v>2.4789006819145911E-4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7">
        <v>8517.7000000000007</v>
      </c>
      <c r="E37" s="2"/>
      <c r="F37" s="6">
        <f t="shared" si="12"/>
        <v>4.7461402541085398E-2</v>
      </c>
      <c r="G37" s="2"/>
      <c r="H37" s="7">
        <v>8458.31</v>
      </c>
      <c r="I37" s="2"/>
      <c r="J37" s="6">
        <f t="shared" si="13"/>
        <v>3.7441625762223221E-2</v>
      </c>
      <c r="K37" s="2"/>
      <c r="L37" s="7">
        <f t="shared" si="14"/>
        <v>59.390000000001237</v>
      </c>
      <c r="M37" s="2"/>
      <c r="N37" s="6">
        <f t="shared" si="15"/>
        <v>7.0214972021599162E-3</v>
      </c>
      <c r="O37" s="11"/>
      <c r="P37" s="7">
        <v>8517.7000000000007</v>
      </c>
      <c r="Q37" s="2"/>
      <c r="R37" s="6">
        <f t="shared" si="16"/>
        <v>4.7461402541085398E-2</v>
      </c>
      <c r="S37" s="2"/>
      <c r="T37" s="7">
        <v>8458.31</v>
      </c>
      <c r="U37" s="2"/>
      <c r="V37" s="6">
        <f t="shared" si="17"/>
        <v>3.7441625762223221E-2</v>
      </c>
      <c r="W37" s="2"/>
      <c r="X37" s="7">
        <f t="shared" si="18"/>
        <v>59.390000000001237</v>
      </c>
      <c r="Y37" s="2"/>
      <c r="Z37" s="6">
        <f t="shared" si="19"/>
        <v>7.0214972021599162E-3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7">
        <v>13390.88</v>
      </c>
      <c r="E38" s="2"/>
      <c r="F38" s="6">
        <f t="shared" si="12"/>
        <v>7.4615206694221392E-2</v>
      </c>
      <c r="G38" s="2"/>
      <c r="H38" s="7">
        <v>12634.28</v>
      </c>
      <c r="I38" s="2"/>
      <c r="J38" s="6">
        <f t="shared" si="13"/>
        <v>5.5927009477678362E-2</v>
      </c>
      <c r="K38" s="2"/>
      <c r="L38" s="7">
        <f t="shared" si="14"/>
        <v>756.59999999999854</v>
      </c>
      <c r="M38" s="2"/>
      <c r="N38" s="6">
        <f t="shared" si="15"/>
        <v>5.9884694656125913E-2</v>
      </c>
      <c r="O38" s="11"/>
      <c r="P38" s="7">
        <v>13390.88</v>
      </c>
      <c r="Q38" s="2"/>
      <c r="R38" s="6">
        <f t="shared" si="16"/>
        <v>7.4615206694221392E-2</v>
      </c>
      <c r="S38" s="2"/>
      <c r="T38" s="7">
        <v>12634.28</v>
      </c>
      <c r="U38" s="2"/>
      <c r="V38" s="6">
        <f t="shared" si="17"/>
        <v>5.5927009477678362E-2</v>
      </c>
      <c r="W38" s="2"/>
      <c r="X38" s="7">
        <f t="shared" si="18"/>
        <v>756.59999999999854</v>
      </c>
      <c r="Y38" s="2"/>
      <c r="Z38" s="6">
        <f t="shared" si="19"/>
        <v>5.9884694656125913E-2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7">
        <v>2080.3200000000002</v>
      </c>
      <c r="E39" s="2"/>
      <c r="F39" s="6">
        <f t="shared" si="12"/>
        <v>1.1591733089246013E-2</v>
      </c>
      <c r="G39" s="2"/>
      <c r="H39" s="7">
        <v>2337.2600000000002</v>
      </c>
      <c r="I39" s="2"/>
      <c r="J39" s="6">
        <f t="shared" si="13"/>
        <v>1.0346134656806602E-2</v>
      </c>
      <c r="K39" s="2"/>
      <c r="L39" s="7">
        <f t="shared" si="14"/>
        <v>-256.94000000000005</v>
      </c>
      <c r="M39" s="2"/>
      <c r="N39" s="6">
        <f t="shared" si="15"/>
        <v>-0.10993214276546043</v>
      </c>
      <c r="O39" s="11"/>
      <c r="P39" s="7">
        <v>2080.3200000000002</v>
      </c>
      <c r="Q39" s="2"/>
      <c r="R39" s="6">
        <f t="shared" si="16"/>
        <v>1.1591733089246013E-2</v>
      </c>
      <c r="S39" s="2"/>
      <c r="T39" s="7">
        <v>2337.2600000000002</v>
      </c>
      <c r="U39" s="2"/>
      <c r="V39" s="6">
        <f t="shared" si="17"/>
        <v>1.0346134656806602E-2</v>
      </c>
      <c r="W39" s="2"/>
      <c r="X39" s="7">
        <f t="shared" si="18"/>
        <v>-256.94000000000005</v>
      </c>
      <c r="Y39" s="2"/>
      <c r="Z39" s="6">
        <f t="shared" si="19"/>
        <v>-0.10993214276546043</v>
      </c>
    </row>
    <row r="40" spans="1:26" s="28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160355.29</v>
      </c>
      <c r="E40" s="1"/>
      <c r="F40" s="5">
        <f t="shared" ref="F40:F47" si="20">IF(D$12=0,0,D40/D$12)</f>
        <v>0.89351432526180607</v>
      </c>
      <c r="G40" s="1"/>
      <c r="H40" s="1">
        <f>SUM(OSRRefH22_1x_0)</f>
        <v>143126.31999999998</v>
      </c>
      <c r="I40" s="1"/>
      <c r="J40" s="5">
        <f t="shared" ref="J40:J47" si="21">IF(H$12=0,0,H40/H$12)</f>
        <v>0.63356416472843913</v>
      </c>
      <c r="K40" s="1"/>
      <c r="L40" s="1">
        <f t="shared" ref="L40:L47" si="22">+D40-H40</f>
        <v>17228.97000000003</v>
      </c>
      <c r="M40" s="1"/>
      <c r="N40" s="5">
        <f t="shared" ref="N40:N47" si="23">IF(H40=0,0,L40/H40)</f>
        <v>0.12037597277705479</v>
      </c>
      <c r="O40" s="14"/>
      <c r="P40" s="1">
        <f>SUM(OSRRefP22_1x_0)</f>
        <v>160355.29</v>
      </c>
      <c r="Q40" s="1"/>
      <c r="R40" s="5">
        <f t="shared" ref="R40:R47" si="24">IF(P$12=0,0,P40/P$12)</f>
        <v>0.89351432526180607</v>
      </c>
      <c r="S40" s="1"/>
      <c r="T40" s="1">
        <f>SUM(OSRRefT22_1x_0)</f>
        <v>143126.31999999998</v>
      </c>
      <c r="U40" s="1"/>
      <c r="V40" s="5">
        <f t="shared" ref="V40:V47" si="25">IF(T$12=0,0,T40/T$12)</f>
        <v>0.63356416472843913</v>
      </c>
      <c r="W40" s="1"/>
      <c r="X40" s="1">
        <f t="shared" ref="X40:X47" si="26">+P40-T40</f>
        <v>17228.97000000003</v>
      </c>
      <c r="Y40" s="1"/>
      <c r="Z40" s="5">
        <f t="shared" ref="Z40:Z47" si="27">IF(T40=0,0,X40/T40)</f>
        <v>0.12037597277705479</v>
      </c>
    </row>
    <row r="41" spans="1:26" s="24" customFormat="1" hidden="1" outlineLevel="2" x14ac:dyDescent="0.2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7">
        <v>20426.670000000002</v>
      </c>
      <c r="E41" s="2"/>
      <c r="F41" s="6">
        <f t="shared" si="20"/>
        <v>0.11381927133427015</v>
      </c>
      <c r="G41" s="2"/>
      <c r="H41" s="7">
        <v>17438.16</v>
      </c>
      <c r="I41" s="2"/>
      <c r="J41" s="6">
        <f t="shared" si="21"/>
        <v>7.719190484881383E-2</v>
      </c>
      <c r="K41" s="2"/>
      <c r="L41" s="7">
        <f t="shared" si="22"/>
        <v>2988.510000000002</v>
      </c>
      <c r="M41" s="2"/>
      <c r="N41" s="6">
        <f t="shared" si="23"/>
        <v>0.17137759947150399</v>
      </c>
      <c r="O41" s="11"/>
      <c r="P41" s="7">
        <v>20426.670000000002</v>
      </c>
      <c r="Q41" s="2"/>
      <c r="R41" s="6">
        <f t="shared" si="24"/>
        <v>0.11381927133427015</v>
      </c>
      <c r="S41" s="2"/>
      <c r="T41" s="7">
        <v>17438.16</v>
      </c>
      <c r="U41" s="2"/>
      <c r="V41" s="6">
        <f t="shared" si="25"/>
        <v>7.719190484881383E-2</v>
      </c>
      <c r="W41" s="2"/>
      <c r="X41" s="7">
        <f t="shared" si="26"/>
        <v>2988.510000000002</v>
      </c>
      <c r="Y41" s="2"/>
      <c r="Z41" s="6">
        <f t="shared" si="27"/>
        <v>0.17137759947150399</v>
      </c>
    </row>
    <row r="42" spans="1:26" s="24" customFormat="1" hidden="1" outlineLevel="2" x14ac:dyDescent="0.25">
      <c r="A42" s="29"/>
      <c r="B42" s="11" t="str">
        <f>CONCATENATE("          ", "6002", " - ", "STAFF SALARIES")</f>
        <v xml:space="preserve">          6002 - STAFF SALARIES</v>
      </c>
      <c r="C42" s="11"/>
      <c r="D42" s="7">
        <v>58026.310000000005</v>
      </c>
      <c r="E42" s="2"/>
      <c r="F42" s="6">
        <f t="shared" si="20"/>
        <v>0.3233279003585251</v>
      </c>
      <c r="G42" s="2"/>
      <c r="H42" s="7">
        <v>60585.619999999995</v>
      </c>
      <c r="I42" s="2"/>
      <c r="J42" s="6">
        <f t="shared" si="21"/>
        <v>0.26818881202181832</v>
      </c>
      <c r="K42" s="2"/>
      <c r="L42" s="7">
        <f t="shared" si="22"/>
        <v>-2559.3099999999904</v>
      </c>
      <c r="M42" s="2"/>
      <c r="N42" s="6">
        <f t="shared" si="23"/>
        <v>-4.2242862250150955E-2</v>
      </c>
      <c r="O42" s="11"/>
      <c r="P42" s="7">
        <v>58026.310000000005</v>
      </c>
      <c r="Q42" s="2"/>
      <c r="R42" s="6">
        <f t="shared" si="24"/>
        <v>0.3233279003585251</v>
      </c>
      <c r="S42" s="2"/>
      <c r="T42" s="7">
        <v>60585.619999999995</v>
      </c>
      <c r="U42" s="2"/>
      <c r="V42" s="6">
        <f t="shared" si="25"/>
        <v>0.26818881202181832</v>
      </c>
      <c r="W42" s="2"/>
      <c r="X42" s="7">
        <f t="shared" si="26"/>
        <v>-2559.3099999999904</v>
      </c>
      <c r="Y42" s="2"/>
      <c r="Z42" s="6">
        <f t="shared" si="27"/>
        <v>-4.2242862250150955E-2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7">
        <v>15310.009999999998</v>
      </c>
      <c r="E43" s="2"/>
      <c r="F43" s="6">
        <f t="shared" si="20"/>
        <v>8.5308774377830007E-2</v>
      </c>
      <c r="G43" s="2"/>
      <c r="H43" s="7">
        <v>8047.93</v>
      </c>
      <c r="I43" s="2"/>
      <c r="J43" s="6">
        <f t="shared" si="21"/>
        <v>3.5625034223215883E-2</v>
      </c>
      <c r="K43" s="2"/>
      <c r="L43" s="7">
        <f t="shared" si="22"/>
        <v>7262.0799999999981</v>
      </c>
      <c r="M43" s="2"/>
      <c r="N43" s="6">
        <f t="shared" si="23"/>
        <v>0.90235377295776653</v>
      </c>
      <c r="O43" s="11"/>
      <c r="P43" s="7">
        <v>15310.009999999998</v>
      </c>
      <c r="Q43" s="2"/>
      <c r="R43" s="6">
        <f t="shared" si="24"/>
        <v>8.5308774377830007E-2</v>
      </c>
      <c r="S43" s="2"/>
      <c r="T43" s="7">
        <v>8047.93</v>
      </c>
      <c r="U43" s="2"/>
      <c r="V43" s="6">
        <f t="shared" si="25"/>
        <v>3.5625034223215883E-2</v>
      </c>
      <c r="W43" s="2"/>
      <c r="X43" s="7">
        <f t="shared" si="26"/>
        <v>7262.0799999999981</v>
      </c>
      <c r="Y43" s="2"/>
      <c r="Z43" s="6">
        <f t="shared" si="27"/>
        <v>0.90235377295776653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7">
        <v>27322.84</v>
      </c>
      <c r="E44" s="2"/>
      <c r="F44" s="6">
        <f t="shared" si="20"/>
        <v>0.15224536057922558</v>
      </c>
      <c r="G44" s="2"/>
      <c r="H44" s="7">
        <v>22002.34</v>
      </c>
      <c r="I44" s="2"/>
      <c r="J44" s="6">
        <f t="shared" si="21"/>
        <v>9.7395742195922647E-2</v>
      </c>
      <c r="K44" s="2"/>
      <c r="L44" s="7">
        <f t="shared" si="22"/>
        <v>5320.5</v>
      </c>
      <c r="M44" s="2"/>
      <c r="N44" s="6">
        <f t="shared" si="23"/>
        <v>0.24181518874810587</v>
      </c>
      <c r="O44" s="11"/>
      <c r="P44" s="7">
        <v>27322.84</v>
      </c>
      <c r="Q44" s="2"/>
      <c r="R44" s="6">
        <f t="shared" si="24"/>
        <v>0.15224536057922558</v>
      </c>
      <c r="S44" s="2"/>
      <c r="T44" s="7">
        <v>22002.34</v>
      </c>
      <c r="U44" s="2"/>
      <c r="V44" s="6">
        <f t="shared" si="25"/>
        <v>9.7395742195922647E-2</v>
      </c>
      <c r="W44" s="2"/>
      <c r="X44" s="7">
        <f t="shared" si="26"/>
        <v>5320.5</v>
      </c>
      <c r="Y44" s="2"/>
      <c r="Z44" s="6">
        <f t="shared" si="27"/>
        <v>0.24181518874810587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7">
        <v>2250.64</v>
      </c>
      <c r="E45" s="2"/>
      <c r="F45" s="6">
        <f t="shared" si="20"/>
        <v>1.2540771688961623E-2</v>
      </c>
      <c r="G45" s="2"/>
      <c r="H45" s="7">
        <v>346.5</v>
      </c>
      <c r="I45" s="2"/>
      <c r="J45" s="6">
        <f t="shared" si="21"/>
        <v>1.5338197969346533E-3</v>
      </c>
      <c r="K45" s="2"/>
      <c r="L45" s="7">
        <f t="shared" si="22"/>
        <v>1904.1399999999999</v>
      </c>
      <c r="M45" s="2"/>
      <c r="N45" s="6">
        <f t="shared" si="23"/>
        <v>5.4953535353535345</v>
      </c>
      <c r="O45" s="11"/>
      <c r="P45" s="7">
        <v>2250.64</v>
      </c>
      <c r="Q45" s="2"/>
      <c r="R45" s="6">
        <f t="shared" si="24"/>
        <v>1.2540771688961623E-2</v>
      </c>
      <c r="S45" s="2"/>
      <c r="T45" s="7">
        <v>346.5</v>
      </c>
      <c r="U45" s="2"/>
      <c r="V45" s="6">
        <f t="shared" si="25"/>
        <v>1.5338197969346533E-3</v>
      </c>
      <c r="W45" s="2"/>
      <c r="X45" s="7">
        <f t="shared" si="26"/>
        <v>1904.1399999999999</v>
      </c>
      <c r="Y45" s="2"/>
      <c r="Z45" s="6">
        <f t="shared" si="27"/>
        <v>5.4953535353535345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7">
        <v>36285.4</v>
      </c>
      <c r="E46" s="2"/>
      <c r="F46" s="6">
        <f t="shared" si="20"/>
        <v>0.20218556368084106</v>
      </c>
      <c r="G46" s="2"/>
      <c r="H46" s="7">
        <v>32341.939999999995</v>
      </c>
      <c r="I46" s="2"/>
      <c r="J46" s="6">
        <f t="shared" si="21"/>
        <v>0.14316510200078711</v>
      </c>
      <c r="K46" s="2"/>
      <c r="L46" s="7">
        <f t="shared" si="22"/>
        <v>3943.4600000000064</v>
      </c>
      <c r="M46" s="2"/>
      <c r="N46" s="6">
        <f t="shared" si="23"/>
        <v>0.121930224346468</v>
      </c>
      <c r="O46" s="11"/>
      <c r="P46" s="7">
        <v>36285.4</v>
      </c>
      <c r="Q46" s="2"/>
      <c r="R46" s="6">
        <f t="shared" si="24"/>
        <v>0.20218556368084106</v>
      </c>
      <c r="S46" s="2"/>
      <c r="T46" s="7">
        <v>32341.939999999995</v>
      </c>
      <c r="U46" s="2"/>
      <c r="V46" s="6">
        <f t="shared" si="25"/>
        <v>0.14316510200078711</v>
      </c>
      <c r="W46" s="2"/>
      <c r="X46" s="7">
        <f t="shared" si="26"/>
        <v>3943.4600000000064</v>
      </c>
      <c r="Y46" s="2"/>
      <c r="Z46" s="6">
        <f t="shared" si="27"/>
        <v>0.121930224346468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7">
        <v>733.42</v>
      </c>
      <c r="E47" s="2"/>
      <c r="F47" s="6">
        <f t="shared" si="20"/>
        <v>4.0866832421525582E-3</v>
      </c>
      <c r="G47" s="2"/>
      <c r="H47" s="7">
        <v>2363.83</v>
      </c>
      <c r="I47" s="2"/>
      <c r="J47" s="6">
        <f t="shared" si="21"/>
        <v>1.0463749640946728E-2</v>
      </c>
      <c r="K47" s="2"/>
      <c r="L47" s="7">
        <f t="shared" si="22"/>
        <v>-1630.4099999999999</v>
      </c>
      <c r="M47" s="2"/>
      <c r="N47" s="6">
        <f t="shared" si="23"/>
        <v>-0.68973234115820503</v>
      </c>
      <c r="O47" s="11"/>
      <c r="P47" s="7">
        <v>733.42</v>
      </c>
      <c r="Q47" s="2"/>
      <c r="R47" s="6">
        <f t="shared" si="24"/>
        <v>4.0866832421525582E-3</v>
      </c>
      <c r="S47" s="2"/>
      <c r="T47" s="7">
        <v>2363.83</v>
      </c>
      <c r="U47" s="2"/>
      <c r="V47" s="6">
        <f t="shared" si="25"/>
        <v>1.0463749640946728E-2</v>
      </c>
      <c r="W47" s="2"/>
      <c r="X47" s="7">
        <f t="shared" si="26"/>
        <v>-1630.4099999999999</v>
      </c>
      <c r="Y47" s="2"/>
      <c r="Z47" s="6">
        <f t="shared" si="27"/>
        <v>-0.68973234115820503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2648.83</v>
      </c>
      <c r="E48" s="1"/>
      <c r="F48" s="5">
        <f t="shared" ref="F48:F57" si="28">IF(D$12=0,0,D48/D$12)</f>
        <v>1.4759522745917703E-2</v>
      </c>
      <c r="G48" s="1"/>
      <c r="H48" s="1">
        <f>SUM(OSRRefH22_2x_0)</f>
        <v>2076.5700000000002</v>
      </c>
      <c r="I48" s="1"/>
      <c r="J48" s="5">
        <f t="shared" ref="J48:J57" si="29">IF(H$12=0,0,H48/H$12)</f>
        <v>9.1921621232917555E-3</v>
      </c>
      <c r="K48" s="1"/>
      <c r="L48" s="1">
        <f t="shared" ref="L48:L57" si="30">+D48-H48</f>
        <v>572.25999999999976</v>
      </c>
      <c r="M48" s="1"/>
      <c r="N48" s="5">
        <f t="shared" ref="N48:N57" si="31">IF(H48=0,0,L48/H48)</f>
        <v>0.27557944109757904</v>
      </c>
      <c r="O48" s="14"/>
      <c r="P48" s="1">
        <f>SUM(OSRRefP22_2x_0)</f>
        <v>2648.83</v>
      </c>
      <c r="Q48" s="1"/>
      <c r="R48" s="5">
        <f t="shared" ref="R48:R57" si="32">IF(P$12=0,0,P48/P$12)</f>
        <v>1.4759522745917703E-2</v>
      </c>
      <c r="S48" s="1"/>
      <c r="T48" s="1">
        <f>SUM(OSRRefT22_2x_0)</f>
        <v>2076.5700000000002</v>
      </c>
      <c r="U48" s="1"/>
      <c r="V48" s="5">
        <f t="shared" ref="V48:V57" si="33">IF(T$12=0,0,T48/T$12)</f>
        <v>9.1921621232917555E-3</v>
      </c>
      <c r="W48" s="1"/>
      <c r="X48" s="1">
        <f t="shared" ref="X48:X57" si="34">+P48-T48</f>
        <v>572.25999999999976</v>
      </c>
      <c r="Y48" s="1"/>
      <c r="Z48" s="5">
        <f t="shared" ref="Z48:Z57" si="35">IF(T48=0,0,X48/T48)</f>
        <v>0.27557944109757904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2648.83</v>
      </c>
      <c r="E49" s="2"/>
      <c r="F49" s="6">
        <f t="shared" si="28"/>
        <v>1.4759522745917703E-2</v>
      </c>
      <c r="G49" s="2"/>
      <c r="H49" s="7">
        <v>2076.5700000000002</v>
      </c>
      <c r="I49" s="2"/>
      <c r="J49" s="6">
        <f t="shared" si="29"/>
        <v>9.1921621232917555E-3</v>
      </c>
      <c r="K49" s="2"/>
      <c r="L49" s="7">
        <f t="shared" si="30"/>
        <v>572.25999999999976</v>
      </c>
      <c r="M49" s="2"/>
      <c r="N49" s="6">
        <f t="shared" si="31"/>
        <v>0.27557944109757904</v>
      </c>
      <c r="O49" s="11"/>
      <c r="P49" s="7">
        <v>2648.83</v>
      </c>
      <c r="Q49" s="2"/>
      <c r="R49" s="6">
        <f t="shared" si="32"/>
        <v>1.4759522745917703E-2</v>
      </c>
      <c r="S49" s="2"/>
      <c r="T49" s="7">
        <v>2076.5700000000002</v>
      </c>
      <c r="U49" s="2"/>
      <c r="V49" s="6">
        <f t="shared" si="33"/>
        <v>9.1921621232917555E-3</v>
      </c>
      <c r="W49" s="2"/>
      <c r="X49" s="7">
        <f t="shared" si="34"/>
        <v>572.25999999999976</v>
      </c>
      <c r="Y49" s="2"/>
      <c r="Z49" s="6">
        <f t="shared" si="35"/>
        <v>0.27557944109757904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-18.579999999999998</v>
      </c>
      <c r="E50" s="1"/>
      <c r="F50" s="5">
        <f t="shared" si="28"/>
        <v>-1.0352945739030096E-4</v>
      </c>
      <c r="G50" s="1"/>
      <c r="H50" s="1">
        <f>SUM(OSRRefH22_3x_0)</f>
        <v>3.68</v>
      </c>
      <c r="I50" s="1"/>
      <c r="J50" s="5">
        <f t="shared" si="29"/>
        <v>1.6289918766867314E-5</v>
      </c>
      <c r="K50" s="1"/>
      <c r="L50" s="1">
        <f t="shared" si="30"/>
        <v>-22.259999999999998</v>
      </c>
      <c r="M50" s="1"/>
      <c r="N50" s="5">
        <f t="shared" si="31"/>
        <v>-6.0489130434782599</v>
      </c>
      <c r="O50" s="14"/>
      <c r="P50" s="1">
        <f>SUM(OSRRefP22_3x_0)</f>
        <v>-18.579999999999998</v>
      </c>
      <c r="Q50" s="1"/>
      <c r="R50" s="5">
        <f t="shared" si="32"/>
        <v>-1.0352945739030096E-4</v>
      </c>
      <c r="S50" s="1"/>
      <c r="T50" s="1">
        <f>SUM(OSRRefT22_3x_0)</f>
        <v>3.68</v>
      </c>
      <c r="U50" s="1"/>
      <c r="V50" s="5">
        <f t="shared" si="33"/>
        <v>1.6289918766867314E-5</v>
      </c>
      <c r="W50" s="1"/>
      <c r="X50" s="1">
        <f t="shared" si="34"/>
        <v>-22.259999999999998</v>
      </c>
      <c r="Y50" s="1"/>
      <c r="Z50" s="5">
        <f t="shared" si="35"/>
        <v>-6.0489130434782599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-18.579999999999998</v>
      </c>
      <c r="E51" s="2"/>
      <c r="F51" s="6">
        <f t="shared" si="28"/>
        <v>-1.0352945739030096E-4</v>
      </c>
      <c r="G51" s="2"/>
      <c r="H51" s="7">
        <v>3.68</v>
      </c>
      <c r="I51" s="2"/>
      <c r="J51" s="6">
        <f t="shared" si="29"/>
        <v>1.6289918766867314E-5</v>
      </c>
      <c r="K51" s="2"/>
      <c r="L51" s="7">
        <f t="shared" si="30"/>
        <v>-22.259999999999998</v>
      </c>
      <c r="M51" s="2"/>
      <c r="N51" s="6">
        <f t="shared" si="31"/>
        <v>-6.0489130434782599</v>
      </c>
      <c r="O51" s="11"/>
      <c r="P51" s="7">
        <v>-18.579999999999998</v>
      </c>
      <c r="Q51" s="2"/>
      <c r="R51" s="6">
        <f t="shared" si="32"/>
        <v>-1.0352945739030096E-4</v>
      </c>
      <c r="S51" s="2"/>
      <c r="T51" s="7">
        <v>3.68</v>
      </c>
      <c r="U51" s="2"/>
      <c r="V51" s="6">
        <f t="shared" si="33"/>
        <v>1.6289918766867314E-5</v>
      </c>
      <c r="W51" s="2"/>
      <c r="X51" s="7">
        <f t="shared" si="34"/>
        <v>-22.259999999999998</v>
      </c>
      <c r="Y51" s="2"/>
      <c r="Z51" s="6">
        <f t="shared" si="35"/>
        <v>-6.0489130434782599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4169.26</v>
      </c>
      <c r="E52" s="1"/>
      <c r="F52" s="5">
        <f t="shared" si="28"/>
        <v>2.3231497605978809E-2</v>
      </c>
      <c r="G52" s="1"/>
      <c r="H52" s="1">
        <f>SUM(OSRRefH22_4x_0)</f>
        <v>4627.1000000000004</v>
      </c>
      <c r="I52" s="1"/>
      <c r="J52" s="5">
        <f t="shared" si="29"/>
        <v>2.0482359545155367E-2</v>
      </c>
      <c r="K52" s="1"/>
      <c r="L52" s="1">
        <f t="shared" si="30"/>
        <v>-457.84000000000015</v>
      </c>
      <c r="M52" s="1"/>
      <c r="N52" s="5">
        <f t="shared" si="31"/>
        <v>-9.8947504916686496E-2</v>
      </c>
      <c r="O52" s="14"/>
      <c r="P52" s="1">
        <f>SUM(OSRRefP22_4x_0)</f>
        <v>4169.26</v>
      </c>
      <c r="Q52" s="1"/>
      <c r="R52" s="5">
        <f t="shared" si="32"/>
        <v>2.3231497605978809E-2</v>
      </c>
      <c r="S52" s="1"/>
      <c r="T52" s="1">
        <f>SUM(OSRRefT22_4x_0)</f>
        <v>4627.1000000000004</v>
      </c>
      <c r="U52" s="1"/>
      <c r="V52" s="5">
        <f t="shared" si="33"/>
        <v>2.0482359545155367E-2</v>
      </c>
      <c r="W52" s="1"/>
      <c r="X52" s="1">
        <f t="shared" si="34"/>
        <v>-457.84000000000015</v>
      </c>
      <c r="Y52" s="1"/>
      <c r="Z52" s="5">
        <f t="shared" si="35"/>
        <v>-9.8947504916686496E-2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4169.26</v>
      </c>
      <c r="E53" s="2"/>
      <c r="F53" s="6">
        <f t="shared" si="28"/>
        <v>2.3231497605978809E-2</v>
      </c>
      <c r="G53" s="2"/>
      <c r="H53" s="7">
        <v>4627.1000000000004</v>
      </c>
      <c r="I53" s="2"/>
      <c r="J53" s="6">
        <f t="shared" si="29"/>
        <v>2.0482359545155367E-2</v>
      </c>
      <c r="K53" s="2"/>
      <c r="L53" s="7">
        <f t="shared" si="30"/>
        <v>-457.84000000000015</v>
      </c>
      <c r="M53" s="2"/>
      <c r="N53" s="6">
        <f t="shared" si="31"/>
        <v>-9.8947504916686496E-2</v>
      </c>
      <c r="O53" s="11"/>
      <c r="P53" s="7">
        <v>4169.26</v>
      </c>
      <c r="Q53" s="2"/>
      <c r="R53" s="6">
        <f t="shared" si="32"/>
        <v>2.3231497605978809E-2</v>
      </c>
      <c r="S53" s="2"/>
      <c r="T53" s="7">
        <v>4627.1000000000004</v>
      </c>
      <c r="U53" s="2"/>
      <c r="V53" s="6">
        <f t="shared" si="33"/>
        <v>2.0482359545155367E-2</v>
      </c>
      <c r="W53" s="2"/>
      <c r="X53" s="7">
        <f t="shared" si="34"/>
        <v>-457.84000000000015</v>
      </c>
      <c r="Y53" s="2"/>
      <c r="Z53" s="6">
        <f t="shared" si="35"/>
        <v>-9.8947504916686496E-2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39571.050000000003</v>
      </c>
      <c r="E54" s="1"/>
      <c r="F54" s="5">
        <f t="shared" si="28"/>
        <v>0.22049350564394346</v>
      </c>
      <c r="G54" s="1"/>
      <c r="H54" s="1">
        <f>SUM(OSRRefH22_5x_0)</f>
        <v>41769.21</v>
      </c>
      <c r="I54" s="1"/>
      <c r="J54" s="5">
        <f t="shared" si="29"/>
        <v>0.18489593420006029</v>
      </c>
      <c r="K54" s="1"/>
      <c r="L54" s="1">
        <f t="shared" si="30"/>
        <v>-2198.1599999999962</v>
      </c>
      <c r="M54" s="1"/>
      <c r="N54" s="5">
        <f t="shared" si="31"/>
        <v>-5.2626324510327012E-2</v>
      </c>
      <c r="O54" s="14"/>
      <c r="P54" s="1">
        <f>SUM(OSRRefP22_5x_0)</f>
        <v>39571.050000000003</v>
      </c>
      <c r="Q54" s="1"/>
      <c r="R54" s="5">
        <f t="shared" si="32"/>
        <v>0.22049350564394346</v>
      </c>
      <c r="S54" s="1"/>
      <c r="T54" s="1">
        <f>SUM(OSRRefT22_5x_0)</f>
        <v>41769.21</v>
      </c>
      <c r="U54" s="1"/>
      <c r="V54" s="5">
        <f t="shared" si="33"/>
        <v>0.18489593420006029</v>
      </c>
      <c r="W54" s="1"/>
      <c r="X54" s="1">
        <f t="shared" si="34"/>
        <v>-2198.1599999999962</v>
      </c>
      <c r="Y54" s="1"/>
      <c r="Z54" s="5">
        <f t="shared" si="35"/>
        <v>-5.2626324510327012E-2</v>
      </c>
    </row>
    <row r="55" spans="1:26" s="24" customFormat="1" hidden="1" outlineLevel="2" x14ac:dyDescent="0.25">
      <c r="A55" s="29"/>
      <c r="B55" s="11" t="str">
        <f>CONCATENATE("          ", "6321", " - ", "BUILDING DEPRECIATION")</f>
        <v xml:space="preserve">          6321 - BUILDING DEPRECIATION</v>
      </c>
      <c r="C55" s="11"/>
      <c r="D55" s="7">
        <v>24042.959999999999</v>
      </c>
      <c r="E55" s="2"/>
      <c r="F55" s="6">
        <f t="shared" si="28"/>
        <v>0.13396956958324599</v>
      </c>
      <c r="G55" s="2"/>
      <c r="H55" s="7">
        <v>27841.129999999997</v>
      </c>
      <c r="I55" s="2"/>
      <c r="J55" s="6">
        <f t="shared" si="29"/>
        <v>0.12324177882548709</v>
      </c>
      <c r="K55" s="2"/>
      <c r="L55" s="7">
        <f t="shared" si="30"/>
        <v>-3798.1699999999983</v>
      </c>
      <c r="M55" s="2"/>
      <c r="N55" s="6">
        <f t="shared" si="31"/>
        <v>-0.13642298283151577</v>
      </c>
      <c r="O55" s="11"/>
      <c r="P55" s="7">
        <v>24042.959999999999</v>
      </c>
      <c r="Q55" s="2"/>
      <c r="R55" s="6">
        <f t="shared" si="32"/>
        <v>0.13396956958324599</v>
      </c>
      <c r="S55" s="2"/>
      <c r="T55" s="7">
        <v>27841.129999999997</v>
      </c>
      <c r="U55" s="2"/>
      <c r="V55" s="6">
        <f t="shared" si="33"/>
        <v>0.12324177882548709</v>
      </c>
      <c r="W55" s="2"/>
      <c r="X55" s="7">
        <f t="shared" si="34"/>
        <v>-3798.1699999999983</v>
      </c>
      <c r="Y55" s="2"/>
      <c r="Z55" s="6">
        <f t="shared" si="35"/>
        <v>-0.13642298283151577</v>
      </c>
    </row>
    <row r="56" spans="1:26" s="24" customFormat="1" hidden="1" outlineLevel="2" x14ac:dyDescent="0.2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15103.84</v>
      </c>
      <c r="E56" s="2"/>
      <c r="F56" s="6">
        <f t="shared" si="28"/>
        <v>8.4159976303009879E-2</v>
      </c>
      <c r="G56" s="2"/>
      <c r="H56" s="7">
        <v>13503.83</v>
      </c>
      <c r="I56" s="2"/>
      <c r="J56" s="6">
        <f t="shared" si="29"/>
        <v>5.977616677760484E-2</v>
      </c>
      <c r="K56" s="2"/>
      <c r="L56" s="7">
        <f t="shared" si="30"/>
        <v>1600.0100000000002</v>
      </c>
      <c r="M56" s="2"/>
      <c r="N56" s="6">
        <f t="shared" si="31"/>
        <v>0.11848564444309505</v>
      </c>
      <c r="O56" s="11"/>
      <c r="P56" s="7">
        <v>15103.84</v>
      </c>
      <c r="Q56" s="2"/>
      <c r="R56" s="6">
        <f t="shared" si="32"/>
        <v>8.4159976303009879E-2</v>
      </c>
      <c r="S56" s="2"/>
      <c r="T56" s="7">
        <v>13503.83</v>
      </c>
      <c r="U56" s="2"/>
      <c r="V56" s="6">
        <f t="shared" si="33"/>
        <v>5.977616677760484E-2</v>
      </c>
      <c r="W56" s="2"/>
      <c r="X56" s="7">
        <f t="shared" si="34"/>
        <v>1600.0100000000002</v>
      </c>
      <c r="Y56" s="2"/>
      <c r="Z56" s="6">
        <f t="shared" si="35"/>
        <v>0.11848564444309505</v>
      </c>
    </row>
    <row r="57" spans="1:26" s="24" customFormat="1" hidden="1" outlineLevel="2" x14ac:dyDescent="0.25">
      <c r="A57" s="29"/>
      <c r="B57" s="11" t="str">
        <f>CONCATENATE("          ", "6326", " - ", "VEHICLES DEPRECIATION EXPENSE")</f>
        <v xml:space="preserve">          6326 - VEHICLES DEPRECIATION EXPENSE</v>
      </c>
      <c r="C57" s="11"/>
      <c r="D57" s="7">
        <v>424.25</v>
      </c>
      <c r="E57" s="2"/>
      <c r="F57" s="6">
        <f t="shared" si="28"/>
        <v>2.3639597576875773E-3</v>
      </c>
      <c r="G57" s="2"/>
      <c r="H57" s="7">
        <v>424.25</v>
      </c>
      <c r="I57" s="2"/>
      <c r="J57" s="6">
        <f t="shared" si="29"/>
        <v>1.8779885969683308E-3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>
        <v>424.25</v>
      </c>
      <c r="Q57" s="2"/>
      <c r="R57" s="6">
        <f t="shared" si="32"/>
        <v>2.3639597576875773E-3</v>
      </c>
      <c r="S57" s="2"/>
      <c r="T57" s="7">
        <v>424.25</v>
      </c>
      <c r="U57" s="2"/>
      <c r="V57" s="6">
        <f t="shared" si="33"/>
        <v>1.8779885969683308E-3</v>
      </c>
      <c r="W57" s="2"/>
      <c r="X57" s="7">
        <f t="shared" si="34"/>
        <v>0</v>
      </c>
      <c r="Y57" s="2"/>
      <c r="Z57" s="6">
        <f t="shared" si="35"/>
        <v>0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109.76</v>
      </c>
      <c r="E58" s="1"/>
      <c r="F58" s="5">
        <f t="shared" ref="F58:F72" si="36">IF(D$12=0,0,D58/D$12)</f>
        <v>6.1159274720987275E-4</v>
      </c>
      <c r="G58" s="1"/>
      <c r="H58" s="1">
        <f>SUM(OSRRefH22_6x_0)</f>
        <v>0</v>
      </c>
      <c r="I58" s="1"/>
      <c r="J58" s="5">
        <f t="shared" ref="J58:J72" si="37">IF(H$12=0,0,H58/H$12)</f>
        <v>0</v>
      </c>
      <c r="K58" s="1"/>
      <c r="L58" s="1">
        <f t="shared" ref="L58:L72" si="38">+D58-H58</f>
        <v>109.76</v>
      </c>
      <c r="M58" s="1"/>
      <c r="N58" s="5">
        <f t="shared" ref="N58:N72" si="39">IF(H58=0,0,L58/H58)</f>
        <v>0</v>
      </c>
      <c r="O58" s="14"/>
      <c r="P58" s="1">
        <f>SUM(OSRRefP22_6x_0)</f>
        <v>109.76</v>
      </c>
      <c r="Q58" s="1"/>
      <c r="R58" s="5">
        <f t="shared" ref="R58:R72" si="40">IF(P$12=0,0,P58/P$12)</f>
        <v>6.1159274720987275E-4</v>
      </c>
      <c r="S58" s="1"/>
      <c r="T58" s="1">
        <f>SUM(OSRRefT22_6x_0)</f>
        <v>0</v>
      </c>
      <c r="U58" s="1"/>
      <c r="V58" s="5">
        <f t="shared" ref="V58:V72" si="41">IF(T$12=0,0,T58/T$12)</f>
        <v>0</v>
      </c>
      <c r="W58" s="1"/>
      <c r="X58" s="1">
        <f t="shared" ref="X58:X72" si="42">+P58-T58</f>
        <v>109.76</v>
      </c>
      <c r="Y58" s="1"/>
      <c r="Z58" s="5">
        <f t="shared" ref="Z58:Z72" si="43">IF(T58=0,0,X58/T58)</f>
        <v>0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>
        <v>109.76</v>
      </c>
      <c r="E59" s="2"/>
      <c r="F59" s="6">
        <f t="shared" si="36"/>
        <v>6.1159274720987275E-4</v>
      </c>
      <c r="G59" s="2"/>
      <c r="H59" s="7"/>
      <c r="I59" s="2"/>
      <c r="J59" s="6">
        <f t="shared" si="37"/>
        <v>0</v>
      </c>
      <c r="K59" s="2"/>
      <c r="L59" s="7">
        <f t="shared" si="38"/>
        <v>109.76</v>
      </c>
      <c r="M59" s="2"/>
      <c r="N59" s="6">
        <f t="shared" si="39"/>
        <v>0</v>
      </c>
      <c r="O59" s="11"/>
      <c r="P59" s="7">
        <v>109.76</v>
      </c>
      <c r="Q59" s="2"/>
      <c r="R59" s="6">
        <f t="shared" si="40"/>
        <v>6.1159274720987275E-4</v>
      </c>
      <c r="S59" s="2"/>
      <c r="T59" s="7"/>
      <c r="U59" s="2"/>
      <c r="V59" s="6">
        <f t="shared" si="41"/>
        <v>0</v>
      </c>
      <c r="W59" s="2"/>
      <c r="X59" s="7">
        <f t="shared" si="42"/>
        <v>109.76</v>
      </c>
      <c r="Y59" s="2"/>
      <c r="Z59" s="6">
        <f t="shared" si="43"/>
        <v>0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1538.01</v>
      </c>
      <c r="E60" s="1"/>
      <c r="F60" s="5">
        <f t="shared" si="36"/>
        <v>8.5699322260956289E-3</v>
      </c>
      <c r="G60" s="1"/>
      <c r="H60" s="1">
        <f>SUM(OSRRefH22_7x_0)</f>
        <v>2188</v>
      </c>
      <c r="I60" s="1"/>
      <c r="J60" s="5">
        <f t="shared" si="37"/>
        <v>9.6854190929091515E-3</v>
      </c>
      <c r="K60" s="1"/>
      <c r="L60" s="1">
        <f t="shared" si="38"/>
        <v>-649.99</v>
      </c>
      <c r="M60" s="1"/>
      <c r="N60" s="5">
        <f t="shared" si="39"/>
        <v>-0.29707038391224866</v>
      </c>
      <c r="O60" s="14"/>
      <c r="P60" s="1">
        <f>SUM(OSRRefP22_7x_0)</f>
        <v>1538.01</v>
      </c>
      <c r="Q60" s="1"/>
      <c r="R60" s="5">
        <f t="shared" si="40"/>
        <v>8.5699322260956289E-3</v>
      </c>
      <c r="S60" s="1"/>
      <c r="T60" s="1">
        <f>SUM(OSRRefT22_7x_0)</f>
        <v>2188</v>
      </c>
      <c r="U60" s="1"/>
      <c r="V60" s="5">
        <f t="shared" si="41"/>
        <v>9.6854190929091515E-3</v>
      </c>
      <c r="W60" s="1"/>
      <c r="X60" s="1">
        <f t="shared" si="42"/>
        <v>-649.99</v>
      </c>
      <c r="Y60" s="1"/>
      <c r="Z60" s="5">
        <f t="shared" si="43"/>
        <v>-0.29707038391224866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1538.01</v>
      </c>
      <c r="E61" s="2"/>
      <c r="F61" s="6">
        <f t="shared" si="36"/>
        <v>8.5699322260956289E-3</v>
      </c>
      <c r="G61" s="2"/>
      <c r="H61" s="7">
        <v>2188</v>
      </c>
      <c r="I61" s="2"/>
      <c r="J61" s="6">
        <f t="shared" si="37"/>
        <v>9.6854190929091515E-3</v>
      </c>
      <c r="K61" s="2"/>
      <c r="L61" s="7">
        <f t="shared" si="38"/>
        <v>-649.99</v>
      </c>
      <c r="M61" s="2"/>
      <c r="N61" s="6">
        <f t="shared" si="39"/>
        <v>-0.29707038391224866</v>
      </c>
      <c r="O61" s="11"/>
      <c r="P61" s="7">
        <v>1538.01</v>
      </c>
      <c r="Q61" s="2"/>
      <c r="R61" s="6">
        <f t="shared" si="40"/>
        <v>8.5699322260956289E-3</v>
      </c>
      <c r="S61" s="2"/>
      <c r="T61" s="7">
        <v>2188</v>
      </c>
      <c r="U61" s="2"/>
      <c r="V61" s="6">
        <f t="shared" si="41"/>
        <v>9.6854190929091515E-3</v>
      </c>
      <c r="W61" s="2"/>
      <c r="X61" s="7">
        <f t="shared" si="42"/>
        <v>-649.99</v>
      </c>
      <c r="Y61" s="2"/>
      <c r="Z61" s="6">
        <f t="shared" si="43"/>
        <v>-0.29707038391224866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17613.05</v>
      </c>
      <c r="E62" s="1"/>
      <c r="F62" s="5">
        <f t="shared" si="36"/>
        <v>9.8141523653834259E-2</v>
      </c>
      <c r="G62" s="1"/>
      <c r="H62" s="1">
        <f>SUM(OSRRefH22_8x_0)</f>
        <v>15109.96</v>
      </c>
      <c r="I62" s="1"/>
      <c r="J62" s="5">
        <f t="shared" si="37"/>
        <v>6.6885875263753919E-2</v>
      </c>
      <c r="K62" s="1"/>
      <c r="L62" s="1">
        <f t="shared" si="38"/>
        <v>2503.09</v>
      </c>
      <c r="M62" s="1"/>
      <c r="N62" s="5">
        <f t="shared" si="39"/>
        <v>0.16565828102787833</v>
      </c>
      <c r="O62" s="14"/>
      <c r="P62" s="1">
        <f>SUM(OSRRefP22_8x_0)</f>
        <v>17613.05</v>
      </c>
      <c r="Q62" s="1"/>
      <c r="R62" s="5">
        <f t="shared" si="40"/>
        <v>9.8141523653834259E-2</v>
      </c>
      <c r="S62" s="1"/>
      <c r="T62" s="1">
        <f>SUM(OSRRefT22_8x_0)</f>
        <v>15109.96</v>
      </c>
      <c r="U62" s="1"/>
      <c r="V62" s="5">
        <f t="shared" si="41"/>
        <v>6.6885875263753919E-2</v>
      </c>
      <c r="W62" s="1"/>
      <c r="X62" s="1">
        <f t="shared" si="42"/>
        <v>2503.09</v>
      </c>
      <c r="Y62" s="1"/>
      <c r="Z62" s="5">
        <f t="shared" si="43"/>
        <v>0.16565828102787833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17613.05</v>
      </c>
      <c r="E63" s="2"/>
      <c r="F63" s="6">
        <f t="shared" si="36"/>
        <v>9.8141523653834259E-2</v>
      </c>
      <c r="G63" s="2"/>
      <c r="H63" s="7">
        <v>15109.96</v>
      </c>
      <c r="I63" s="2"/>
      <c r="J63" s="6">
        <f t="shared" si="37"/>
        <v>6.6885875263753919E-2</v>
      </c>
      <c r="K63" s="2"/>
      <c r="L63" s="7">
        <f t="shared" si="38"/>
        <v>2503.09</v>
      </c>
      <c r="M63" s="2"/>
      <c r="N63" s="6">
        <f t="shared" si="39"/>
        <v>0.16565828102787833</v>
      </c>
      <c r="O63" s="11"/>
      <c r="P63" s="7">
        <v>17613.05</v>
      </c>
      <c r="Q63" s="2"/>
      <c r="R63" s="6">
        <f t="shared" si="40"/>
        <v>9.8141523653834259E-2</v>
      </c>
      <c r="S63" s="2"/>
      <c r="T63" s="7">
        <v>15109.96</v>
      </c>
      <c r="U63" s="2"/>
      <c r="V63" s="6">
        <f t="shared" si="41"/>
        <v>6.6885875263753919E-2</v>
      </c>
      <c r="W63" s="2"/>
      <c r="X63" s="7">
        <f t="shared" si="42"/>
        <v>2503.09</v>
      </c>
      <c r="Y63" s="2"/>
      <c r="Z63" s="6">
        <f t="shared" si="43"/>
        <v>0.16565828102787833</v>
      </c>
    </row>
    <row r="64" spans="1:26" s="28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4240.13</v>
      </c>
      <c r="E64" s="1"/>
      <c r="F64" s="5">
        <f t="shared" si="36"/>
        <v>2.3626391720362589E-2</v>
      </c>
      <c r="G64" s="1"/>
      <c r="H64" s="1">
        <f>SUM(OSRRefH22_9x_0)</f>
        <v>3993.18</v>
      </c>
      <c r="I64" s="1"/>
      <c r="J64" s="5">
        <f t="shared" si="37"/>
        <v>1.7676243973228048E-2</v>
      </c>
      <c r="K64" s="1"/>
      <c r="L64" s="1">
        <f t="shared" si="38"/>
        <v>246.95000000000027</v>
      </c>
      <c r="M64" s="1"/>
      <c r="N64" s="5">
        <f t="shared" si="39"/>
        <v>6.1842942216479166E-2</v>
      </c>
      <c r="O64" s="14"/>
      <c r="P64" s="1">
        <f>SUM(OSRRefP22_9x_0)</f>
        <v>4240.13</v>
      </c>
      <c r="Q64" s="1"/>
      <c r="R64" s="5">
        <f t="shared" si="40"/>
        <v>2.3626391720362589E-2</v>
      </c>
      <c r="S64" s="1"/>
      <c r="T64" s="1">
        <f>SUM(OSRRefT22_9x_0)</f>
        <v>3993.18</v>
      </c>
      <c r="U64" s="1"/>
      <c r="V64" s="5">
        <f t="shared" si="41"/>
        <v>1.7676243973228048E-2</v>
      </c>
      <c r="W64" s="1"/>
      <c r="X64" s="1">
        <f t="shared" si="42"/>
        <v>246.95000000000027</v>
      </c>
      <c r="Y64" s="1"/>
      <c r="Z64" s="5">
        <f t="shared" si="43"/>
        <v>6.1842942216479166E-2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4240.13</v>
      </c>
      <c r="E65" s="2"/>
      <c r="F65" s="6">
        <f t="shared" si="36"/>
        <v>2.3626391720362589E-2</v>
      </c>
      <c r="G65" s="2"/>
      <c r="H65" s="7">
        <v>3993.18</v>
      </c>
      <c r="I65" s="2"/>
      <c r="J65" s="6">
        <f t="shared" si="37"/>
        <v>1.7676243973228048E-2</v>
      </c>
      <c r="K65" s="2"/>
      <c r="L65" s="7">
        <f t="shared" si="38"/>
        <v>246.95000000000027</v>
      </c>
      <c r="M65" s="2"/>
      <c r="N65" s="6">
        <f t="shared" si="39"/>
        <v>6.1842942216479166E-2</v>
      </c>
      <c r="O65" s="11"/>
      <c r="P65" s="7">
        <v>4240.13</v>
      </c>
      <c r="Q65" s="2"/>
      <c r="R65" s="6">
        <f t="shared" si="40"/>
        <v>2.3626391720362589E-2</v>
      </c>
      <c r="S65" s="2"/>
      <c r="T65" s="7">
        <v>3993.18</v>
      </c>
      <c r="U65" s="2"/>
      <c r="V65" s="6">
        <f t="shared" si="41"/>
        <v>1.7676243973228048E-2</v>
      </c>
      <c r="W65" s="2"/>
      <c r="X65" s="7">
        <f t="shared" si="42"/>
        <v>246.95000000000027</v>
      </c>
      <c r="Y65" s="2"/>
      <c r="Z65" s="6">
        <f t="shared" si="43"/>
        <v>6.1842942216479166E-2</v>
      </c>
    </row>
    <row r="66" spans="1:26" s="28" customFormat="1" outlineLevel="1" collapsed="1" x14ac:dyDescent="0.25">
      <c r="A66" s="27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7630</v>
      </c>
      <c r="E66" s="1"/>
      <c r="F66" s="5">
        <f t="shared" si="36"/>
        <v>4.2515057044563855E-2</v>
      </c>
      <c r="G66" s="1"/>
      <c r="H66" s="1">
        <f>SUM(OSRRefH22_10x_0)</f>
        <v>7949</v>
      </c>
      <c r="I66" s="1"/>
      <c r="J66" s="5">
        <f t="shared" si="37"/>
        <v>3.5187109858105504E-2</v>
      </c>
      <c r="K66" s="1"/>
      <c r="L66" s="1">
        <f t="shared" si="38"/>
        <v>-319</v>
      </c>
      <c r="M66" s="1"/>
      <c r="N66" s="5">
        <f t="shared" si="39"/>
        <v>-4.013083406717826E-2</v>
      </c>
      <c r="O66" s="14"/>
      <c r="P66" s="1">
        <f>SUM(OSRRefP22_10x_0)</f>
        <v>7630</v>
      </c>
      <c r="Q66" s="1"/>
      <c r="R66" s="5">
        <f t="shared" si="40"/>
        <v>4.2515057044563855E-2</v>
      </c>
      <c r="S66" s="1"/>
      <c r="T66" s="1">
        <f>SUM(OSRRefT22_10x_0)</f>
        <v>7949</v>
      </c>
      <c r="U66" s="1"/>
      <c r="V66" s="5">
        <f t="shared" si="41"/>
        <v>3.5187109858105504E-2</v>
      </c>
      <c r="W66" s="1"/>
      <c r="X66" s="1">
        <f t="shared" si="42"/>
        <v>-319</v>
      </c>
      <c r="Y66" s="1"/>
      <c r="Z66" s="5">
        <f t="shared" si="43"/>
        <v>-4.013083406717826E-2</v>
      </c>
    </row>
    <row r="67" spans="1:26" s="24" customFormat="1" hidden="1" outlineLevel="2" x14ac:dyDescent="0.25">
      <c r="A67" s="29"/>
      <c r="B67" s="11" t="str">
        <f>CONCATENATE("          ", "6401", " - ", "INTEREST EXPENSE")</f>
        <v xml:space="preserve">          6401 - INTEREST EXPENSE</v>
      </c>
      <c r="C67" s="11"/>
      <c r="D67" s="7">
        <v>7630</v>
      </c>
      <c r="E67" s="2"/>
      <c r="F67" s="6">
        <f t="shared" si="36"/>
        <v>4.2515057044563855E-2</v>
      </c>
      <c r="G67" s="2"/>
      <c r="H67" s="7">
        <v>7949</v>
      </c>
      <c r="I67" s="2"/>
      <c r="J67" s="6">
        <f t="shared" si="37"/>
        <v>3.5187109858105504E-2</v>
      </c>
      <c r="K67" s="2"/>
      <c r="L67" s="7">
        <f t="shared" si="38"/>
        <v>-319</v>
      </c>
      <c r="M67" s="2"/>
      <c r="N67" s="6">
        <f t="shared" si="39"/>
        <v>-4.013083406717826E-2</v>
      </c>
      <c r="O67" s="11"/>
      <c r="P67" s="7">
        <v>7630</v>
      </c>
      <c r="Q67" s="2"/>
      <c r="R67" s="6">
        <f t="shared" si="40"/>
        <v>4.2515057044563855E-2</v>
      </c>
      <c r="S67" s="2"/>
      <c r="T67" s="7">
        <v>7949</v>
      </c>
      <c r="U67" s="2"/>
      <c r="V67" s="6">
        <f t="shared" si="41"/>
        <v>3.5187109858105504E-2</v>
      </c>
      <c r="W67" s="2"/>
      <c r="X67" s="7">
        <f t="shared" si="42"/>
        <v>-319</v>
      </c>
      <c r="Y67" s="2"/>
      <c r="Z67" s="6">
        <f t="shared" si="43"/>
        <v>-4.013083406717826E-2</v>
      </c>
    </row>
    <row r="68" spans="1:26" s="28" customFormat="1" outlineLevel="1" collapsed="1" x14ac:dyDescent="0.25">
      <c r="A68" s="27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1850</v>
      </c>
      <c r="E68" s="1"/>
      <c r="F68" s="5">
        <f t="shared" si="36"/>
        <v>1.0308369008183898E-2</v>
      </c>
      <c r="G68" s="1"/>
      <c r="H68" s="1">
        <f>SUM(OSRRefH22_11x_0)</f>
        <v>1850</v>
      </c>
      <c r="I68" s="1"/>
      <c r="J68" s="5">
        <f t="shared" si="37"/>
        <v>8.1892254670392732E-3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SUM(OSRRefP22_11x_0)</f>
        <v>1850</v>
      </c>
      <c r="Q68" s="1"/>
      <c r="R68" s="5">
        <f t="shared" si="40"/>
        <v>1.0308369008183898E-2</v>
      </c>
      <c r="S68" s="1"/>
      <c r="T68" s="1">
        <f>SUM(OSRRefT22_11x_0)</f>
        <v>1850</v>
      </c>
      <c r="U68" s="1"/>
      <c r="V68" s="5">
        <f t="shared" si="41"/>
        <v>8.1892254670392732E-3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25">
      <c r="A69" s="29"/>
      <c r="B69" s="11" t="str">
        <f>CONCATENATE("          ", "6273", " - ", "RENT")</f>
        <v xml:space="preserve">          6273 - RENT</v>
      </c>
      <c r="C69" s="11"/>
      <c r="D69" s="7">
        <v>1850</v>
      </c>
      <c r="E69" s="2"/>
      <c r="F69" s="6">
        <f t="shared" si="36"/>
        <v>1.0308369008183898E-2</v>
      </c>
      <c r="G69" s="2"/>
      <c r="H69" s="7">
        <v>1850</v>
      </c>
      <c r="I69" s="2"/>
      <c r="J69" s="6">
        <f t="shared" si="37"/>
        <v>8.1892254670392732E-3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1850</v>
      </c>
      <c r="Q69" s="2"/>
      <c r="R69" s="6">
        <f t="shared" si="40"/>
        <v>1.0308369008183898E-2</v>
      </c>
      <c r="S69" s="2"/>
      <c r="T69" s="7">
        <v>1850</v>
      </c>
      <c r="U69" s="2"/>
      <c r="V69" s="6">
        <f t="shared" si="41"/>
        <v>8.1892254670392732E-3</v>
      </c>
      <c r="W69" s="2"/>
      <c r="X69" s="7">
        <f t="shared" si="42"/>
        <v>0</v>
      </c>
      <c r="Y69" s="2"/>
      <c r="Z69" s="6">
        <f t="shared" si="43"/>
        <v>0</v>
      </c>
    </row>
    <row r="70" spans="1:26" s="28" customFormat="1" outlineLevel="1" collapsed="1" x14ac:dyDescent="0.25">
      <c r="A70" s="27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25867.550000000003</v>
      </c>
      <c r="E70" s="1"/>
      <c r="F70" s="5">
        <f t="shared" si="36"/>
        <v>0.14413635175007966</v>
      </c>
      <c r="G70" s="1"/>
      <c r="H70" s="1">
        <f>SUM(OSRRefH22_12x_0)</f>
        <v>25034.510000000002</v>
      </c>
      <c r="I70" s="1"/>
      <c r="J70" s="5">
        <f t="shared" si="37"/>
        <v>0.11081797126856724</v>
      </c>
      <c r="K70" s="1"/>
      <c r="L70" s="1">
        <f t="shared" si="38"/>
        <v>833.04000000000087</v>
      </c>
      <c r="M70" s="1"/>
      <c r="N70" s="5">
        <f t="shared" si="39"/>
        <v>3.3275666270280536E-2</v>
      </c>
      <c r="O70" s="14"/>
      <c r="P70" s="1">
        <f>SUM(OSRRefP22_12x_0)</f>
        <v>25867.550000000003</v>
      </c>
      <c r="Q70" s="1"/>
      <c r="R70" s="5">
        <f t="shared" si="40"/>
        <v>0.14413635175007966</v>
      </c>
      <c r="S70" s="1"/>
      <c r="T70" s="1">
        <f>SUM(OSRRefT22_12x_0)</f>
        <v>25034.510000000002</v>
      </c>
      <c r="U70" s="1"/>
      <c r="V70" s="5">
        <f t="shared" si="41"/>
        <v>0.11081797126856724</v>
      </c>
      <c r="W70" s="1"/>
      <c r="X70" s="1">
        <f t="shared" si="42"/>
        <v>833.04000000000087</v>
      </c>
      <c r="Y70" s="1"/>
      <c r="Z70" s="5">
        <f t="shared" si="43"/>
        <v>3.3275666270280536E-2</v>
      </c>
    </row>
    <row r="71" spans="1:26" s="24" customFormat="1" hidden="1" outlineLevel="2" x14ac:dyDescent="0.25">
      <c r="A71" s="29"/>
      <c r="B71" s="11" t="str">
        <f>CONCATENATE("          ", "6373", " - ", "MAINTENANCE CONTRACTS")</f>
        <v xml:space="preserve">          6373 - MAINTENANCE CONTRACTS</v>
      </c>
      <c r="C71" s="11"/>
      <c r="D71" s="7">
        <v>6028.88</v>
      </c>
      <c r="E71" s="2"/>
      <c r="F71" s="6">
        <f t="shared" si="36"/>
        <v>3.359347013300526E-2</v>
      </c>
      <c r="G71" s="2"/>
      <c r="H71" s="7">
        <v>6839.01</v>
      </c>
      <c r="I71" s="2"/>
      <c r="J71" s="6">
        <f t="shared" si="37"/>
        <v>3.0273618843965549E-2</v>
      </c>
      <c r="K71" s="2"/>
      <c r="L71" s="7">
        <f t="shared" si="38"/>
        <v>-810.13000000000011</v>
      </c>
      <c r="M71" s="2"/>
      <c r="N71" s="6">
        <f t="shared" si="39"/>
        <v>-0.11845720360110602</v>
      </c>
      <c r="O71" s="11"/>
      <c r="P71" s="7">
        <v>6028.88</v>
      </c>
      <c r="Q71" s="2"/>
      <c r="R71" s="6">
        <f t="shared" si="40"/>
        <v>3.359347013300526E-2</v>
      </c>
      <c r="S71" s="2"/>
      <c r="T71" s="7">
        <v>6839.01</v>
      </c>
      <c r="U71" s="2"/>
      <c r="V71" s="6">
        <f t="shared" si="41"/>
        <v>3.0273618843965549E-2</v>
      </c>
      <c r="W71" s="2"/>
      <c r="X71" s="7">
        <f t="shared" si="42"/>
        <v>-810.13000000000011</v>
      </c>
      <c r="Y71" s="2"/>
      <c r="Z71" s="6">
        <f t="shared" si="43"/>
        <v>-0.11845720360110602</v>
      </c>
    </row>
    <row r="72" spans="1:26" s="24" customFormat="1" hidden="1" outlineLevel="2" x14ac:dyDescent="0.2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19838.670000000002</v>
      </c>
      <c r="E72" s="2"/>
      <c r="F72" s="6">
        <f t="shared" si="36"/>
        <v>0.1105428816170744</v>
      </c>
      <c r="G72" s="2"/>
      <c r="H72" s="7">
        <v>18195.5</v>
      </c>
      <c r="I72" s="2"/>
      <c r="J72" s="6">
        <f t="shared" si="37"/>
        <v>8.0544352424601687E-2</v>
      </c>
      <c r="K72" s="2"/>
      <c r="L72" s="7">
        <f t="shared" si="38"/>
        <v>1643.1700000000019</v>
      </c>
      <c r="M72" s="2"/>
      <c r="N72" s="6">
        <f t="shared" si="39"/>
        <v>9.0306394438185375E-2</v>
      </c>
      <c r="O72" s="11"/>
      <c r="P72" s="7">
        <v>19838.670000000002</v>
      </c>
      <c r="Q72" s="2"/>
      <c r="R72" s="6">
        <f t="shared" si="40"/>
        <v>0.1105428816170744</v>
      </c>
      <c r="S72" s="2"/>
      <c r="T72" s="7">
        <v>18195.5</v>
      </c>
      <c r="U72" s="2"/>
      <c r="V72" s="6">
        <f t="shared" si="41"/>
        <v>8.0544352424601687E-2</v>
      </c>
      <c r="W72" s="2"/>
      <c r="X72" s="7">
        <f t="shared" si="42"/>
        <v>1643.1700000000019</v>
      </c>
      <c r="Y72" s="2"/>
      <c r="Z72" s="6">
        <f t="shared" si="43"/>
        <v>9.0306394438185375E-2</v>
      </c>
    </row>
    <row r="73" spans="1:26" s="28" customFormat="1" outlineLevel="1" collapsed="1" x14ac:dyDescent="0.25">
      <c r="A73" s="27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SUM(OSRRefD22_13x_0)</f>
        <v>16858.099999999999</v>
      </c>
      <c r="E73" s="1"/>
      <c r="F73" s="5">
        <f t="shared" ref="F73:F75" si="44">IF(D$12=0,0,D73/D$12)</f>
        <v>9.3934873284791859E-2</v>
      </c>
      <c r="G73" s="1"/>
      <c r="H73" s="1">
        <f>SUM(OSRRefH22_13x_0)</f>
        <v>14986.76</v>
      </c>
      <c r="I73" s="1"/>
      <c r="J73" s="5">
        <f t="shared" ref="J73:J75" si="45">IF(H$12=0,0,H73/H$12)</f>
        <v>6.6340517113732705E-2</v>
      </c>
      <c r="K73" s="1"/>
      <c r="L73" s="1">
        <f t="shared" ref="L73:L75" si="46">+D73-H73</f>
        <v>1871.3399999999983</v>
      </c>
      <c r="M73" s="1"/>
      <c r="N73" s="5">
        <f t="shared" ref="N73:N75" si="47">IF(H73=0,0,L73/H73)</f>
        <v>0.12486621524599034</v>
      </c>
      <c r="O73" s="14"/>
      <c r="P73" s="1">
        <f>SUM(OSRRefP22_13x_0)</f>
        <v>16858.099999999999</v>
      </c>
      <c r="Q73" s="1"/>
      <c r="R73" s="5">
        <f t="shared" ref="R73:R75" si="48">IF(P$12=0,0,P73/P$12)</f>
        <v>9.3934873284791859E-2</v>
      </c>
      <c r="S73" s="1"/>
      <c r="T73" s="1">
        <f>SUM(OSRRefT22_13x_0)</f>
        <v>14986.76</v>
      </c>
      <c r="U73" s="1"/>
      <c r="V73" s="5">
        <f t="shared" ref="V73:V75" si="49">IF(T$12=0,0,T73/T$12)</f>
        <v>6.6340517113732705E-2</v>
      </c>
      <c r="W73" s="1"/>
      <c r="X73" s="1">
        <f t="shared" ref="X73:X75" si="50">+P73-T73</f>
        <v>1871.3399999999983</v>
      </c>
      <c r="Y73" s="1"/>
      <c r="Z73" s="5">
        <f t="shared" ref="Z73:Z75" si="51">IF(T73=0,0,X73/T73)</f>
        <v>0.12486621524599034</v>
      </c>
    </row>
    <row r="74" spans="1:26" s="24" customFormat="1" hidden="1" outlineLevel="2" x14ac:dyDescent="0.25">
      <c r="A74" s="29"/>
      <c r="B74" s="11" t="str">
        <f>CONCATENATE("          ", "6254", " - ", "ROYALTY &amp; COMMISSIONS")</f>
        <v xml:space="preserve">          6254 - ROYALTY &amp; COMMISSIONS</v>
      </c>
      <c r="C74" s="11"/>
      <c r="D74" s="7">
        <v>13972.66</v>
      </c>
      <c r="E74" s="2"/>
      <c r="F74" s="6">
        <f t="shared" si="44"/>
        <v>7.7856938003184217E-2</v>
      </c>
      <c r="G74" s="2"/>
      <c r="H74" s="7">
        <v>11979</v>
      </c>
      <c r="I74" s="2"/>
      <c r="J74" s="6">
        <f t="shared" si="45"/>
        <v>5.3026341551169441E-2</v>
      </c>
      <c r="K74" s="2"/>
      <c r="L74" s="7">
        <f t="shared" si="46"/>
        <v>1993.6599999999999</v>
      </c>
      <c r="M74" s="2"/>
      <c r="N74" s="6">
        <f t="shared" si="47"/>
        <v>0.16642958510727104</v>
      </c>
      <c r="O74" s="11"/>
      <c r="P74" s="7">
        <v>13972.66</v>
      </c>
      <c r="Q74" s="2"/>
      <c r="R74" s="6">
        <f t="shared" si="48"/>
        <v>7.7856938003184217E-2</v>
      </c>
      <c r="S74" s="2"/>
      <c r="T74" s="7">
        <v>11979</v>
      </c>
      <c r="U74" s="2"/>
      <c r="V74" s="6">
        <f t="shared" si="49"/>
        <v>5.3026341551169441E-2</v>
      </c>
      <c r="W74" s="2"/>
      <c r="X74" s="7">
        <f t="shared" si="50"/>
        <v>1993.6599999999999</v>
      </c>
      <c r="Y74" s="2"/>
      <c r="Z74" s="6">
        <f t="shared" si="51"/>
        <v>0.16642958510727104</v>
      </c>
    </row>
    <row r="75" spans="1:26" s="24" customFormat="1" hidden="1" outlineLevel="2" x14ac:dyDescent="0.25">
      <c r="A75" s="29"/>
      <c r="B75" s="11" t="str">
        <f>CONCATENATE("          ", "6259", " - ", "ROYALTY &amp; COMMISSIONS")</f>
        <v xml:space="preserve">          6259 - ROYALTY &amp; COMMISSIONS</v>
      </c>
      <c r="C75" s="11"/>
      <c r="D75" s="7">
        <v>2885.44</v>
      </c>
      <c r="E75" s="2"/>
      <c r="F75" s="6">
        <f t="shared" si="44"/>
        <v>1.6077935281607645E-2</v>
      </c>
      <c r="G75" s="2"/>
      <c r="H75" s="7">
        <v>3007.76</v>
      </c>
      <c r="I75" s="2"/>
      <c r="J75" s="6">
        <f t="shared" si="45"/>
        <v>1.331417556256327E-2</v>
      </c>
      <c r="K75" s="2"/>
      <c r="L75" s="7">
        <f t="shared" si="46"/>
        <v>-122.32000000000016</v>
      </c>
      <c r="M75" s="2"/>
      <c r="N75" s="6">
        <f t="shared" si="47"/>
        <v>-4.0668138415299142E-2</v>
      </c>
      <c r="O75" s="11"/>
      <c r="P75" s="7">
        <v>2885.44</v>
      </c>
      <c r="Q75" s="2"/>
      <c r="R75" s="6">
        <f t="shared" si="48"/>
        <v>1.6077935281607645E-2</v>
      </c>
      <c r="S75" s="2"/>
      <c r="T75" s="7">
        <v>3007.76</v>
      </c>
      <c r="U75" s="2"/>
      <c r="V75" s="6">
        <f t="shared" si="49"/>
        <v>1.331417556256327E-2</v>
      </c>
      <c r="W75" s="2"/>
      <c r="X75" s="7">
        <f t="shared" si="50"/>
        <v>-122.32000000000016</v>
      </c>
      <c r="Y75" s="2"/>
      <c r="Z75" s="6">
        <f t="shared" si="51"/>
        <v>-4.0668138415299142E-2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21675.299999999996</v>
      </c>
      <c r="E76" s="1"/>
      <c r="F76" s="5">
        <f t="shared" ref="F76:F81" si="52">IF(D$12=0,0,D76/D$12)</f>
        <v>0.12077675176383156</v>
      </c>
      <c r="G76" s="1"/>
      <c r="H76" s="1">
        <f>SUM(OSRRefH22_14x_0)</f>
        <v>20711.129999999997</v>
      </c>
      <c r="I76" s="1"/>
      <c r="J76" s="5">
        <f t="shared" ref="J76:J81" si="53">IF(H$12=0,0,H76/H$12)</f>
        <v>9.1680061214681668E-2</v>
      </c>
      <c r="K76" s="1"/>
      <c r="L76" s="1">
        <f t="shared" ref="L76:L81" si="54">+D76-H76</f>
        <v>964.16999999999825</v>
      </c>
      <c r="M76" s="1"/>
      <c r="N76" s="5">
        <f t="shared" ref="N76:N81" si="55">IF(H76=0,0,L76/H76)</f>
        <v>4.6553230074843736E-2</v>
      </c>
      <c r="O76" s="14"/>
      <c r="P76" s="1">
        <f>SUM(OSRRefP22_14x_0)</f>
        <v>21675.299999999996</v>
      </c>
      <c r="Q76" s="1"/>
      <c r="R76" s="5">
        <f t="shared" ref="R76:R81" si="56">IF(P$12=0,0,P76/P$12)</f>
        <v>0.12077675176383156</v>
      </c>
      <c r="S76" s="1"/>
      <c r="T76" s="1">
        <f>SUM(OSRRefT22_14x_0)</f>
        <v>20711.129999999997</v>
      </c>
      <c r="U76" s="1"/>
      <c r="V76" s="5">
        <f t="shared" ref="V76:V81" si="57">IF(T$12=0,0,T76/T$12)</f>
        <v>9.1680061214681668E-2</v>
      </c>
      <c r="W76" s="1"/>
      <c r="X76" s="1">
        <f t="shared" ref="X76:X81" si="58">+P76-T76</f>
        <v>964.16999999999825</v>
      </c>
      <c r="Y76" s="1"/>
      <c r="Z76" s="5">
        <f t="shared" ref="Z76:Z81" si="59">IF(T76=0,0,X76/T76)</f>
        <v>4.6553230074843736E-2</v>
      </c>
    </row>
    <row r="77" spans="1:26" s="24" customFormat="1" hidden="1" outlineLevel="2" x14ac:dyDescent="0.2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>
        <v>1277.57</v>
      </c>
      <c r="E77" s="2"/>
      <c r="F77" s="6">
        <f t="shared" si="52"/>
        <v>7.1187367533975679E-3</v>
      </c>
      <c r="G77" s="2"/>
      <c r="H77" s="7">
        <v>1180.6099999999999</v>
      </c>
      <c r="I77" s="2"/>
      <c r="J77" s="6">
        <f t="shared" si="53"/>
        <v>5.2260980965628308E-3</v>
      </c>
      <c r="K77" s="2"/>
      <c r="L77" s="7">
        <f t="shared" si="54"/>
        <v>96.960000000000036</v>
      </c>
      <c r="M77" s="2"/>
      <c r="N77" s="6">
        <f t="shared" si="55"/>
        <v>8.2127036023750474E-2</v>
      </c>
      <c r="O77" s="11"/>
      <c r="P77" s="7">
        <v>1277.57</v>
      </c>
      <c r="Q77" s="2"/>
      <c r="R77" s="6">
        <f t="shared" si="56"/>
        <v>7.1187367533975679E-3</v>
      </c>
      <c r="S77" s="2"/>
      <c r="T77" s="7">
        <v>1180.6099999999999</v>
      </c>
      <c r="U77" s="2"/>
      <c r="V77" s="6">
        <f t="shared" si="57"/>
        <v>5.2260980965628308E-3</v>
      </c>
      <c r="W77" s="2"/>
      <c r="X77" s="7">
        <f t="shared" si="58"/>
        <v>96.960000000000036</v>
      </c>
      <c r="Y77" s="2"/>
      <c r="Z77" s="6">
        <f t="shared" si="59"/>
        <v>8.2127036023750474E-2</v>
      </c>
    </row>
    <row r="78" spans="1:26" s="24" customFormat="1" hidden="1" outlineLevel="2" x14ac:dyDescent="0.25">
      <c r="A78" s="29"/>
      <c r="B78" s="11" t="str">
        <f>CONCATENATE("          ", "6283", " - ", "PLANT SERVICE")</f>
        <v xml:space="preserve">          6283 - PLANT SERVICE</v>
      </c>
      <c r="C78" s="11"/>
      <c r="D78" s="7">
        <v>199.78</v>
      </c>
      <c r="E78" s="2"/>
      <c r="F78" s="6">
        <f t="shared" si="52"/>
        <v>1.1131924110567453E-3</v>
      </c>
      <c r="G78" s="2"/>
      <c r="H78" s="7">
        <v>176</v>
      </c>
      <c r="I78" s="2"/>
      <c r="J78" s="6">
        <f t="shared" si="53"/>
        <v>7.7908307145887145E-4</v>
      </c>
      <c r="K78" s="2"/>
      <c r="L78" s="7">
        <f t="shared" si="54"/>
        <v>23.78</v>
      </c>
      <c r="M78" s="2"/>
      <c r="N78" s="6">
        <f t="shared" si="55"/>
        <v>0.13511363636363638</v>
      </c>
      <c r="O78" s="11"/>
      <c r="P78" s="7">
        <v>199.78</v>
      </c>
      <c r="Q78" s="2"/>
      <c r="R78" s="6">
        <f t="shared" si="56"/>
        <v>1.1131924110567453E-3</v>
      </c>
      <c r="S78" s="2"/>
      <c r="T78" s="7">
        <v>176</v>
      </c>
      <c r="U78" s="2"/>
      <c r="V78" s="6">
        <f t="shared" si="57"/>
        <v>7.7908307145887145E-4</v>
      </c>
      <c r="W78" s="2"/>
      <c r="X78" s="7">
        <f t="shared" si="58"/>
        <v>23.78</v>
      </c>
      <c r="Y78" s="2"/>
      <c r="Z78" s="6">
        <f t="shared" si="59"/>
        <v>0.13511363636363638</v>
      </c>
    </row>
    <row r="79" spans="1:26" s="24" customFormat="1" hidden="1" outlineLevel="2" x14ac:dyDescent="0.25">
      <c r="A79" s="29"/>
      <c r="B79" s="11" t="str">
        <f>CONCATENATE("          ", "6284", " - ", "TRASH REMOVAL EXPENSE")</f>
        <v xml:space="preserve">          6284 - TRASH REMOVAL EXPENSE</v>
      </c>
      <c r="C79" s="11"/>
      <c r="D79" s="7">
        <v>4199</v>
      </c>
      <c r="E79" s="2"/>
      <c r="F79" s="6">
        <f t="shared" si="52"/>
        <v>2.3397211602899558E-2</v>
      </c>
      <c r="G79" s="2"/>
      <c r="H79" s="7">
        <v>3193</v>
      </c>
      <c r="I79" s="2"/>
      <c r="J79" s="6">
        <f t="shared" si="53"/>
        <v>1.4134160495273732E-2</v>
      </c>
      <c r="K79" s="2"/>
      <c r="L79" s="7">
        <f t="shared" si="54"/>
        <v>1006</v>
      </c>
      <c r="M79" s="2"/>
      <c r="N79" s="6">
        <f t="shared" si="55"/>
        <v>0.31506420294393989</v>
      </c>
      <c r="O79" s="11"/>
      <c r="P79" s="7">
        <v>4199</v>
      </c>
      <c r="Q79" s="2"/>
      <c r="R79" s="6">
        <f t="shared" si="56"/>
        <v>2.3397211602899558E-2</v>
      </c>
      <c r="S79" s="2"/>
      <c r="T79" s="7">
        <v>3193</v>
      </c>
      <c r="U79" s="2"/>
      <c r="V79" s="6">
        <f t="shared" si="57"/>
        <v>1.4134160495273732E-2</v>
      </c>
      <c r="W79" s="2"/>
      <c r="X79" s="7">
        <f t="shared" si="58"/>
        <v>1006</v>
      </c>
      <c r="Y79" s="2"/>
      <c r="Z79" s="6">
        <f t="shared" si="59"/>
        <v>0.31506420294393989</v>
      </c>
    </row>
    <row r="80" spans="1:26" s="24" customFormat="1" hidden="1" outlineLevel="2" x14ac:dyDescent="0.25">
      <c r="A80" s="29"/>
      <c r="B80" s="11" t="str">
        <f>CONCATENATE("          ", "6285", " - ", "JANITORIAL SERVICES")</f>
        <v xml:space="preserve">          6285 - JANITORIAL SERVICES</v>
      </c>
      <c r="C80" s="11"/>
      <c r="D80" s="7">
        <v>12894.46</v>
      </c>
      <c r="E80" s="2"/>
      <c r="F80" s="6">
        <f t="shared" si="52"/>
        <v>7.1849109103387529E-2</v>
      </c>
      <c r="G80" s="2"/>
      <c r="H80" s="7">
        <v>12406.76</v>
      </c>
      <c r="I80" s="2"/>
      <c r="J80" s="6">
        <f t="shared" si="53"/>
        <v>5.4919867543483346E-2</v>
      </c>
      <c r="K80" s="2"/>
      <c r="L80" s="7">
        <f t="shared" si="54"/>
        <v>487.69999999999891</v>
      </c>
      <c r="M80" s="2"/>
      <c r="N80" s="6">
        <f t="shared" si="55"/>
        <v>3.9309215298756396E-2</v>
      </c>
      <c r="O80" s="11"/>
      <c r="P80" s="7">
        <v>12894.46</v>
      </c>
      <c r="Q80" s="2"/>
      <c r="R80" s="6">
        <f t="shared" si="56"/>
        <v>7.1849109103387529E-2</v>
      </c>
      <c r="S80" s="2"/>
      <c r="T80" s="7">
        <v>12406.76</v>
      </c>
      <c r="U80" s="2"/>
      <c r="V80" s="6">
        <f t="shared" si="57"/>
        <v>5.4919867543483346E-2</v>
      </c>
      <c r="W80" s="2"/>
      <c r="X80" s="7">
        <f t="shared" si="58"/>
        <v>487.69999999999891</v>
      </c>
      <c r="Y80" s="2"/>
      <c r="Z80" s="6">
        <f t="shared" si="59"/>
        <v>3.9309215298756396E-2</v>
      </c>
    </row>
    <row r="81" spans="1:26" s="24" customFormat="1" hidden="1" outlineLevel="2" x14ac:dyDescent="0.25">
      <c r="A81" s="29"/>
      <c r="B81" s="11" t="str">
        <f>CONCATENATE("          ", "6286", " - ", "LAUNDRY EXPENSE")</f>
        <v xml:space="preserve">          6286 - LAUNDRY EXPENSE</v>
      </c>
      <c r="C81" s="11"/>
      <c r="D81" s="7">
        <v>3104.49</v>
      </c>
      <c r="E81" s="2"/>
      <c r="F81" s="6">
        <f t="shared" si="52"/>
        <v>1.7298501893090176E-2</v>
      </c>
      <c r="G81" s="2"/>
      <c r="H81" s="7">
        <v>3754.76</v>
      </c>
      <c r="I81" s="2"/>
      <c r="J81" s="6">
        <f t="shared" si="53"/>
        <v>1.6620852007902913E-2</v>
      </c>
      <c r="K81" s="2"/>
      <c r="L81" s="7">
        <f t="shared" si="54"/>
        <v>-650.27000000000044</v>
      </c>
      <c r="M81" s="2"/>
      <c r="N81" s="6">
        <f t="shared" si="55"/>
        <v>-0.17318550320126996</v>
      </c>
      <c r="O81" s="11"/>
      <c r="P81" s="7">
        <v>3104.49</v>
      </c>
      <c r="Q81" s="2"/>
      <c r="R81" s="6">
        <f t="shared" si="56"/>
        <v>1.7298501893090176E-2</v>
      </c>
      <c r="S81" s="2"/>
      <c r="T81" s="7">
        <v>3754.76</v>
      </c>
      <c r="U81" s="2"/>
      <c r="V81" s="6">
        <f t="shared" si="57"/>
        <v>1.6620852007902913E-2</v>
      </c>
      <c r="W81" s="2"/>
      <c r="X81" s="7">
        <f t="shared" si="58"/>
        <v>-650.27000000000044</v>
      </c>
      <c r="Y81" s="2"/>
      <c r="Z81" s="6">
        <f t="shared" si="59"/>
        <v>-0.17318550320126996</v>
      </c>
    </row>
    <row r="82" spans="1:26" s="28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SUM(OSRRefD22_15x_0)</f>
        <v>393.42</v>
      </c>
      <c r="E82" s="1"/>
      <c r="F82" s="5">
        <f t="shared" ref="F82:F92" si="60">IF(D$12=0,0,D82/D$12)</f>
        <v>2.1921721811890317E-3</v>
      </c>
      <c r="G82" s="1"/>
      <c r="H82" s="1">
        <f>SUM(OSRRefH22_15x_0)</f>
        <v>61.36</v>
      </c>
      <c r="I82" s="1"/>
      <c r="J82" s="5">
        <f t="shared" ref="J82:J92" si="61">IF(H$12=0,0,H82/H$12)</f>
        <v>2.7161668900407018E-4</v>
      </c>
      <c r="K82" s="1"/>
      <c r="L82" s="1">
        <f t="shared" ref="L82:L92" si="62">+D82-H82</f>
        <v>332.06</v>
      </c>
      <c r="M82" s="1"/>
      <c r="N82" s="5">
        <f t="shared" ref="N82:N92" si="63">IF(H82=0,0,L82/H82)</f>
        <v>5.4116688396349417</v>
      </c>
      <c r="O82" s="14"/>
      <c r="P82" s="1">
        <f>SUM(OSRRefP22_15x_0)</f>
        <v>393.42</v>
      </c>
      <c r="Q82" s="1"/>
      <c r="R82" s="5">
        <f t="shared" ref="R82:R92" si="64">IF(P$12=0,0,P82/P$12)</f>
        <v>2.1921721811890317E-3</v>
      </c>
      <c r="S82" s="1"/>
      <c r="T82" s="1">
        <f>SUM(OSRRefT22_15x_0)</f>
        <v>61.36</v>
      </c>
      <c r="U82" s="1"/>
      <c r="V82" s="5">
        <f t="shared" ref="V82:V92" si="65">IF(T$12=0,0,T82/T$12)</f>
        <v>2.7161668900407018E-4</v>
      </c>
      <c r="W82" s="1"/>
      <c r="X82" s="1">
        <f t="shared" ref="X82:X92" si="66">+P82-T82</f>
        <v>332.06</v>
      </c>
      <c r="Y82" s="1"/>
      <c r="Z82" s="5">
        <f t="shared" ref="Z82:Z92" si="67">IF(T82=0,0,X82/T82)</f>
        <v>5.4116688396349417</v>
      </c>
    </row>
    <row r="83" spans="1:26" s="24" customFormat="1" hidden="1" outlineLevel="2" x14ac:dyDescent="0.25">
      <c r="A83" s="29"/>
      <c r="B83" s="11" t="str">
        <f>CONCATENATE("          ", "6275", " - ", "SUBSCRIPTIONS")</f>
        <v xml:space="preserve">          6275 - SUBSCRIPTIONS</v>
      </c>
      <c r="C83" s="11"/>
      <c r="D83" s="7">
        <v>393.42</v>
      </c>
      <c r="E83" s="2"/>
      <c r="F83" s="6">
        <f t="shared" si="60"/>
        <v>2.1921721811890317E-3</v>
      </c>
      <c r="G83" s="2"/>
      <c r="H83" s="7">
        <v>61.36</v>
      </c>
      <c r="I83" s="2"/>
      <c r="J83" s="6">
        <f t="shared" si="61"/>
        <v>2.7161668900407018E-4</v>
      </c>
      <c r="K83" s="2"/>
      <c r="L83" s="7">
        <f t="shared" si="62"/>
        <v>332.06</v>
      </c>
      <c r="M83" s="2"/>
      <c r="N83" s="6">
        <f t="shared" si="63"/>
        <v>5.4116688396349417</v>
      </c>
      <c r="O83" s="11"/>
      <c r="P83" s="7">
        <v>393.42</v>
      </c>
      <c r="Q83" s="2"/>
      <c r="R83" s="6">
        <f t="shared" si="64"/>
        <v>2.1921721811890317E-3</v>
      </c>
      <c r="S83" s="2"/>
      <c r="T83" s="7">
        <v>61.36</v>
      </c>
      <c r="U83" s="2"/>
      <c r="V83" s="6">
        <f t="shared" si="65"/>
        <v>2.7161668900407018E-4</v>
      </c>
      <c r="W83" s="2"/>
      <c r="X83" s="7">
        <f t="shared" si="66"/>
        <v>332.06</v>
      </c>
      <c r="Y83" s="2"/>
      <c r="Z83" s="6">
        <f t="shared" si="67"/>
        <v>5.4116688396349417</v>
      </c>
    </row>
    <row r="84" spans="1:26" s="28" customFormat="1" outlineLevel="1" collapsed="1" x14ac:dyDescent="0.25">
      <c r="A84" s="27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SUM(OSRRefD22_16x_0)</f>
        <v>16804.8</v>
      </c>
      <c r="E84" s="1"/>
      <c r="F84" s="5">
        <f t="shared" si="60"/>
        <v>9.3637880815529054E-2</v>
      </c>
      <c r="G84" s="1"/>
      <c r="H84" s="1">
        <f>SUM(OSRRefH22_16x_0)</f>
        <v>20776.729999999996</v>
      </c>
      <c r="I84" s="1"/>
      <c r="J84" s="5">
        <f t="shared" si="61"/>
        <v>9.1970446723134522E-2</v>
      </c>
      <c r="K84" s="1"/>
      <c r="L84" s="1">
        <f t="shared" si="62"/>
        <v>-3971.9299999999967</v>
      </c>
      <c r="M84" s="1"/>
      <c r="N84" s="5">
        <f t="shared" si="63"/>
        <v>-0.19117204680428523</v>
      </c>
      <c r="O84" s="14"/>
      <c r="P84" s="1">
        <f>SUM(OSRRefP22_16x_0)</f>
        <v>16804.8</v>
      </c>
      <c r="Q84" s="1"/>
      <c r="R84" s="5">
        <f t="shared" si="64"/>
        <v>9.3637880815529054E-2</v>
      </c>
      <c r="S84" s="1"/>
      <c r="T84" s="1">
        <f>SUM(OSRRefT22_16x_0)</f>
        <v>20776.729999999996</v>
      </c>
      <c r="U84" s="1"/>
      <c r="V84" s="5">
        <f t="shared" si="65"/>
        <v>9.1970446723134522E-2</v>
      </c>
      <c r="W84" s="1"/>
      <c r="X84" s="1">
        <f t="shared" si="66"/>
        <v>-3971.9299999999967</v>
      </c>
      <c r="Y84" s="1"/>
      <c r="Z84" s="5">
        <f t="shared" si="67"/>
        <v>-0.19117204680428523</v>
      </c>
    </row>
    <row r="85" spans="1:26" s="24" customFormat="1" hidden="1" outlineLevel="2" x14ac:dyDescent="0.25">
      <c r="A85" s="29"/>
      <c r="B85" s="11" t="str">
        <f>CONCATENATE("          ", "6234", " - ", "EXPENDABLE SUPPLIES &amp; EQUIPMEN")</f>
        <v xml:space="preserve">          6234 - EXPENDABLE SUPPLIES &amp; EQUIPMEN</v>
      </c>
      <c r="C85" s="11"/>
      <c r="D85" s="7"/>
      <c r="E85" s="2"/>
      <c r="F85" s="6">
        <f t="shared" si="60"/>
        <v>0</v>
      </c>
      <c r="G85" s="2"/>
      <c r="H85" s="7">
        <v>2432.98</v>
      </c>
      <c r="I85" s="2"/>
      <c r="J85" s="6">
        <f t="shared" si="61"/>
        <v>1.0769849609079575E-2</v>
      </c>
      <c r="K85" s="2"/>
      <c r="L85" s="7">
        <f t="shared" si="62"/>
        <v>-2432.98</v>
      </c>
      <c r="M85" s="2"/>
      <c r="N85" s="6">
        <f t="shared" si="63"/>
        <v>-1</v>
      </c>
      <c r="O85" s="11"/>
      <c r="P85" s="7"/>
      <c r="Q85" s="2"/>
      <c r="R85" s="6">
        <f t="shared" si="64"/>
        <v>0</v>
      </c>
      <c r="S85" s="2"/>
      <c r="T85" s="7">
        <v>2432.98</v>
      </c>
      <c r="U85" s="2"/>
      <c r="V85" s="6">
        <f t="shared" si="65"/>
        <v>1.0769849609079575E-2</v>
      </c>
      <c r="W85" s="2"/>
      <c r="X85" s="7">
        <f t="shared" si="66"/>
        <v>-2432.98</v>
      </c>
      <c r="Y85" s="2"/>
      <c r="Z85" s="6">
        <f t="shared" si="67"/>
        <v>-1</v>
      </c>
    </row>
    <row r="86" spans="1:26" s="24" customFormat="1" hidden="1" outlineLevel="2" x14ac:dyDescent="0.25">
      <c r="A86" s="29"/>
      <c r="B86" s="11" t="str">
        <f>CONCATENATE("          ", "6237", " - ", "JANITORIAL SUPPLIES")</f>
        <v xml:space="preserve">          6237 - JANITORIAL SUPPLIES</v>
      </c>
      <c r="C86" s="11"/>
      <c r="D86" s="7">
        <v>3874.32</v>
      </c>
      <c r="E86" s="2"/>
      <c r="F86" s="6">
        <f t="shared" si="60"/>
        <v>2.1588064981506505E-2</v>
      </c>
      <c r="G86" s="2"/>
      <c r="H86" s="7">
        <v>5552.15</v>
      </c>
      <c r="I86" s="2"/>
      <c r="J86" s="6">
        <f t="shared" si="61"/>
        <v>2.4577193609093027E-2</v>
      </c>
      <c r="K86" s="2"/>
      <c r="L86" s="7">
        <f t="shared" si="62"/>
        <v>-1677.8299999999995</v>
      </c>
      <c r="M86" s="2"/>
      <c r="N86" s="6">
        <f t="shared" si="63"/>
        <v>-0.30219464531757961</v>
      </c>
      <c r="O86" s="11"/>
      <c r="P86" s="7">
        <v>3874.32</v>
      </c>
      <c r="Q86" s="2"/>
      <c r="R86" s="6">
        <f t="shared" si="64"/>
        <v>2.1588064981506505E-2</v>
      </c>
      <c r="S86" s="2"/>
      <c r="T86" s="7">
        <v>5552.15</v>
      </c>
      <c r="U86" s="2"/>
      <c r="V86" s="6">
        <f t="shared" si="65"/>
        <v>2.4577193609093027E-2</v>
      </c>
      <c r="W86" s="2"/>
      <c r="X86" s="7">
        <f t="shared" si="66"/>
        <v>-1677.8299999999995</v>
      </c>
      <c r="Y86" s="2"/>
      <c r="Z86" s="6">
        <f t="shared" si="67"/>
        <v>-0.30219464531757961</v>
      </c>
    </row>
    <row r="87" spans="1:26" s="24" customFormat="1" hidden="1" outlineLevel="2" x14ac:dyDescent="0.25">
      <c r="A87" s="29"/>
      <c r="B87" s="11" t="str">
        <f>CONCATENATE("          ", "6239", " - ", "KITCHEN SUPPLIES")</f>
        <v xml:space="preserve">          6239 - KITCHEN SUPPLIES</v>
      </c>
      <c r="C87" s="11"/>
      <c r="D87" s="7">
        <v>6419.53</v>
      </c>
      <c r="E87" s="2"/>
      <c r="F87" s="6">
        <f t="shared" si="60"/>
        <v>3.5770207621138791E-2</v>
      </c>
      <c r="G87" s="2"/>
      <c r="H87" s="7">
        <v>1621.22</v>
      </c>
      <c r="I87" s="2"/>
      <c r="J87" s="6">
        <f t="shared" si="61"/>
        <v>7.1765060063099526E-3</v>
      </c>
      <c r="K87" s="2"/>
      <c r="L87" s="7">
        <f t="shared" si="62"/>
        <v>4798.3099999999995</v>
      </c>
      <c r="M87" s="2"/>
      <c r="N87" s="6">
        <f t="shared" si="63"/>
        <v>2.9596908501005412</v>
      </c>
      <c r="O87" s="11"/>
      <c r="P87" s="7">
        <v>6419.53</v>
      </c>
      <c r="Q87" s="2"/>
      <c r="R87" s="6">
        <f t="shared" si="64"/>
        <v>3.5770207621138791E-2</v>
      </c>
      <c r="S87" s="2"/>
      <c r="T87" s="7">
        <v>1621.22</v>
      </c>
      <c r="U87" s="2"/>
      <c r="V87" s="6">
        <f t="shared" si="65"/>
        <v>7.1765060063099526E-3</v>
      </c>
      <c r="W87" s="2"/>
      <c r="X87" s="7">
        <f t="shared" si="66"/>
        <v>4798.3099999999995</v>
      </c>
      <c r="Y87" s="2"/>
      <c r="Z87" s="6">
        <f t="shared" si="67"/>
        <v>2.9596908501005412</v>
      </c>
    </row>
    <row r="88" spans="1:26" s="24" customFormat="1" hidden="1" outlineLevel="2" x14ac:dyDescent="0.25">
      <c r="A88" s="29"/>
      <c r="B88" s="11" t="str">
        <f>CONCATENATE("          ", "6241", " - ", "OFFICE EXPENSE")</f>
        <v xml:space="preserve">          6241 - OFFICE EXPENSE</v>
      </c>
      <c r="C88" s="11"/>
      <c r="D88" s="7">
        <v>2744.9</v>
      </c>
      <c r="E88" s="2"/>
      <c r="F88" s="6">
        <f t="shared" si="60"/>
        <v>1.5294833562467016E-2</v>
      </c>
      <c r="G88" s="2"/>
      <c r="H88" s="7">
        <v>6152.69</v>
      </c>
      <c r="I88" s="2"/>
      <c r="J88" s="6">
        <f t="shared" si="61"/>
        <v>2.7235548993944793E-2</v>
      </c>
      <c r="K88" s="2"/>
      <c r="L88" s="7">
        <f t="shared" si="62"/>
        <v>-3407.7899999999995</v>
      </c>
      <c r="M88" s="2"/>
      <c r="N88" s="6">
        <f t="shared" si="63"/>
        <v>-0.55386993331372125</v>
      </c>
      <c r="O88" s="11"/>
      <c r="P88" s="7">
        <v>2744.9</v>
      </c>
      <c r="Q88" s="2"/>
      <c r="R88" s="6">
        <f t="shared" si="64"/>
        <v>1.5294833562467016E-2</v>
      </c>
      <c r="S88" s="2"/>
      <c r="T88" s="7">
        <v>6152.69</v>
      </c>
      <c r="U88" s="2"/>
      <c r="V88" s="6">
        <f t="shared" si="65"/>
        <v>2.7235548993944793E-2</v>
      </c>
      <c r="W88" s="2"/>
      <c r="X88" s="7">
        <f t="shared" si="66"/>
        <v>-3407.7899999999995</v>
      </c>
      <c r="Y88" s="2"/>
      <c r="Z88" s="6">
        <f t="shared" si="67"/>
        <v>-0.55386993331372125</v>
      </c>
    </row>
    <row r="89" spans="1:26" s="24" customFormat="1" hidden="1" outlineLevel="2" x14ac:dyDescent="0.25">
      <c r="A89" s="29"/>
      <c r="B89" s="11" t="str">
        <f>CONCATENATE("          ", "6243", " - ", "PAPER SUPPLIES")</f>
        <v xml:space="preserve">          6243 - PAPER SUPPLIES</v>
      </c>
      <c r="C89" s="11"/>
      <c r="D89" s="7">
        <v>2838.31</v>
      </c>
      <c r="E89" s="2"/>
      <c r="F89" s="6">
        <f t="shared" si="60"/>
        <v>1.5815322616009965E-2</v>
      </c>
      <c r="G89" s="2"/>
      <c r="H89" s="7">
        <v>1778.85</v>
      </c>
      <c r="I89" s="2"/>
      <c r="J89" s="6">
        <f t="shared" si="61"/>
        <v>7.8742722821853045E-3</v>
      </c>
      <c r="K89" s="2"/>
      <c r="L89" s="7">
        <f t="shared" si="62"/>
        <v>1059.46</v>
      </c>
      <c r="M89" s="2"/>
      <c r="N89" s="6">
        <f t="shared" si="63"/>
        <v>0.59558703656856959</v>
      </c>
      <c r="O89" s="11"/>
      <c r="P89" s="7">
        <v>2838.31</v>
      </c>
      <c r="Q89" s="2"/>
      <c r="R89" s="6">
        <f t="shared" si="64"/>
        <v>1.5815322616009965E-2</v>
      </c>
      <c r="S89" s="2"/>
      <c r="T89" s="7">
        <v>1778.85</v>
      </c>
      <c r="U89" s="2"/>
      <c r="V89" s="6">
        <f t="shared" si="65"/>
        <v>7.8742722821853045E-3</v>
      </c>
      <c r="W89" s="2"/>
      <c r="X89" s="7">
        <f t="shared" si="66"/>
        <v>1059.46</v>
      </c>
      <c r="Y89" s="2"/>
      <c r="Z89" s="6">
        <f t="shared" si="67"/>
        <v>0.59558703656856959</v>
      </c>
    </row>
    <row r="90" spans="1:26" s="24" customFormat="1" hidden="1" outlineLevel="2" x14ac:dyDescent="0.25">
      <c r="A90" s="29"/>
      <c r="B90" s="11" t="str">
        <f>CONCATENATE("          ", "6245", " - ", "PRINTING")</f>
        <v xml:space="preserve">          6245 - PRINTING</v>
      </c>
      <c r="C90" s="11"/>
      <c r="D90" s="7">
        <v>137.76</v>
      </c>
      <c r="E90" s="2"/>
      <c r="F90" s="6">
        <f t="shared" si="60"/>
        <v>7.6761130517157493E-4</v>
      </c>
      <c r="G90" s="2"/>
      <c r="H90" s="7"/>
      <c r="I90" s="2"/>
      <c r="J90" s="6">
        <f t="shared" si="61"/>
        <v>0</v>
      </c>
      <c r="K90" s="2"/>
      <c r="L90" s="7">
        <f t="shared" si="62"/>
        <v>137.76</v>
      </c>
      <c r="M90" s="2"/>
      <c r="N90" s="6">
        <f t="shared" si="63"/>
        <v>0</v>
      </c>
      <c r="O90" s="11"/>
      <c r="P90" s="7">
        <v>137.76</v>
      </c>
      <c r="Q90" s="2"/>
      <c r="R90" s="6">
        <f t="shared" si="64"/>
        <v>7.6761130517157493E-4</v>
      </c>
      <c r="S90" s="2"/>
      <c r="T90" s="7"/>
      <c r="U90" s="2"/>
      <c r="V90" s="6">
        <f t="shared" si="65"/>
        <v>0</v>
      </c>
      <c r="W90" s="2"/>
      <c r="X90" s="7">
        <f t="shared" si="66"/>
        <v>137.76</v>
      </c>
      <c r="Y90" s="2"/>
      <c r="Z90" s="6">
        <f t="shared" si="67"/>
        <v>0</v>
      </c>
    </row>
    <row r="91" spans="1:26" s="24" customFormat="1" hidden="1" outlineLevel="2" x14ac:dyDescent="0.25">
      <c r="A91" s="29"/>
      <c r="B91" s="11" t="str">
        <f>CONCATENATE("          ", "6247", " - ", "STORE SUPPLIES")</f>
        <v xml:space="preserve">          6247 - STORE SUPPLIES</v>
      </c>
      <c r="C91" s="11"/>
      <c r="D91" s="7">
        <v>210.54</v>
      </c>
      <c r="E91" s="2"/>
      <c r="F91" s="6">
        <f t="shared" si="60"/>
        <v>1.1731481140448852E-3</v>
      </c>
      <c r="G91" s="2"/>
      <c r="H91" s="7">
        <v>297.17</v>
      </c>
      <c r="I91" s="2"/>
      <c r="J91" s="6">
        <f t="shared" si="61"/>
        <v>1.3154552065081412E-3</v>
      </c>
      <c r="K91" s="2"/>
      <c r="L91" s="7">
        <f t="shared" si="62"/>
        <v>-86.630000000000024</v>
      </c>
      <c r="M91" s="2"/>
      <c r="N91" s="6">
        <f t="shared" si="63"/>
        <v>-0.29151664030689511</v>
      </c>
      <c r="O91" s="11"/>
      <c r="P91" s="7">
        <v>210.54</v>
      </c>
      <c r="Q91" s="2"/>
      <c r="R91" s="6">
        <f t="shared" si="64"/>
        <v>1.1731481140448852E-3</v>
      </c>
      <c r="S91" s="2"/>
      <c r="T91" s="7">
        <v>297.17</v>
      </c>
      <c r="U91" s="2"/>
      <c r="V91" s="6">
        <f t="shared" si="65"/>
        <v>1.3154552065081412E-3</v>
      </c>
      <c r="W91" s="2"/>
      <c r="X91" s="7">
        <f t="shared" si="66"/>
        <v>-86.630000000000024</v>
      </c>
      <c r="Y91" s="2"/>
      <c r="Z91" s="6">
        <f t="shared" si="67"/>
        <v>-0.29151664030689511</v>
      </c>
    </row>
    <row r="92" spans="1:26" s="24" customFormat="1" hidden="1" outlineLevel="2" x14ac:dyDescent="0.25">
      <c r="A92" s="29"/>
      <c r="B92" s="11" t="str">
        <f>CONCATENATE("          ", "6248", " - ", "UNIFORMS")</f>
        <v xml:space="preserve">          6248 - UNIFORMS</v>
      </c>
      <c r="C92" s="11"/>
      <c r="D92" s="7">
        <v>579.44000000000005</v>
      </c>
      <c r="E92" s="2"/>
      <c r="F92" s="6">
        <f t="shared" si="60"/>
        <v>3.2286926151903123E-3</v>
      </c>
      <c r="G92" s="2"/>
      <c r="H92" s="7">
        <v>2941.67</v>
      </c>
      <c r="I92" s="2"/>
      <c r="J92" s="6">
        <f t="shared" si="61"/>
        <v>1.3021621016013741E-2</v>
      </c>
      <c r="K92" s="2"/>
      <c r="L92" s="7">
        <f t="shared" si="62"/>
        <v>-2362.23</v>
      </c>
      <c r="M92" s="2"/>
      <c r="N92" s="6">
        <f t="shared" si="63"/>
        <v>-0.80302345266464281</v>
      </c>
      <c r="O92" s="11"/>
      <c r="P92" s="7">
        <v>579.44000000000005</v>
      </c>
      <c r="Q92" s="2"/>
      <c r="R92" s="6">
        <f t="shared" si="64"/>
        <v>3.2286926151903123E-3</v>
      </c>
      <c r="S92" s="2"/>
      <c r="T92" s="7">
        <v>2941.67</v>
      </c>
      <c r="U92" s="2"/>
      <c r="V92" s="6">
        <f t="shared" si="65"/>
        <v>1.3021621016013741E-2</v>
      </c>
      <c r="W92" s="2"/>
      <c r="X92" s="7">
        <f t="shared" si="66"/>
        <v>-2362.23</v>
      </c>
      <c r="Y92" s="2"/>
      <c r="Z92" s="6">
        <f t="shared" si="67"/>
        <v>-0.80302345266464281</v>
      </c>
    </row>
    <row r="93" spans="1:26" s="28" customFormat="1" outlineLevel="1" collapsed="1" x14ac:dyDescent="0.25">
      <c r="A93" s="27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SUM(OSRRefD22_17x_0)</f>
        <v>948.34</v>
      </c>
      <c r="E93" s="1"/>
      <c r="F93" s="5">
        <f t="shared" ref="F93:F100" si="68">IF(D$12=0,0,D93/D$12)</f>
        <v>5.2842371163357386E-3</v>
      </c>
      <c r="G93" s="1"/>
      <c r="H93" s="1">
        <f>SUM(OSRRefH22_17x_0)</f>
        <v>1442.13</v>
      </c>
      <c r="I93" s="1"/>
      <c r="J93" s="5">
        <f t="shared" ref="J93:J100" si="69">IF(H$12=0,0,H93/H$12)</f>
        <v>6.3837447150169452E-3</v>
      </c>
      <c r="K93" s="1"/>
      <c r="L93" s="1">
        <f t="shared" ref="L93:L100" si="70">+D93-H93</f>
        <v>-493.79000000000008</v>
      </c>
      <c r="M93" s="1"/>
      <c r="N93" s="5">
        <f t="shared" ref="N93:N100" si="71">IF(H93=0,0,L93/H93)</f>
        <v>-0.34240325074715877</v>
      </c>
      <c r="O93" s="14"/>
      <c r="P93" s="1">
        <f>SUM(OSRRefP22_17x_0)</f>
        <v>948.34</v>
      </c>
      <c r="Q93" s="1"/>
      <c r="R93" s="5">
        <f t="shared" ref="R93:R100" si="72">IF(P$12=0,0,P93/P$12)</f>
        <v>5.2842371163357386E-3</v>
      </c>
      <c r="S93" s="1"/>
      <c r="T93" s="1">
        <f>SUM(OSRRefT22_17x_0)</f>
        <v>1442.13</v>
      </c>
      <c r="U93" s="1"/>
      <c r="V93" s="5">
        <f t="shared" ref="V93:V100" si="73">IF(T$12=0,0,T93/T$12)</f>
        <v>6.3837447150169452E-3</v>
      </c>
      <c r="W93" s="1"/>
      <c r="X93" s="1">
        <f t="shared" ref="X93:X100" si="74">+P93-T93</f>
        <v>-493.79000000000008</v>
      </c>
      <c r="Y93" s="1"/>
      <c r="Z93" s="5">
        <f t="shared" ref="Z93:Z100" si="75">IF(T93=0,0,X93/T93)</f>
        <v>-0.34240325074715877</v>
      </c>
    </row>
    <row r="94" spans="1:26" s="24" customFormat="1" hidden="1" outlineLevel="2" x14ac:dyDescent="0.25">
      <c r="A94" s="29"/>
      <c r="B94" s="11" t="str">
        <f>CONCATENATE("          ", "6309", " - ", "TELEPHONE")</f>
        <v xml:space="preserve">          6309 - TELEPHONE</v>
      </c>
      <c r="C94" s="11"/>
      <c r="D94" s="7">
        <v>948.34</v>
      </c>
      <c r="E94" s="2"/>
      <c r="F94" s="6">
        <f t="shared" si="68"/>
        <v>5.2842371163357386E-3</v>
      </c>
      <c r="G94" s="2"/>
      <c r="H94" s="7">
        <v>1442.13</v>
      </c>
      <c r="I94" s="2"/>
      <c r="J94" s="6">
        <f t="shared" si="69"/>
        <v>6.3837447150169452E-3</v>
      </c>
      <c r="K94" s="2"/>
      <c r="L94" s="7">
        <f t="shared" si="70"/>
        <v>-493.79000000000008</v>
      </c>
      <c r="M94" s="2"/>
      <c r="N94" s="6">
        <f t="shared" si="71"/>
        <v>-0.34240325074715877</v>
      </c>
      <c r="O94" s="11"/>
      <c r="P94" s="7">
        <v>948.34</v>
      </c>
      <c r="Q94" s="2"/>
      <c r="R94" s="6">
        <f t="shared" si="72"/>
        <v>5.2842371163357386E-3</v>
      </c>
      <c r="S94" s="2"/>
      <c r="T94" s="7">
        <v>1442.13</v>
      </c>
      <c r="U94" s="2"/>
      <c r="V94" s="6">
        <f t="shared" si="73"/>
        <v>6.3837447150169452E-3</v>
      </c>
      <c r="W94" s="2"/>
      <c r="X94" s="7">
        <f t="shared" si="74"/>
        <v>-493.79000000000008</v>
      </c>
      <c r="Y94" s="2"/>
      <c r="Z94" s="6">
        <f t="shared" si="75"/>
        <v>-0.34240325074715877</v>
      </c>
    </row>
    <row r="95" spans="1:26" s="28" customFormat="1" outlineLevel="1" collapsed="1" x14ac:dyDescent="0.25">
      <c r="A95" s="27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SUM(OSRRefD22_18x_0)</f>
        <v>868.85</v>
      </c>
      <c r="E95" s="1"/>
      <c r="F95" s="5">
        <f t="shared" si="68"/>
        <v>4.8413115744651777E-3</v>
      </c>
      <c r="G95" s="1"/>
      <c r="H95" s="1">
        <f>SUM(OSRRefH22_18x_0)</f>
        <v>197.66</v>
      </c>
      <c r="I95" s="1"/>
      <c r="J95" s="5">
        <f t="shared" si="69"/>
        <v>8.7496340854863934E-4</v>
      </c>
      <c r="K95" s="1"/>
      <c r="L95" s="1">
        <f t="shared" si="70"/>
        <v>671.19</v>
      </c>
      <c r="M95" s="1"/>
      <c r="N95" s="5">
        <f t="shared" si="71"/>
        <v>3.3956794495598506</v>
      </c>
      <c r="O95" s="14"/>
      <c r="P95" s="1">
        <f>SUM(OSRRefP22_18x_0)</f>
        <v>868.85</v>
      </c>
      <c r="Q95" s="1"/>
      <c r="R95" s="5">
        <f t="shared" si="72"/>
        <v>4.8413115744651777E-3</v>
      </c>
      <c r="S95" s="1"/>
      <c r="T95" s="1">
        <f>SUM(OSRRefT22_18x_0)</f>
        <v>197.66</v>
      </c>
      <c r="U95" s="1"/>
      <c r="V95" s="5">
        <f t="shared" si="73"/>
        <v>8.7496340854863934E-4</v>
      </c>
      <c r="W95" s="1"/>
      <c r="X95" s="1">
        <f t="shared" si="74"/>
        <v>671.19</v>
      </c>
      <c r="Y95" s="1"/>
      <c r="Z95" s="5">
        <f t="shared" si="75"/>
        <v>3.3956794495598506</v>
      </c>
    </row>
    <row r="96" spans="1:26" s="24" customFormat="1" hidden="1" outlineLevel="2" x14ac:dyDescent="0.25">
      <c r="A96" s="29"/>
      <c r="B96" s="11" t="str">
        <f>CONCATENATE("          ", "6376", " - ", "TRAINING")</f>
        <v xml:space="preserve">          6376 - TRAINING</v>
      </c>
      <c r="C96" s="11"/>
      <c r="D96" s="7">
        <v>868.85</v>
      </c>
      <c r="E96" s="2"/>
      <c r="F96" s="6">
        <f t="shared" si="68"/>
        <v>4.8413115744651777E-3</v>
      </c>
      <c r="G96" s="2"/>
      <c r="H96" s="7">
        <v>197.66</v>
      </c>
      <c r="I96" s="2"/>
      <c r="J96" s="6">
        <f t="shared" si="69"/>
        <v>8.7496340854863934E-4</v>
      </c>
      <c r="K96" s="2"/>
      <c r="L96" s="7">
        <f t="shared" si="70"/>
        <v>671.19</v>
      </c>
      <c r="M96" s="2"/>
      <c r="N96" s="6">
        <f t="shared" si="71"/>
        <v>3.3956794495598506</v>
      </c>
      <c r="O96" s="11"/>
      <c r="P96" s="7">
        <v>868.85</v>
      </c>
      <c r="Q96" s="2"/>
      <c r="R96" s="6">
        <f t="shared" si="72"/>
        <v>4.8413115744651777E-3</v>
      </c>
      <c r="S96" s="2"/>
      <c r="T96" s="7">
        <v>197.66</v>
      </c>
      <c r="U96" s="2"/>
      <c r="V96" s="6">
        <f t="shared" si="73"/>
        <v>8.7496340854863934E-4</v>
      </c>
      <c r="W96" s="2"/>
      <c r="X96" s="7">
        <f t="shared" si="74"/>
        <v>671.19</v>
      </c>
      <c r="Y96" s="2"/>
      <c r="Z96" s="6">
        <f t="shared" si="75"/>
        <v>3.3956794495598506</v>
      </c>
    </row>
    <row r="97" spans="1:26" s="28" customFormat="1" outlineLevel="1" collapsed="1" x14ac:dyDescent="0.25">
      <c r="A97" s="27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SUM(OSRRefD22_19x_0)</f>
        <v>764.32</v>
      </c>
      <c r="E97" s="1"/>
      <c r="F97" s="5">
        <f t="shared" si="68"/>
        <v>4.2588608650460085E-3</v>
      </c>
      <c r="G97" s="1"/>
      <c r="H97" s="1">
        <f>SUM(OSRRefH22_19x_0)</f>
        <v>1506.99</v>
      </c>
      <c r="I97" s="1"/>
      <c r="J97" s="5">
        <f t="shared" si="69"/>
        <v>6.6708545332829815E-3</v>
      </c>
      <c r="K97" s="1"/>
      <c r="L97" s="1">
        <f t="shared" si="70"/>
        <v>-742.67</v>
      </c>
      <c r="M97" s="1"/>
      <c r="N97" s="5">
        <f t="shared" si="71"/>
        <v>-0.49281680701265435</v>
      </c>
      <c r="O97" s="14"/>
      <c r="P97" s="1">
        <f>SUM(OSRRefP22_19x_0)</f>
        <v>764.32</v>
      </c>
      <c r="Q97" s="1"/>
      <c r="R97" s="5">
        <f t="shared" si="72"/>
        <v>4.2588608650460085E-3</v>
      </c>
      <c r="S97" s="1"/>
      <c r="T97" s="1">
        <f>SUM(OSRRefT22_19x_0)</f>
        <v>1506.99</v>
      </c>
      <c r="U97" s="1"/>
      <c r="V97" s="5">
        <f t="shared" si="73"/>
        <v>6.6708545332829815E-3</v>
      </c>
      <c r="W97" s="1"/>
      <c r="X97" s="1">
        <f t="shared" si="74"/>
        <v>-742.67</v>
      </c>
      <c r="Y97" s="1"/>
      <c r="Z97" s="5">
        <f t="shared" si="75"/>
        <v>-0.49281680701265435</v>
      </c>
    </row>
    <row r="98" spans="1:26" s="24" customFormat="1" hidden="1" outlineLevel="2" x14ac:dyDescent="0.25">
      <c r="A98" s="29"/>
      <c r="B98" s="11" t="str">
        <f>CONCATENATE("          ", "6292", " - ", "TRAVEL/CONFERENCE")</f>
        <v xml:space="preserve">          6292 - TRAVEL/CONFERENCE</v>
      </c>
      <c r="C98" s="11"/>
      <c r="D98" s="7">
        <v>505.23</v>
      </c>
      <c r="E98" s="2"/>
      <c r="F98" s="6">
        <f t="shared" si="68"/>
        <v>2.8151877156782435E-3</v>
      </c>
      <c r="G98" s="2"/>
      <c r="H98" s="7">
        <v>178.03</v>
      </c>
      <c r="I98" s="2"/>
      <c r="J98" s="6">
        <f t="shared" si="69"/>
        <v>7.8806908643081191E-4</v>
      </c>
      <c r="K98" s="2"/>
      <c r="L98" s="7">
        <f t="shared" si="70"/>
        <v>327.20000000000005</v>
      </c>
      <c r="M98" s="2"/>
      <c r="N98" s="6">
        <f t="shared" si="71"/>
        <v>1.8378924900297704</v>
      </c>
      <c r="O98" s="11"/>
      <c r="P98" s="7">
        <v>505.23</v>
      </c>
      <c r="Q98" s="2"/>
      <c r="R98" s="6">
        <f t="shared" si="72"/>
        <v>2.8151877156782435E-3</v>
      </c>
      <c r="S98" s="2"/>
      <c r="T98" s="7">
        <v>178.03</v>
      </c>
      <c r="U98" s="2"/>
      <c r="V98" s="6">
        <f t="shared" si="73"/>
        <v>7.8806908643081191E-4</v>
      </c>
      <c r="W98" s="2"/>
      <c r="X98" s="7">
        <f t="shared" si="74"/>
        <v>327.20000000000005</v>
      </c>
      <c r="Y98" s="2"/>
      <c r="Z98" s="6">
        <f t="shared" si="75"/>
        <v>1.8378924900297704</v>
      </c>
    </row>
    <row r="99" spans="1:26" s="24" customFormat="1" hidden="1" outlineLevel="2" x14ac:dyDescent="0.25">
      <c r="A99" s="29"/>
      <c r="B99" s="11" t="str">
        <f>CONCATENATE("          ", "6294", " - ", "TRAVEL OPERATIONAL")</f>
        <v xml:space="preserve">          6294 - TRAVEL OPERATIONAL</v>
      </c>
      <c r="C99" s="11"/>
      <c r="D99" s="7">
        <v>45.49</v>
      </c>
      <c r="E99" s="2"/>
      <c r="F99" s="6">
        <f t="shared" si="68"/>
        <v>2.5347443577420839E-4</v>
      </c>
      <c r="G99" s="2"/>
      <c r="H99" s="7">
        <v>1258.9000000000001</v>
      </c>
      <c r="I99" s="2"/>
      <c r="J99" s="6">
        <f t="shared" si="69"/>
        <v>5.5726572651112125E-3</v>
      </c>
      <c r="K99" s="2"/>
      <c r="L99" s="7">
        <f t="shared" si="70"/>
        <v>-1213.4100000000001</v>
      </c>
      <c r="M99" s="2"/>
      <c r="N99" s="6">
        <f t="shared" si="71"/>
        <v>-0.96386527921201048</v>
      </c>
      <c r="O99" s="11"/>
      <c r="P99" s="7">
        <v>45.49</v>
      </c>
      <c r="Q99" s="2"/>
      <c r="R99" s="6">
        <f t="shared" si="72"/>
        <v>2.5347443577420839E-4</v>
      </c>
      <c r="S99" s="2"/>
      <c r="T99" s="7">
        <v>1258.9000000000001</v>
      </c>
      <c r="U99" s="2"/>
      <c r="V99" s="6">
        <f t="shared" si="73"/>
        <v>5.5726572651112125E-3</v>
      </c>
      <c r="W99" s="2"/>
      <c r="X99" s="7">
        <f t="shared" si="74"/>
        <v>-1213.4100000000001</v>
      </c>
      <c r="Y99" s="2"/>
      <c r="Z99" s="6">
        <f t="shared" si="75"/>
        <v>-0.96386527921201048</v>
      </c>
    </row>
    <row r="100" spans="1:26" s="24" customFormat="1" hidden="1" outlineLevel="2" x14ac:dyDescent="0.25">
      <c r="A100" s="29"/>
      <c r="B100" s="11" t="str">
        <f>CONCATENATE("          ", "6298", " - ", "VEHICLE MILEAGE")</f>
        <v xml:space="preserve">          6298 - VEHICLE MILEAGE</v>
      </c>
      <c r="C100" s="11"/>
      <c r="D100" s="7">
        <v>213.6</v>
      </c>
      <c r="E100" s="2"/>
      <c r="F100" s="6">
        <f t="shared" si="68"/>
        <v>1.190198713593557E-3</v>
      </c>
      <c r="G100" s="2"/>
      <c r="H100" s="7">
        <v>70.06</v>
      </c>
      <c r="I100" s="2"/>
      <c r="J100" s="6">
        <f t="shared" si="69"/>
        <v>3.1012818174095758E-4</v>
      </c>
      <c r="K100" s="2"/>
      <c r="L100" s="7">
        <f t="shared" si="70"/>
        <v>143.54</v>
      </c>
      <c r="M100" s="2"/>
      <c r="N100" s="6">
        <f t="shared" si="71"/>
        <v>2.0488153011704253</v>
      </c>
      <c r="O100" s="11"/>
      <c r="P100" s="7">
        <v>213.6</v>
      </c>
      <c r="Q100" s="2"/>
      <c r="R100" s="6">
        <f t="shared" si="72"/>
        <v>1.190198713593557E-3</v>
      </c>
      <c r="S100" s="2"/>
      <c r="T100" s="7">
        <v>70.06</v>
      </c>
      <c r="U100" s="2"/>
      <c r="V100" s="6">
        <f t="shared" si="73"/>
        <v>3.1012818174095758E-4</v>
      </c>
      <c r="W100" s="2"/>
      <c r="X100" s="7">
        <f t="shared" si="74"/>
        <v>143.54</v>
      </c>
      <c r="Y100" s="2"/>
      <c r="Z100" s="6">
        <f t="shared" si="75"/>
        <v>2.0488153011704253</v>
      </c>
    </row>
    <row r="101" spans="1:26" s="28" customFormat="1" outlineLevel="1" collapsed="1" x14ac:dyDescent="0.25">
      <c r="A101" s="27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SUM(OSRRefD22_20x_0)</f>
        <v>13691</v>
      </c>
      <c r="E101" s="1"/>
      <c r="F101" s="5">
        <f t="shared" ref="F101:F102" si="76">IF(D$12=0,0,D101/D$12)</f>
        <v>7.6287502751916605E-2</v>
      </c>
      <c r="G101" s="1"/>
      <c r="H101" s="1">
        <f>SUM(OSRRefH22_20x_0)</f>
        <v>15416</v>
      </c>
      <c r="I101" s="1"/>
      <c r="J101" s="5">
        <f t="shared" ref="J101:J102" si="77">IF(H$12=0,0,H101/H$12)</f>
        <v>6.8240594486420239E-2</v>
      </c>
      <c r="K101" s="1"/>
      <c r="L101" s="1">
        <f t="shared" ref="L101:L102" si="78">+D101-H101</f>
        <v>-1725</v>
      </c>
      <c r="M101" s="1"/>
      <c r="N101" s="5">
        <f t="shared" ref="N101:N102" si="79">IF(H101=0,0,L101/H101)</f>
        <v>-0.11189673066943435</v>
      </c>
      <c r="O101" s="14"/>
      <c r="P101" s="1">
        <f>SUM(OSRRefP22_20x_0)</f>
        <v>13691</v>
      </c>
      <c r="Q101" s="1"/>
      <c r="R101" s="5">
        <f t="shared" ref="R101:R102" si="80">IF(P$12=0,0,P101/P$12)</f>
        <v>7.6287502751916605E-2</v>
      </c>
      <c r="S101" s="1"/>
      <c r="T101" s="1">
        <f>SUM(OSRRefT22_20x_0)</f>
        <v>15416</v>
      </c>
      <c r="U101" s="1"/>
      <c r="V101" s="5">
        <f t="shared" ref="V101:V102" si="81">IF(T$12=0,0,T101/T$12)</f>
        <v>6.8240594486420239E-2</v>
      </c>
      <c r="W101" s="1"/>
      <c r="X101" s="1">
        <f t="shared" ref="X101:X102" si="82">+P101-T101</f>
        <v>-1725</v>
      </c>
      <c r="Y101" s="1"/>
      <c r="Z101" s="5">
        <f t="shared" ref="Z101:Z102" si="83">IF(T101=0,0,X101/T101)</f>
        <v>-0.11189673066943435</v>
      </c>
    </row>
    <row r="102" spans="1:26" s="24" customFormat="1" hidden="1" outlineLevel="2" x14ac:dyDescent="0.25">
      <c r="A102" s="29"/>
      <c r="B102" s="11" t="str">
        <f>CONCATENATE("          ", "6274", " - ", "UTILITIES")</f>
        <v xml:space="preserve">          6274 - UTILITIES</v>
      </c>
      <c r="C102" s="11"/>
      <c r="D102" s="7">
        <v>13691</v>
      </c>
      <c r="E102" s="2"/>
      <c r="F102" s="6">
        <f t="shared" si="76"/>
        <v>7.6287502751916605E-2</v>
      </c>
      <c r="G102" s="2"/>
      <c r="H102" s="7">
        <v>15416</v>
      </c>
      <c r="I102" s="2"/>
      <c r="J102" s="6">
        <f t="shared" si="77"/>
        <v>6.8240594486420239E-2</v>
      </c>
      <c r="K102" s="2"/>
      <c r="L102" s="7">
        <f t="shared" si="78"/>
        <v>-1725</v>
      </c>
      <c r="M102" s="2"/>
      <c r="N102" s="6">
        <f t="shared" si="79"/>
        <v>-0.11189673066943435</v>
      </c>
      <c r="O102" s="11"/>
      <c r="P102" s="7">
        <v>13691</v>
      </c>
      <c r="Q102" s="2"/>
      <c r="R102" s="6">
        <f t="shared" si="80"/>
        <v>7.6287502751916605E-2</v>
      </c>
      <c r="S102" s="2"/>
      <c r="T102" s="7">
        <v>15416</v>
      </c>
      <c r="U102" s="2"/>
      <c r="V102" s="6">
        <f t="shared" si="81"/>
        <v>6.8240594486420239E-2</v>
      </c>
      <c r="W102" s="2"/>
      <c r="X102" s="7">
        <f t="shared" si="82"/>
        <v>-1725</v>
      </c>
      <c r="Y102" s="2"/>
      <c r="Z102" s="6">
        <f t="shared" si="83"/>
        <v>-0.11189673066943435</v>
      </c>
    </row>
    <row r="103" spans="1:26" s="54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6" t="s">
        <v>0</v>
      </c>
      <c r="C104" s="10"/>
      <c r="D104" s="4">
        <f>SUM(OSRRefD25x_0)</f>
        <v>50933.41</v>
      </c>
      <c r="E104" s="4"/>
      <c r="F104" s="12">
        <f t="shared" ref="F104:F107" si="84">IF(D$12=0,0,D104/D$12)</f>
        <v>0.28380561358114803</v>
      </c>
      <c r="G104" s="4"/>
      <c r="H104" s="4">
        <f>SUM(OSRRefH25x_0)</f>
        <v>17560.98</v>
      </c>
      <c r="I104" s="4"/>
      <c r="J104" s="12">
        <f t="shared" ref="J104:J107" si="85">IF(H$12=0,0,H104/H$12)</f>
        <v>7.7735580887658029E-2</v>
      </c>
      <c r="K104" s="4"/>
      <c r="L104" s="4">
        <f t="shared" ref="L104:L107" si="86">+D104-H104</f>
        <v>33372.430000000008</v>
      </c>
      <c r="M104" s="4"/>
      <c r="N104" s="12">
        <f t="shared" ref="N104:N107" si="87">IF(H104=0,0,L104/H104)</f>
        <v>1.9003740110176088</v>
      </c>
      <c r="O104" s="10"/>
      <c r="P104" s="4">
        <f>SUM(OSRRefP25x_0)</f>
        <v>50933.41</v>
      </c>
      <c r="Q104" s="4"/>
      <c r="R104" s="12">
        <f t="shared" ref="R104:R107" si="88">IF(P$12=0,0,P104/P$12)</f>
        <v>0.28380561358114803</v>
      </c>
      <c r="S104" s="4"/>
      <c r="T104" s="4">
        <f>SUM(OSRRefT25x_0)</f>
        <v>17560.98</v>
      </c>
      <c r="U104" s="4"/>
      <c r="V104" s="12">
        <f t="shared" ref="V104:V107" si="89">IF(T$12=0,0,T104/T$12)</f>
        <v>7.7735580887658029E-2</v>
      </c>
      <c r="W104" s="4"/>
      <c r="X104" s="4">
        <f t="shared" ref="X104:X107" si="90">+P104-T104</f>
        <v>33372.430000000008</v>
      </c>
      <c r="Y104" s="4"/>
      <c r="Z104" s="12">
        <f t="shared" ref="Z104:Z107" si="91">IF(T104=0,0,X104/T104)</f>
        <v>1.9003740110176088</v>
      </c>
    </row>
    <row r="105" spans="1:26" s="24" customFormat="1" hidden="1" outlineLevel="1" x14ac:dyDescent="0.25">
      <c r="A105" s="50"/>
      <c r="B105" s="11" t="str">
        <f>CONCATENATE("          ", "9150", " - ", "MISC. INCOME")</f>
        <v xml:space="preserve">          9150 - MISC. INCOME</v>
      </c>
      <c r="C105" s="11"/>
      <c r="D105" s="2">
        <f>--41260.26</f>
        <v>41260.26</v>
      </c>
      <c r="E105" s="2"/>
      <c r="F105" s="22">
        <f t="shared" si="84"/>
        <v>0.22990593808303228</v>
      </c>
      <c r="G105" s="2"/>
      <c r="H105" s="2">
        <f>--4981.16</f>
        <v>4981.16</v>
      </c>
      <c r="I105" s="2"/>
      <c r="J105" s="22">
        <f t="shared" si="85"/>
        <v>2.2049644501295863E-2</v>
      </c>
      <c r="K105" s="2"/>
      <c r="L105" s="2">
        <f t="shared" si="86"/>
        <v>36279.100000000006</v>
      </c>
      <c r="M105" s="2"/>
      <c r="N105" s="22">
        <f t="shared" si="87"/>
        <v>7.2832633362509949</v>
      </c>
      <c r="O105" s="11"/>
      <c r="P105" s="2">
        <f>--41260.26</f>
        <v>41260.26</v>
      </c>
      <c r="Q105" s="2"/>
      <c r="R105" s="22">
        <f t="shared" si="88"/>
        <v>0.22990593808303228</v>
      </c>
      <c r="S105" s="2"/>
      <c r="T105" s="2">
        <f>--4981.16</f>
        <v>4981.16</v>
      </c>
      <c r="U105" s="2"/>
      <c r="V105" s="22">
        <f t="shared" si="89"/>
        <v>2.2049644501295863E-2</v>
      </c>
      <c r="W105" s="2"/>
      <c r="X105" s="2">
        <f t="shared" si="90"/>
        <v>36279.100000000006</v>
      </c>
      <c r="Y105" s="2"/>
      <c r="Z105" s="22">
        <f t="shared" si="91"/>
        <v>7.2832633362509949</v>
      </c>
    </row>
    <row r="106" spans="1:26" s="24" customFormat="1" hidden="1" outlineLevel="1" x14ac:dyDescent="0.25">
      <c r="A106" s="50"/>
      <c r="B106" s="11" t="str">
        <f>CONCATENATE("          ", "9160", " - ", "MISC. INCOME")</f>
        <v xml:space="preserve">          9160 - MISC. INCOME</v>
      </c>
      <c r="C106" s="11"/>
      <c r="D106" s="2">
        <f>--5992.1</f>
        <v>5992.1</v>
      </c>
      <c r="E106" s="2"/>
      <c r="F106" s="22">
        <f t="shared" si="84"/>
        <v>3.3388528612939852E-2</v>
      </c>
      <c r="G106" s="2"/>
      <c r="H106" s="2">
        <f>--10460.99</f>
        <v>10460.99</v>
      </c>
      <c r="I106" s="2"/>
      <c r="J106" s="22">
        <f t="shared" si="85"/>
        <v>4.6306705793753067E-2</v>
      </c>
      <c r="K106" s="2"/>
      <c r="L106" s="2">
        <f t="shared" si="86"/>
        <v>-4468.8899999999994</v>
      </c>
      <c r="M106" s="2"/>
      <c r="N106" s="22">
        <f t="shared" si="87"/>
        <v>-0.42719570518660277</v>
      </c>
      <c r="O106" s="11"/>
      <c r="P106" s="2">
        <f>--5992.1</f>
        <v>5992.1</v>
      </c>
      <c r="Q106" s="2"/>
      <c r="R106" s="22">
        <f t="shared" si="88"/>
        <v>3.3388528612939852E-2</v>
      </c>
      <c r="S106" s="2"/>
      <c r="T106" s="2">
        <f>--10460.99</f>
        <v>10460.99</v>
      </c>
      <c r="U106" s="2"/>
      <c r="V106" s="22">
        <f t="shared" si="89"/>
        <v>4.6306705793753067E-2</v>
      </c>
      <c r="W106" s="2"/>
      <c r="X106" s="2">
        <f t="shared" si="90"/>
        <v>-4468.8899999999994</v>
      </c>
      <c r="Y106" s="2"/>
      <c r="Z106" s="22">
        <f t="shared" si="91"/>
        <v>-0.42719570518660277</v>
      </c>
    </row>
    <row r="107" spans="1:26" s="24" customFormat="1" hidden="1" outlineLevel="1" x14ac:dyDescent="0.25">
      <c r="A107" s="50"/>
      <c r="B107" s="11" t="str">
        <f>CONCATENATE("          ", "9165", " - ", "OTHER INCOME")</f>
        <v xml:space="preserve">          9165 - OTHER INCOME</v>
      </c>
      <c r="C107" s="11"/>
      <c r="D107" s="2">
        <f>--3681.05</f>
        <v>3681.05</v>
      </c>
      <c r="E107" s="2"/>
      <c r="F107" s="22">
        <f t="shared" si="84"/>
        <v>2.0511146885175857E-2</v>
      </c>
      <c r="G107" s="2"/>
      <c r="H107" s="2">
        <f>--2118.83</f>
        <v>2118.83</v>
      </c>
      <c r="I107" s="2"/>
      <c r="J107" s="22">
        <f t="shared" si="85"/>
        <v>9.3792305926090943E-3</v>
      </c>
      <c r="K107" s="2"/>
      <c r="L107" s="2">
        <f t="shared" si="86"/>
        <v>1562.2200000000003</v>
      </c>
      <c r="M107" s="2"/>
      <c r="N107" s="22">
        <f t="shared" si="87"/>
        <v>0.73730313427693606</v>
      </c>
      <c r="O107" s="11"/>
      <c r="P107" s="2">
        <f>--3681.05</f>
        <v>3681.05</v>
      </c>
      <c r="Q107" s="2"/>
      <c r="R107" s="22">
        <f t="shared" si="88"/>
        <v>2.0511146885175857E-2</v>
      </c>
      <c r="S107" s="2"/>
      <c r="T107" s="2">
        <f>--2118.83</f>
        <v>2118.83</v>
      </c>
      <c r="U107" s="2"/>
      <c r="V107" s="22">
        <f t="shared" si="89"/>
        <v>9.3792305926090943E-3</v>
      </c>
      <c r="W107" s="2"/>
      <c r="X107" s="2">
        <f t="shared" si="90"/>
        <v>1562.2200000000003</v>
      </c>
      <c r="Y107" s="2"/>
      <c r="Z107" s="22">
        <f t="shared" si="91"/>
        <v>0.73730313427693606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5" t="s">
        <v>3</v>
      </c>
      <c r="C109" s="25"/>
      <c r="D109" s="21">
        <f>+D27-D29+D104</f>
        <v>-242981.94999999998</v>
      </c>
      <c r="E109" s="13"/>
      <c r="F109" s="20">
        <f>IF(D$12=0,0,D109/D$12)</f>
        <v>-1.3539176232043724</v>
      </c>
      <c r="G109" s="13"/>
      <c r="H109" s="21">
        <f>+H27-H29+H104</f>
        <v>-208442.50999999992</v>
      </c>
      <c r="I109" s="13"/>
      <c r="J109" s="20">
        <f>IF(H$12=0,0,H109/H$12)</f>
        <v>-0.92269335746247994</v>
      </c>
      <c r="K109" s="16"/>
      <c r="L109" s="21">
        <f>+D109-H109</f>
        <v>-34539.440000000061</v>
      </c>
      <c r="M109" s="16"/>
      <c r="N109" s="20">
        <f>IF(H109=0,0,L109/H109)</f>
        <v>0.16570247594888429</v>
      </c>
      <c r="O109" s="26"/>
      <c r="P109" s="21">
        <f>+P27-P29+P104</f>
        <v>-242981.94999999998</v>
      </c>
      <c r="Q109" s="13"/>
      <c r="R109" s="20">
        <f>IF(P$12=0,0,P109/P$12)</f>
        <v>-1.3539176232043724</v>
      </c>
      <c r="S109" s="13"/>
      <c r="T109" s="21">
        <f>+T27-T29+T104</f>
        <v>-208442.50999999992</v>
      </c>
      <c r="U109" s="13"/>
      <c r="V109" s="20">
        <f>IF(T$12=0,0,T109/T$12)</f>
        <v>-0.92269335746247994</v>
      </c>
      <c r="W109" s="16"/>
      <c r="X109" s="21">
        <f>+P109-T109</f>
        <v>-34539.440000000061</v>
      </c>
      <c r="Y109" s="16"/>
      <c r="Z109" s="20">
        <f>IF(T109=0,0,X109/T109)</f>
        <v>0.16570247594888429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1"/>
      <c r="B111" s="10" t="s">
        <v>13</v>
      </c>
      <c r="C111" s="10"/>
      <c r="D111" s="4">
        <v>37316.230000000003</v>
      </c>
      <c r="E111" s="4"/>
      <c r="F111" s="12">
        <f>IF(D$12=0,0,D111/D$12)</f>
        <v>0.20792944261311472</v>
      </c>
      <c r="G111" s="4"/>
      <c r="H111" s="4">
        <v>46378.77</v>
      </c>
      <c r="I111" s="4"/>
      <c r="J111" s="12">
        <f>IF(H$12=0,0,H111/H$12)</f>
        <v>0.20530065103457137</v>
      </c>
      <c r="K111" s="4"/>
      <c r="L111" s="4">
        <f>+D111-H111</f>
        <v>-9062.5399999999936</v>
      </c>
      <c r="M111" s="4"/>
      <c r="N111" s="12">
        <f>IF(H111=0,0,L111/H111)</f>
        <v>-0.19540276725751879</v>
      </c>
      <c r="O111" s="10"/>
      <c r="P111" s="4">
        <v>37316.230000000003</v>
      </c>
      <c r="Q111" s="4"/>
      <c r="R111" s="12">
        <f>IF(P$12=0,0,P111/P$12)</f>
        <v>0.20792944261311472</v>
      </c>
      <c r="S111" s="4"/>
      <c r="T111" s="4">
        <v>46378.77</v>
      </c>
      <c r="U111" s="4"/>
      <c r="V111" s="12">
        <f>IF(T$12=0,0,T111/T$12)</f>
        <v>0.20530065103457137</v>
      </c>
      <c r="W111" s="4"/>
      <c r="X111" s="4">
        <f>+P111-T111</f>
        <v>-9062.5399999999936</v>
      </c>
      <c r="Y111" s="4"/>
      <c r="Z111" s="12">
        <f>IF(T111=0,0,X111/T111)</f>
        <v>-0.19540276725751879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5" t="s">
        <v>4</v>
      </c>
      <c r="C113" s="25"/>
      <c r="D113" s="33">
        <f>+D109-D111</f>
        <v>-280298.18</v>
      </c>
      <c r="E113" s="13"/>
      <c r="F113" s="34">
        <f>IF(D$12=0,0,D113/D$12)</f>
        <v>-1.5618470658174872</v>
      </c>
      <c r="G113" s="13"/>
      <c r="H113" s="33">
        <f>+H109-H111</f>
        <v>-254821.27999999991</v>
      </c>
      <c r="I113" s="13"/>
      <c r="J113" s="34">
        <f>IF(H$12=0,0,H113/H$12)</f>
        <v>-1.1279940084970512</v>
      </c>
      <c r="K113" s="16"/>
      <c r="L113" s="33">
        <f>D113-H113</f>
        <v>-25476.900000000081</v>
      </c>
      <c r="M113" s="16"/>
      <c r="N113" s="34">
        <f>IF(H113=0,0,L113/H113)</f>
        <v>9.9979483660077723E-2</v>
      </c>
      <c r="O113" s="26"/>
      <c r="P113" s="33">
        <f>+P109-P111</f>
        <v>-280298.18</v>
      </c>
      <c r="Q113" s="13"/>
      <c r="R113" s="34">
        <f>IF(P$12=0,0,P113/P$12)</f>
        <v>-1.5618470658174872</v>
      </c>
      <c r="S113" s="13"/>
      <c r="T113" s="33">
        <f>+T109-T111</f>
        <v>-254821.27999999991</v>
      </c>
      <c r="U113" s="13"/>
      <c r="V113" s="34">
        <f>IF(T$12=0,0,T113/T$12)</f>
        <v>-1.1279940084970512</v>
      </c>
      <c r="W113" s="16"/>
      <c r="X113" s="33">
        <f>P113-T113</f>
        <v>-25476.900000000081</v>
      </c>
      <c r="Y113" s="16"/>
      <c r="Z113" s="34">
        <f>IF(T113=0,0,X113/T113)</f>
        <v>9.9979483660077723E-2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5" t="s">
        <v>5</v>
      </c>
      <c r="C116" s="25"/>
      <c r="D116" s="31">
        <f>SUM(D113:D115)</f>
        <v>-280298.18</v>
      </c>
      <c r="E116" s="13"/>
      <c r="F116" s="30">
        <f>IF(D$12=0,0,D116/D$12)</f>
        <v>-1.5618470658174872</v>
      </c>
      <c r="G116" s="13"/>
      <c r="H116" s="31">
        <f>SUM(H113:H115)</f>
        <v>-254821.27999999991</v>
      </c>
      <c r="I116" s="13"/>
      <c r="J116" s="30">
        <f>IF(H$12=0,0,H116/H$12)</f>
        <v>-1.1279940084970512</v>
      </c>
      <c r="K116" s="16"/>
      <c r="L116" s="31">
        <f>+D116-H116</f>
        <v>-25476.900000000081</v>
      </c>
      <c r="M116" s="16"/>
      <c r="N116" s="30">
        <f>IF(H116=0,0,L116/H116)</f>
        <v>9.9979483660077723E-2</v>
      </c>
      <c r="O116" s="26"/>
      <c r="P116" s="31">
        <f>SUM(P113:P115)</f>
        <v>-280298.18</v>
      </c>
      <c r="Q116" s="13"/>
      <c r="R116" s="30">
        <f>IF(P$12=0,0,P116/P$12)</f>
        <v>-1.5618470658174872</v>
      </c>
      <c r="S116" s="13"/>
      <c r="T116" s="31">
        <f>SUM(T113:T115)</f>
        <v>-254821.27999999991</v>
      </c>
      <c r="U116" s="13"/>
      <c r="V116" s="30">
        <f>IF(T$12=0,0,T116/T$12)</f>
        <v>-1.1279940084970512</v>
      </c>
      <c r="W116" s="16"/>
      <c r="X116" s="31">
        <f>+P116-T116</f>
        <v>-25476.900000000081</v>
      </c>
      <c r="Y116" s="16"/>
      <c r="Z116" s="30">
        <f>IF(T116=0,0,X116/T116)</f>
        <v>9.9979483660077723E-2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>
        <v>43726.681518634257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3" t="s">
        <v>313</v>
      </c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18106.690000000002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18106.690000000002</v>
      </c>
      <c r="M12" s="4"/>
      <c r="N12" s="12">
        <f t="shared" ref="N12:N14" si="1">IF(H12=0,0,L12/H12)</f>
        <v>0</v>
      </c>
      <c r="O12" s="10"/>
      <c r="P12" s="4">
        <f>SUM(OSRRefP13x_0)</f>
        <v>18106.690000000002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18106.690000000002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--5601.85</f>
        <v>5601.85</v>
      </c>
      <c r="E13" s="2"/>
      <c r="F13" s="22"/>
      <c r="G13" s="2"/>
      <c r="H13" s="2">
        <f t="shared" ref="H13:H14" si="4">0</f>
        <v>0</v>
      </c>
      <c r="I13" s="2"/>
      <c r="J13" s="22"/>
      <c r="K13" s="2"/>
      <c r="L13" s="2">
        <f t="shared" si="0"/>
        <v>5601.85</v>
      </c>
      <c r="M13" s="2"/>
      <c r="N13" s="22">
        <f t="shared" si="1"/>
        <v>0</v>
      </c>
      <c r="O13" s="11"/>
      <c r="P13" s="2">
        <f>--5601.85</f>
        <v>5601.85</v>
      </c>
      <c r="Q13" s="2"/>
      <c r="R13" s="22"/>
      <c r="S13" s="2"/>
      <c r="T13" s="2">
        <f t="shared" ref="T13:T14" si="5">0</f>
        <v>0</v>
      </c>
      <c r="U13" s="2"/>
      <c r="V13" s="22"/>
      <c r="W13" s="2"/>
      <c r="X13" s="2">
        <f t="shared" si="2"/>
        <v>5601.85</v>
      </c>
      <c r="Y13" s="2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--12504.84</f>
        <v>12504.84</v>
      </c>
      <c r="E14" s="2"/>
      <c r="F14" s="22"/>
      <c r="G14" s="2"/>
      <c r="H14" s="2">
        <f t="shared" si="4"/>
        <v>0</v>
      </c>
      <c r="I14" s="2"/>
      <c r="J14" s="22"/>
      <c r="K14" s="2"/>
      <c r="L14" s="2">
        <f t="shared" si="0"/>
        <v>12504.84</v>
      </c>
      <c r="M14" s="2"/>
      <c r="N14" s="22">
        <f t="shared" si="1"/>
        <v>0</v>
      </c>
      <c r="O14" s="11"/>
      <c r="P14" s="2">
        <f>--12504.84</f>
        <v>12504.84</v>
      </c>
      <c r="Q14" s="2"/>
      <c r="R14" s="22"/>
      <c r="S14" s="2"/>
      <c r="T14" s="2">
        <f t="shared" si="5"/>
        <v>0</v>
      </c>
      <c r="U14" s="2"/>
      <c r="V14" s="22"/>
      <c r="W14" s="2"/>
      <c r="X14" s="2">
        <f t="shared" si="2"/>
        <v>12504.84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10235.35</v>
      </c>
      <c r="E16" s="4"/>
      <c r="F16" s="12">
        <f t="shared" ref="F16:F18" si="6">IF(D$12=0,0,D16/D$12)</f>
        <v>0.56528001528716731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10235.35</v>
      </c>
      <c r="M16" s="4"/>
      <c r="N16" s="12">
        <f t="shared" ref="N16:N18" si="9">IF(H16=0,0,L16/H16)</f>
        <v>0</v>
      </c>
      <c r="O16" s="10"/>
      <c r="P16" s="4">
        <f>SUM(OSRRefP16x_0)</f>
        <v>10235.35</v>
      </c>
      <c r="Q16" s="4"/>
      <c r="R16" s="12">
        <f t="shared" ref="R16:R18" si="10">IF(P$12=0,0,P16/P$12)</f>
        <v>0.56528001528716731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10235.35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8853.35</v>
      </c>
      <c r="E17" s="2"/>
      <c r="F17" s="22">
        <f t="shared" si="6"/>
        <v>0.48895463499954983</v>
      </c>
      <c r="G17" s="2"/>
      <c r="H17" s="2"/>
      <c r="I17" s="2"/>
      <c r="J17" s="22">
        <f t="shared" si="7"/>
        <v>0</v>
      </c>
      <c r="K17" s="2"/>
      <c r="L17" s="2">
        <f t="shared" si="8"/>
        <v>8853.35</v>
      </c>
      <c r="M17" s="2"/>
      <c r="N17" s="22">
        <f t="shared" si="9"/>
        <v>0</v>
      </c>
      <c r="O17" s="11"/>
      <c r="P17" s="2">
        <v>8853.35</v>
      </c>
      <c r="Q17" s="2"/>
      <c r="R17" s="22">
        <f t="shared" si="10"/>
        <v>0.48895463499954983</v>
      </c>
      <c r="S17" s="2"/>
      <c r="T17" s="2"/>
      <c r="U17" s="2"/>
      <c r="V17" s="22">
        <f t="shared" si="11"/>
        <v>0</v>
      </c>
      <c r="W17" s="2"/>
      <c r="X17" s="2">
        <f t="shared" si="12"/>
        <v>8853.35</v>
      </c>
      <c r="Y17" s="2"/>
      <c r="Z17" s="22">
        <f t="shared" si="13"/>
        <v>0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1382</v>
      </c>
      <c r="E18" s="2"/>
      <c r="F18" s="22">
        <f t="shared" si="6"/>
        <v>7.6325380287617442E-2</v>
      </c>
      <c r="G18" s="2"/>
      <c r="H18" s="2"/>
      <c r="I18" s="2"/>
      <c r="J18" s="22">
        <f t="shared" si="7"/>
        <v>0</v>
      </c>
      <c r="K18" s="2"/>
      <c r="L18" s="2">
        <f t="shared" si="8"/>
        <v>1382</v>
      </c>
      <c r="M18" s="2"/>
      <c r="N18" s="22">
        <f t="shared" si="9"/>
        <v>0</v>
      </c>
      <c r="O18" s="11"/>
      <c r="P18" s="2">
        <v>1382</v>
      </c>
      <c r="Q18" s="2"/>
      <c r="R18" s="22">
        <f t="shared" si="10"/>
        <v>7.6325380287617442E-2</v>
      </c>
      <c r="S18" s="2"/>
      <c r="T18" s="2"/>
      <c r="U18" s="2"/>
      <c r="V18" s="22">
        <f t="shared" si="11"/>
        <v>0</v>
      </c>
      <c r="W18" s="2"/>
      <c r="X18" s="2">
        <f t="shared" si="12"/>
        <v>1382</v>
      </c>
      <c r="Y18" s="2"/>
      <c r="Z18" s="22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7871.340000000002</v>
      </c>
      <c r="E20" s="13"/>
      <c r="F20" s="20">
        <f>IF(D$12=0,0,D20/D$12)</f>
        <v>0.43471998471283269</v>
      </c>
      <c r="G20" s="13"/>
      <c r="H20" s="21">
        <f>H12-H16</f>
        <v>0</v>
      </c>
      <c r="I20" s="13"/>
      <c r="J20" s="20">
        <f>IF(H$12=0,0,H20/H$12)</f>
        <v>0</v>
      </c>
      <c r="K20" s="16"/>
      <c r="L20" s="21">
        <f>+D20-H20</f>
        <v>7871.340000000002</v>
      </c>
      <c r="M20" s="16"/>
      <c r="N20" s="20">
        <f>IF(H20=0,0,L20/H20)</f>
        <v>0</v>
      </c>
      <c r="O20" s="26"/>
      <c r="P20" s="21">
        <f>P12-P16</f>
        <v>7871.340000000002</v>
      </c>
      <c r="Q20" s="13"/>
      <c r="R20" s="20">
        <f>IF(P$12=0,0,P20/P$12)</f>
        <v>0.43471998471283269</v>
      </c>
      <c r="S20" s="13"/>
      <c r="T20" s="21">
        <f>T12-T16</f>
        <v>0</v>
      </c>
      <c r="U20" s="13"/>
      <c r="V20" s="20">
        <f>IF(T$12=0,0,T20/T$12)</f>
        <v>0</v>
      </c>
      <c r="W20" s="16"/>
      <c r="X20" s="21">
        <f>+P20-T20</f>
        <v>7871.340000000002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40848.790000000008</v>
      </c>
      <c r="E22" s="19"/>
      <c r="F22" s="35">
        <f t="shared" ref="F22:F31" si="14">IF(D$12=0,0,D22/D$12)</f>
        <v>2.2560053770181079</v>
      </c>
      <c r="G22" s="19"/>
      <c r="H22" s="19">
        <f>SUM(OSRRefH22x_0)</f>
        <v>20239.949999999997</v>
      </c>
      <c r="I22" s="19"/>
      <c r="J22" s="35">
        <f t="shared" ref="J22:J31" si="15">IF(H$12=0,0,H22/H$12)</f>
        <v>0</v>
      </c>
      <c r="K22" s="4"/>
      <c r="L22" s="19">
        <f t="shared" ref="L22:L31" si="16">+D22-H22</f>
        <v>20608.840000000011</v>
      </c>
      <c r="M22" s="4"/>
      <c r="N22" s="35">
        <f t="shared" ref="N22:N31" si="17">IF(H22=0,0,L22/H22)</f>
        <v>1.018225835538132</v>
      </c>
      <c r="O22" s="10"/>
      <c r="P22" s="19">
        <f>SUM(OSRRefP22x_0)</f>
        <v>40848.790000000008</v>
      </c>
      <c r="Q22" s="19"/>
      <c r="R22" s="35">
        <f t="shared" ref="R22:R31" si="18">IF(P$12=0,0,P22/P$12)</f>
        <v>2.2560053770181079</v>
      </c>
      <c r="S22" s="19"/>
      <c r="T22" s="19">
        <f>SUM(OSRRefT22x_0)</f>
        <v>20239.949999999997</v>
      </c>
      <c r="U22" s="19"/>
      <c r="V22" s="35">
        <f t="shared" ref="V22:V31" si="19">IF(T$12=0,0,T22/T$12)</f>
        <v>0</v>
      </c>
      <c r="W22" s="4"/>
      <c r="X22" s="19">
        <f t="shared" ref="X22:X31" si="20">+P22-T22</f>
        <v>20608.840000000011</v>
      </c>
      <c r="Y22" s="4"/>
      <c r="Z22" s="35">
        <f t="shared" ref="Z22:Z31" si="21">IF(T22=0,0,X22/T22)</f>
        <v>1.018225835538132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4835.1100000000006</v>
      </c>
      <c r="E23" s="1"/>
      <c r="F23" s="5">
        <f t="shared" si="14"/>
        <v>0.2670344496978741</v>
      </c>
      <c r="G23" s="1"/>
      <c r="H23" s="1">
        <f>SUM(OSRRefH22_0x_0)</f>
        <v>3934.42</v>
      </c>
      <c r="I23" s="1"/>
      <c r="J23" s="5">
        <f t="shared" si="15"/>
        <v>0</v>
      </c>
      <c r="K23" s="1"/>
      <c r="L23" s="1">
        <f t="shared" si="16"/>
        <v>900.69000000000051</v>
      </c>
      <c r="M23" s="1"/>
      <c r="N23" s="5">
        <f t="shared" si="17"/>
        <v>0.22892573746575112</v>
      </c>
      <c r="O23" s="14"/>
      <c r="P23" s="1">
        <f>SUM(OSRRefP22_0x_0)</f>
        <v>4835.1100000000006</v>
      </c>
      <c r="Q23" s="1"/>
      <c r="R23" s="5">
        <f t="shared" si="18"/>
        <v>0.2670344496978741</v>
      </c>
      <c r="S23" s="1"/>
      <c r="T23" s="1">
        <f>SUM(OSRRefT22_0x_0)</f>
        <v>3934.42</v>
      </c>
      <c r="U23" s="1"/>
      <c r="V23" s="5">
        <f t="shared" si="19"/>
        <v>0</v>
      </c>
      <c r="W23" s="1"/>
      <c r="X23" s="1">
        <f t="shared" si="20"/>
        <v>900.69000000000051</v>
      </c>
      <c r="Y23" s="1"/>
      <c r="Z23" s="5">
        <f t="shared" si="21"/>
        <v>0.22892573746575112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1065.44</v>
      </c>
      <c r="E24" s="2"/>
      <c r="F24" s="6">
        <f t="shared" si="14"/>
        <v>5.8842339488885044E-2</v>
      </c>
      <c r="G24" s="2"/>
      <c r="H24" s="7">
        <v>619.32000000000005</v>
      </c>
      <c r="I24" s="2"/>
      <c r="J24" s="6">
        <f t="shared" si="15"/>
        <v>0</v>
      </c>
      <c r="K24" s="2"/>
      <c r="L24" s="7">
        <f t="shared" si="16"/>
        <v>446.12</v>
      </c>
      <c r="M24" s="2"/>
      <c r="N24" s="6">
        <f t="shared" si="17"/>
        <v>0.72033843570367495</v>
      </c>
      <c r="O24" s="11"/>
      <c r="P24" s="7">
        <v>1065.44</v>
      </c>
      <c r="Q24" s="2"/>
      <c r="R24" s="6">
        <f t="shared" si="18"/>
        <v>5.8842339488885044E-2</v>
      </c>
      <c r="S24" s="2"/>
      <c r="T24" s="7">
        <v>619.32000000000005</v>
      </c>
      <c r="U24" s="2"/>
      <c r="V24" s="6">
        <f t="shared" si="19"/>
        <v>0</v>
      </c>
      <c r="W24" s="2"/>
      <c r="X24" s="7">
        <f t="shared" si="20"/>
        <v>446.12</v>
      </c>
      <c r="Y24" s="2"/>
      <c r="Z24" s="6">
        <f t="shared" si="21"/>
        <v>0.72033843570367495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532.61</v>
      </c>
      <c r="E25" s="2"/>
      <c r="F25" s="6">
        <f t="shared" si="14"/>
        <v>2.9415094641814708E-2</v>
      </c>
      <c r="G25" s="2"/>
      <c r="H25" s="7">
        <v>419.38</v>
      </c>
      <c r="I25" s="2"/>
      <c r="J25" s="6">
        <f t="shared" si="15"/>
        <v>0</v>
      </c>
      <c r="K25" s="2"/>
      <c r="L25" s="7">
        <f t="shared" si="16"/>
        <v>113.23000000000002</v>
      </c>
      <c r="M25" s="2"/>
      <c r="N25" s="6">
        <f t="shared" si="17"/>
        <v>0.26999380037197773</v>
      </c>
      <c r="O25" s="11"/>
      <c r="P25" s="7">
        <v>532.61</v>
      </c>
      <c r="Q25" s="2"/>
      <c r="R25" s="6">
        <f t="shared" si="18"/>
        <v>2.9415094641814708E-2</v>
      </c>
      <c r="S25" s="2"/>
      <c r="T25" s="7">
        <v>419.38</v>
      </c>
      <c r="U25" s="2"/>
      <c r="V25" s="6">
        <f t="shared" si="19"/>
        <v>0</v>
      </c>
      <c r="W25" s="2"/>
      <c r="X25" s="7">
        <f t="shared" si="20"/>
        <v>113.23000000000002</v>
      </c>
      <c r="Y25" s="2"/>
      <c r="Z25" s="6">
        <f t="shared" si="21"/>
        <v>0.26999380037197773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1376.23</v>
      </c>
      <c r="E26" s="2"/>
      <c r="F26" s="6">
        <f t="shared" si="14"/>
        <v>7.6006713540685777E-2</v>
      </c>
      <c r="G26" s="2"/>
      <c r="H26" s="7">
        <v>536.66</v>
      </c>
      <c r="I26" s="2"/>
      <c r="J26" s="6">
        <f t="shared" si="15"/>
        <v>0</v>
      </c>
      <c r="K26" s="2"/>
      <c r="L26" s="7">
        <f t="shared" si="16"/>
        <v>839.57</v>
      </c>
      <c r="M26" s="2"/>
      <c r="N26" s="6">
        <f t="shared" si="17"/>
        <v>1.5644355830507213</v>
      </c>
      <c r="O26" s="11"/>
      <c r="P26" s="7">
        <v>1376.23</v>
      </c>
      <c r="Q26" s="2"/>
      <c r="R26" s="6">
        <f t="shared" si="18"/>
        <v>7.6006713540685777E-2</v>
      </c>
      <c r="S26" s="2"/>
      <c r="T26" s="7">
        <v>536.66</v>
      </c>
      <c r="U26" s="2"/>
      <c r="V26" s="6">
        <f t="shared" si="19"/>
        <v>0</v>
      </c>
      <c r="W26" s="2"/>
      <c r="X26" s="7">
        <f t="shared" si="20"/>
        <v>839.57</v>
      </c>
      <c r="Y26" s="2"/>
      <c r="Z26" s="6">
        <f t="shared" si="21"/>
        <v>1.5644355830507213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36.56</v>
      </c>
      <c r="E27" s="2"/>
      <c r="F27" s="6">
        <f t="shared" si="14"/>
        <v>2.0191432006622964E-3</v>
      </c>
      <c r="G27" s="2"/>
      <c r="H27" s="7">
        <v>31.15</v>
      </c>
      <c r="I27" s="2"/>
      <c r="J27" s="6">
        <f t="shared" si="15"/>
        <v>0</v>
      </c>
      <c r="K27" s="2"/>
      <c r="L27" s="7">
        <f t="shared" si="16"/>
        <v>5.4100000000000037</v>
      </c>
      <c r="M27" s="2"/>
      <c r="N27" s="6">
        <f t="shared" si="17"/>
        <v>0.17367576243980751</v>
      </c>
      <c r="O27" s="11"/>
      <c r="P27" s="7">
        <v>36.56</v>
      </c>
      <c r="Q27" s="2"/>
      <c r="R27" s="6">
        <f t="shared" si="18"/>
        <v>2.0191432006622964E-3</v>
      </c>
      <c r="S27" s="2"/>
      <c r="T27" s="7">
        <v>31.15</v>
      </c>
      <c r="U27" s="2"/>
      <c r="V27" s="6">
        <f t="shared" si="19"/>
        <v>0</v>
      </c>
      <c r="W27" s="2"/>
      <c r="X27" s="7">
        <f t="shared" si="20"/>
        <v>5.4100000000000037</v>
      </c>
      <c r="Y27" s="2"/>
      <c r="Z27" s="6">
        <f t="shared" si="21"/>
        <v>0.17367576243980751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696.67</v>
      </c>
      <c r="E28" s="2"/>
      <c r="F28" s="6">
        <f t="shared" si="14"/>
        <v>3.8475834070169634E-2</v>
      </c>
      <c r="G28" s="2"/>
      <c r="H28" s="7">
        <v>816.86</v>
      </c>
      <c r="I28" s="2"/>
      <c r="J28" s="6">
        <f t="shared" si="15"/>
        <v>0</v>
      </c>
      <c r="K28" s="2"/>
      <c r="L28" s="7">
        <f t="shared" si="16"/>
        <v>-120.19000000000005</v>
      </c>
      <c r="M28" s="2"/>
      <c r="N28" s="6">
        <f t="shared" si="17"/>
        <v>-0.1471365962343609</v>
      </c>
      <c r="O28" s="11"/>
      <c r="P28" s="7">
        <v>696.67</v>
      </c>
      <c r="Q28" s="2"/>
      <c r="R28" s="6">
        <f t="shared" si="18"/>
        <v>3.8475834070169634E-2</v>
      </c>
      <c r="S28" s="2"/>
      <c r="T28" s="7">
        <v>816.86</v>
      </c>
      <c r="U28" s="2"/>
      <c r="V28" s="6">
        <f t="shared" si="19"/>
        <v>0</v>
      </c>
      <c r="W28" s="2"/>
      <c r="X28" s="7">
        <f t="shared" si="20"/>
        <v>-120.19000000000005</v>
      </c>
      <c r="Y28" s="2"/>
      <c r="Z28" s="6">
        <f t="shared" si="21"/>
        <v>-0.1471365962343609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384</v>
      </c>
      <c r="E29" s="2"/>
      <c r="F29" s="6">
        <f t="shared" si="14"/>
        <v>2.1207630991638998E-2</v>
      </c>
      <c r="G29" s="2"/>
      <c r="H29" s="7">
        <v>502.44</v>
      </c>
      <c r="I29" s="2"/>
      <c r="J29" s="6">
        <f t="shared" si="15"/>
        <v>0</v>
      </c>
      <c r="K29" s="2"/>
      <c r="L29" s="7">
        <f t="shared" si="16"/>
        <v>-118.44</v>
      </c>
      <c r="M29" s="2"/>
      <c r="N29" s="6">
        <f t="shared" si="17"/>
        <v>-0.23572963935992358</v>
      </c>
      <c r="O29" s="11"/>
      <c r="P29" s="7">
        <v>384</v>
      </c>
      <c r="Q29" s="2"/>
      <c r="R29" s="6">
        <f t="shared" si="18"/>
        <v>2.1207630991638998E-2</v>
      </c>
      <c r="S29" s="2"/>
      <c r="T29" s="7">
        <v>502.44</v>
      </c>
      <c r="U29" s="2"/>
      <c r="V29" s="6">
        <f t="shared" si="19"/>
        <v>0</v>
      </c>
      <c r="W29" s="2"/>
      <c r="X29" s="7">
        <f t="shared" si="20"/>
        <v>-118.44</v>
      </c>
      <c r="Y29" s="2"/>
      <c r="Z29" s="6">
        <f t="shared" si="21"/>
        <v>-0.23572963935992358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460.04</v>
      </c>
      <c r="E30" s="2"/>
      <c r="F30" s="6">
        <f t="shared" si="14"/>
        <v>2.540718375362918E-2</v>
      </c>
      <c r="G30" s="2"/>
      <c r="H30" s="7">
        <v>708.62</v>
      </c>
      <c r="I30" s="2"/>
      <c r="J30" s="6">
        <f t="shared" si="15"/>
        <v>0</v>
      </c>
      <c r="K30" s="2"/>
      <c r="L30" s="7">
        <f t="shared" si="16"/>
        <v>-248.57999999999998</v>
      </c>
      <c r="M30" s="2"/>
      <c r="N30" s="6">
        <f t="shared" si="17"/>
        <v>-0.35079450198978296</v>
      </c>
      <c r="O30" s="11"/>
      <c r="P30" s="7">
        <v>460.04</v>
      </c>
      <c r="Q30" s="2"/>
      <c r="R30" s="6">
        <f t="shared" si="18"/>
        <v>2.540718375362918E-2</v>
      </c>
      <c r="S30" s="2"/>
      <c r="T30" s="7">
        <v>708.62</v>
      </c>
      <c r="U30" s="2"/>
      <c r="V30" s="6">
        <f t="shared" si="19"/>
        <v>0</v>
      </c>
      <c r="W30" s="2"/>
      <c r="X30" s="7">
        <f t="shared" si="20"/>
        <v>-248.57999999999998</v>
      </c>
      <c r="Y30" s="2"/>
      <c r="Z30" s="6">
        <f t="shared" si="21"/>
        <v>-0.35079450198978296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283.56</v>
      </c>
      <c r="E31" s="2"/>
      <c r="F31" s="6">
        <f t="shared" si="14"/>
        <v>1.5660510010388425E-2</v>
      </c>
      <c r="G31" s="2"/>
      <c r="H31" s="7">
        <v>299.99</v>
      </c>
      <c r="I31" s="2"/>
      <c r="J31" s="6">
        <f t="shared" si="15"/>
        <v>0</v>
      </c>
      <c r="K31" s="2"/>
      <c r="L31" s="7">
        <f t="shared" si="16"/>
        <v>-16.430000000000007</v>
      </c>
      <c r="M31" s="2"/>
      <c r="N31" s="6">
        <f t="shared" si="17"/>
        <v>-5.4768492283076127E-2</v>
      </c>
      <c r="O31" s="11"/>
      <c r="P31" s="7">
        <v>283.56</v>
      </c>
      <c r="Q31" s="2"/>
      <c r="R31" s="6">
        <f t="shared" si="18"/>
        <v>1.5660510010388425E-2</v>
      </c>
      <c r="S31" s="2"/>
      <c r="T31" s="7">
        <v>299.99</v>
      </c>
      <c r="U31" s="2"/>
      <c r="V31" s="6">
        <f t="shared" si="19"/>
        <v>0</v>
      </c>
      <c r="W31" s="2"/>
      <c r="X31" s="7">
        <f t="shared" si="20"/>
        <v>-16.430000000000007</v>
      </c>
      <c r="Y31" s="2"/>
      <c r="Z31" s="6">
        <f t="shared" si="21"/>
        <v>-5.4768492283076127E-2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17070.34</v>
      </c>
      <c r="E32" s="1"/>
      <c r="F32" s="5">
        <f t="shared" ref="F32:F34" si="22">IF(D$12=0,0,D32/D$12)</f>
        <v>0.94276424901514289</v>
      </c>
      <c r="G32" s="1"/>
      <c r="H32" s="1">
        <f>SUM(OSRRefH22_1x_0)</f>
        <v>9364.8399999999983</v>
      </c>
      <c r="I32" s="1"/>
      <c r="J32" s="5">
        <f t="shared" ref="J32:J34" si="23">IF(H$12=0,0,H32/H$12)</f>
        <v>0</v>
      </c>
      <c r="K32" s="1"/>
      <c r="L32" s="1">
        <f t="shared" ref="L32:L34" si="24">+D32-H32</f>
        <v>7705.5000000000018</v>
      </c>
      <c r="M32" s="1"/>
      <c r="N32" s="5">
        <f t="shared" ref="N32:N34" si="25">IF(H32=0,0,L32/H32)</f>
        <v>0.8228117084755322</v>
      </c>
      <c r="O32" s="14"/>
      <c r="P32" s="1">
        <f>SUM(OSRRefP22_1x_0)</f>
        <v>17070.34</v>
      </c>
      <c r="Q32" s="1"/>
      <c r="R32" s="5">
        <f t="shared" ref="R32:R34" si="26">IF(P$12=0,0,P32/P$12)</f>
        <v>0.94276424901514289</v>
      </c>
      <c r="S32" s="1"/>
      <c r="T32" s="1">
        <f>SUM(OSRRefT22_1x_0)</f>
        <v>9364.8399999999983</v>
      </c>
      <c r="U32" s="1"/>
      <c r="V32" s="5">
        <f t="shared" ref="V32:V34" si="27">IF(T$12=0,0,T32/T$12)</f>
        <v>0</v>
      </c>
      <c r="W32" s="1"/>
      <c r="X32" s="1">
        <f t="shared" ref="X32:X34" si="28">+P32-T32</f>
        <v>7705.5000000000018</v>
      </c>
      <c r="Y32" s="1"/>
      <c r="Z32" s="5">
        <f t="shared" ref="Z32:Z34" si="29">IF(T32=0,0,X32/T32)</f>
        <v>0.8228117084755322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12259.34</v>
      </c>
      <c r="E33" s="2"/>
      <c r="F33" s="6">
        <f t="shared" si="22"/>
        <v>0.67706135135687406</v>
      </c>
      <c r="G33" s="2"/>
      <c r="H33" s="7">
        <v>9276.7099999999991</v>
      </c>
      <c r="I33" s="2"/>
      <c r="J33" s="6">
        <f t="shared" si="23"/>
        <v>0</v>
      </c>
      <c r="K33" s="2"/>
      <c r="L33" s="7">
        <f t="shared" si="24"/>
        <v>2982.630000000001</v>
      </c>
      <c r="M33" s="2"/>
      <c r="N33" s="6">
        <f t="shared" si="25"/>
        <v>0.3215180813025309</v>
      </c>
      <c r="O33" s="11"/>
      <c r="P33" s="7">
        <v>12259.34</v>
      </c>
      <c r="Q33" s="2"/>
      <c r="R33" s="6">
        <f t="shared" si="26"/>
        <v>0.67706135135687406</v>
      </c>
      <c r="S33" s="2"/>
      <c r="T33" s="7">
        <v>9276.7099999999991</v>
      </c>
      <c r="U33" s="2"/>
      <c r="V33" s="6">
        <f t="shared" si="27"/>
        <v>0</v>
      </c>
      <c r="W33" s="2"/>
      <c r="X33" s="7">
        <f t="shared" si="28"/>
        <v>2982.630000000001</v>
      </c>
      <c r="Y33" s="2"/>
      <c r="Z33" s="6">
        <f t="shared" si="29"/>
        <v>0.3215180813025309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4811</v>
      </c>
      <c r="E34" s="2"/>
      <c r="F34" s="6">
        <f t="shared" si="22"/>
        <v>0.26570289765826882</v>
      </c>
      <c r="G34" s="2"/>
      <c r="H34" s="7">
        <v>88.13</v>
      </c>
      <c r="I34" s="2"/>
      <c r="J34" s="6">
        <f t="shared" si="23"/>
        <v>0</v>
      </c>
      <c r="K34" s="2"/>
      <c r="L34" s="7">
        <f t="shared" si="24"/>
        <v>4722.87</v>
      </c>
      <c r="M34" s="2"/>
      <c r="N34" s="6">
        <f t="shared" si="25"/>
        <v>53.589810507205264</v>
      </c>
      <c r="O34" s="11"/>
      <c r="P34" s="7">
        <v>4811</v>
      </c>
      <c r="Q34" s="2"/>
      <c r="R34" s="6">
        <f t="shared" si="26"/>
        <v>0.26570289765826882</v>
      </c>
      <c r="S34" s="2"/>
      <c r="T34" s="7">
        <v>88.13</v>
      </c>
      <c r="U34" s="2"/>
      <c r="V34" s="6">
        <f t="shared" si="27"/>
        <v>0</v>
      </c>
      <c r="W34" s="2"/>
      <c r="X34" s="7">
        <f t="shared" si="28"/>
        <v>4722.87</v>
      </c>
      <c r="Y34" s="2"/>
      <c r="Z34" s="6">
        <f t="shared" si="29"/>
        <v>53.589810507205264</v>
      </c>
    </row>
    <row r="35" spans="1:26" s="28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63.52</v>
      </c>
      <c r="E35" s="1"/>
      <c r="F35" s="5">
        <f t="shared" ref="F35:F43" si="30">IF(D$12=0,0,D35/D$12)</f>
        <v>3.5080956265336181E-3</v>
      </c>
      <c r="G35" s="1"/>
      <c r="H35" s="1">
        <f>SUM(OSRRefH22_2x_0)</f>
        <v>240</v>
      </c>
      <c r="I35" s="1"/>
      <c r="J35" s="5">
        <f t="shared" ref="J35:J43" si="31">IF(H$12=0,0,H35/H$12)</f>
        <v>0</v>
      </c>
      <c r="K35" s="1"/>
      <c r="L35" s="1">
        <f t="shared" ref="L35:L43" si="32">+D35-H35</f>
        <v>-176.48</v>
      </c>
      <c r="M35" s="1"/>
      <c r="N35" s="5">
        <f t="shared" ref="N35:N43" si="33">IF(H35=0,0,L35/H35)</f>
        <v>-0.73533333333333328</v>
      </c>
      <c r="O35" s="14"/>
      <c r="P35" s="1">
        <f>SUM(OSRRefP22_2x_0)</f>
        <v>63.52</v>
      </c>
      <c r="Q35" s="1"/>
      <c r="R35" s="5">
        <f t="shared" ref="R35:R43" si="34">IF(P$12=0,0,P35/P$12)</f>
        <v>3.5080956265336181E-3</v>
      </c>
      <c r="S35" s="1"/>
      <c r="T35" s="1">
        <f>SUM(OSRRefT22_2x_0)</f>
        <v>240</v>
      </c>
      <c r="U35" s="1"/>
      <c r="V35" s="5">
        <f t="shared" ref="V35:V43" si="35">IF(T$12=0,0,T35/T$12)</f>
        <v>0</v>
      </c>
      <c r="W35" s="1"/>
      <c r="X35" s="1">
        <f t="shared" ref="X35:X43" si="36">+P35-T35</f>
        <v>-176.48</v>
      </c>
      <c r="Y35" s="1"/>
      <c r="Z35" s="5">
        <f t="shared" ref="Z35:Z43" si="37">IF(T35=0,0,X35/T35)</f>
        <v>-0.73533333333333328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>
        <v>63.52</v>
      </c>
      <c r="E36" s="2"/>
      <c r="F36" s="6">
        <f t="shared" si="30"/>
        <v>3.5080956265336181E-3</v>
      </c>
      <c r="G36" s="2"/>
      <c r="H36" s="7">
        <v>240</v>
      </c>
      <c r="I36" s="2"/>
      <c r="J36" s="6">
        <f t="shared" si="31"/>
        <v>0</v>
      </c>
      <c r="K36" s="2"/>
      <c r="L36" s="7">
        <f t="shared" si="32"/>
        <v>-176.48</v>
      </c>
      <c r="M36" s="2"/>
      <c r="N36" s="6">
        <f t="shared" si="33"/>
        <v>-0.73533333333333328</v>
      </c>
      <c r="O36" s="11"/>
      <c r="P36" s="7">
        <v>63.52</v>
      </c>
      <c r="Q36" s="2"/>
      <c r="R36" s="6">
        <f t="shared" si="34"/>
        <v>3.5080956265336181E-3</v>
      </c>
      <c r="S36" s="2"/>
      <c r="T36" s="7">
        <v>240</v>
      </c>
      <c r="U36" s="2"/>
      <c r="V36" s="6">
        <f t="shared" si="35"/>
        <v>0</v>
      </c>
      <c r="W36" s="2"/>
      <c r="X36" s="7">
        <f t="shared" si="36"/>
        <v>-176.48</v>
      </c>
      <c r="Y36" s="2"/>
      <c r="Z36" s="6">
        <f t="shared" si="37"/>
        <v>-0.73533333333333328</v>
      </c>
    </row>
    <row r="37" spans="1:26" s="28" customFormat="1" outlineLevel="1" collapsed="1" x14ac:dyDescent="0.25">
      <c r="A37" s="27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SUM(OSRRefD22_3x_0)</f>
        <v>-7.55</v>
      </c>
      <c r="E37" s="1"/>
      <c r="F37" s="5">
        <f t="shared" si="30"/>
        <v>-4.1697295309081888E-4</v>
      </c>
      <c r="G37" s="1"/>
      <c r="H37" s="1">
        <f>SUM(OSRRefH22_3x_0)</f>
        <v>0</v>
      </c>
      <c r="I37" s="1"/>
      <c r="J37" s="5">
        <f t="shared" si="31"/>
        <v>0</v>
      </c>
      <c r="K37" s="1"/>
      <c r="L37" s="1">
        <f t="shared" si="32"/>
        <v>-7.55</v>
      </c>
      <c r="M37" s="1"/>
      <c r="N37" s="5">
        <f t="shared" si="33"/>
        <v>0</v>
      </c>
      <c r="O37" s="14"/>
      <c r="P37" s="1">
        <f>SUM(OSRRefP22_3x_0)</f>
        <v>-7.55</v>
      </c>
      <c r="Q37" s="1"/>
      <c r="R37" s="5">
        <f t="shared" si="34"/>
        <v>-4.1697295309081888E-4</v>
      </c>
      <c r="S37" s="1"/>
      <c r="T37" s="1">
        <f>SUM(OSRRefT22_3x_0)</f>
        <v>0</v>
      </c>
      <c r="U37" s="1"/>
      <c r="V37" s="5">
        <f t="shared" si="35"/>
        <v>0</v>
      </c>
      <c r="W37" s="1"/>
      <c r="X37" s="1">
        <f t="shared" si="36"/>
        <v>-7.55</v>
      </c>
      <c r="Y37" s="1"/>
      <c r="Z37" s="5">
        <f t="shared" si="37"/>
        <v>0</v>
      </c>
    </row>
    <row r="38" spans="1:26" s="24" customFormat="1" hidden="1" outlineLevel="2" x14ac:dyDescent="0.25">
      <c r="A38" s="29"/>
      <c r="B38" s="11" t="str">
        <f>CONCATENATE("          ", "6272", " - ", "CASH (OVER/SHORT)")</f>
        <v xml:space="preserve">          6272 - CASH (OVER/SHORT)</v>
      </c>
      <c r="C38" s="11"/>
      <c r="D38" s="7">
        <v>-7.55</v>
      </c>
      <c r="E38" s="2"/>
      <c r="F38" s="6">
        <f t="shared" si="30"/>
        <v>-4.1697295309081888E-4</v>
      </c>
      <c r="G38" s="2"/>
      <c r="H38" s="7"/>
      <c r="I38" s="2"/>
      <c r="J38" s="6">
        <f t="shared" si="31"/>
        <v>0</v>
      </c>
      <c r="K38" s="2"/>
      <c r="L38" s="7">
        <f t="shared" si="32"/>
        <v>-7.55</v>
      </c>
      <c r="M38" s="2"/>
      <c r="N38" s="6">
        <f t="shared" si="33"/>
        <v>0</v>
      </c>
      <c r="O38" s="11"/>
      <c r="P38" s="7">
        <v>-7.55</v>
      </c>
      <c r="Q38" s="2"/>
      <c r="R38" s="6">
        <f t="shared" si="34"/>
        <v>-4.1697295309081888E-4</v>
      </c>
      <c r="S38" s="2"/>
      <c r="T38" s="7"/>
      <c r="U38" s="2"/>
      <c r="V38" s="6">
        <f t="shared" si="35"/>
        <v>0</v>
      </c>
      <c r="W38" s="2"/>
      <c r="X38" s="7">
        <f t="shared" si="36"/>
        <v>-7.55</v>
      </c>
      <c r="Y38" s="2"/>
      <c r="Z38" s="6">
        <f t="shared" si="37"/>
        <v>0</v>
      </c>
    </row>
    <row r="39" spans="1:26" s="28" customFormat="1" outlineLevel="1" collapsed="1" x14ac:dyDescent="0.25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SUM(OSRRefD22_4x_0)</f>
        <v>493.65</v>
      </c>
      <c r="E39" s="1"/>
      <c r="F39" s="5">
        <f t="shared" si="30"/>
        <v>2.7263403747454666E-2</v>
      </c>
      <c r="G39" s="1"/>
      <c r="H39" s="1">
        <f>SUM(OSRRefH22_4x_0)</f>
        <v>60.9</v>
      </c>
      <c r="I39" s="1"/>
      <c r="J39" s="5">
        <f t="shared" si="31"/>
        <v>0</v>
      </c>
      <c r="K39" s="1"/>
      <c r="L39" s="1">
        <f t="shared" si="32"/>
        <v>432.75</v>
      </c>
      <c r="M39" s="1"/>
      <c r="N39" s="5">
        <f t="shared" si="33"/>
        <v>7.1059113300492616</v>
      </c>
      <c r="O39" s="14"/>
      <c r="P39" s="1">
        <f>SUM(OSRRefP22_4x_0)</f>
        <v>493.65</v>
      </c>
      <c r="Q39" s="1"/>
      <c r="R39" s="5">
        <f t="shared" si="34"/>
        <v>2.7263403747454666E-2</v>
      </c>
      <c r="S39" s="1"/>
      <c r="T39" s="1">
        <f>SUM(OSRRefT22_4x_0)</f>
        <v>60.9</v>
      </c>
      <c r="U39" s="1"/>
      <c r="V39" s="5">
        <f t="shared" si="35"/>
        <v>0</v>
      </c>
      <c r="W39" s="1"/>
      <c r="X39" s="1">
        <f t="shared" si="36"/>
        <v>432.75</v>
      </c>
      <c r="Y39" s="1"/>
      <c r="Z39" s="5">
        <f t="shared" si="37"/>
        <v>7.1059113300492616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7">
        <v>493.65</v>
      </c>
      <c r="E40" s="2"/>
      <c r="F40" s="6">
        <f t="shared" si="30"/>
        <v>2.7263403747454666E-2</v>
      </c>
      <c r="G40" s="2"/>
      <c r="H40" s="7">
        <v>60.9</v>
      </c>
      <c r="I40" s="2"/>
      <c r="J40" s="6">
        <f t="shared" si="31"/>
        <v>0</v>
      </c>
      <c r="K40" s="2"/>
      <c r="L40" s="7">
        <f t="shared" si="32"/>
        <v>432.75</v>
      </c>
      <c r="M40" s="2"/>
      <c r="N40" s="6">
        <f t="shared" si="33"/>
        <v>7.1059113300492616</v>
      </c>
      <c r="O40" s="11"/>
      <c r="P40" s="7">
        <v>493.65</v>
      </c>
      <c r="Q40" s="2"/>
      <c r="R40" s="6">
        <f t="shared" si="34"/>
        <v>2.7263403747454666E-2</v>
      </c>
      <c r="S40" s="2"/>
      <c r="T40" s="7">
        <v>60.9</v>
      </c>
      <c r="U40" s="2"/>
      <c r="V40" s="6">
        <f t="shared" si="35"/>
        <v>0</v>
      </c>
      <c r="W40" s="2"/>
      <c r="X40" s="7">
        <f t="shared" si="36"/>
        <v>432.75</v>
      </c>
      <c r="Y40" s="2"/>
      <c r="Z40" s="6">
        <f t="shared" si="37"/>
        <v>7.1059113300492616</v>
      </c>
    </row>
    <row r="41" spans="1:26" s="28" customFormat="1" outlineLevel="1" collapsed="1" x14ac:dyDescent="0.25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SUM(OSRRefD22_5x_0)</f>
        <v>5612.57</v>
      </c>
      <c r="E41" s="1"/>
      <c r="F41" s="5">
        <f t="shared" si="30"/>
        <v>0.30997217050714398</v>
      </c>
      <c r="G41" s="1"/>
      <c r="H41" s="1">
        <f>SUM(OSRRefH22_5x_0)</f>
        <v>1313</v>
      </c>
      <c r="I41" s="1"/>
      <c r="J41" s="5">
        <f t="shared" si="31"/>
        <v>0</v>
      </c>
      <c r="K41" s="1"/>
      <c r="L41" s="1">
        <f t="shared" si="32"/>
        <v>4299.57</v>
      </c>
      <c r="M41" s="1"/>
      <c r="N41" s="5">
        <f t="shared" si="33"/>
        <v>3.2746153846153843</v>
      </c>
      <c r="O41" s="14"/>
      <c r="P41" s="1">
        <f>SUM(OSRRefP22_5x_0)</f>
        <v>5612.57</v>
      </c>
      <c r="Q41" s="1"/>
      <c r="R41" s="5">
        <f t="shared" si="34"/>
        <v>0.30997217050714398</v>
      </c>
      <c r="S41" s="1"/>
      <c r="T41" s="1">
        <f>SUM(OSRRefT22_5x_0)</f>
        <v>1313</v>
      </c>
      <c r="U41" s="1"/>
      <c r="V41" s="5">
        <f t="shared" si="35"/>
        <v>0</v>
      </c>
      <c r="W41" s="1"/>
      <c r="X41" s="1">
        <f t="shared" si="36"/>
        <v>4299.57</v>
      </c>
      <c r="Y41" s="1"/>
      <c r="Z41" s="5">
        <f t="shared" si="37"/>
        <v>3.2746153846153843</v>
      </c>
    </row>
    <row r="42" spans="1:26" s="24" customFormat="1" hidden="1" outlineLevel="2" x14ac:dyDescent="0.25">
      <c r="A42" s="29"/>
      <c r="B42" s="11" t="str">
        <f>CONCATENATE("          ", "6321", " - ", "BUILDING DEPRECIATION")</f>
        <v xml:space="preserve">          6321 - BUILDING DEPRECIATION</v>
      </c>
      <c r="C42" s="11"/>
      <c r="D42" s="7">
        <v>4626.5</v>
      </c>
      <c r="E42" s="2"/>
      <c r="F42" s="6">
        <f t="shared" si="30"/>
        <v>0.25551329370525477</v>
      </c>
      <c r="G42" s="2"/>
      <c r="H42" s="7">
        <v>326.93</v>
      </c>
      <c r="I42" s="2"/>
      <c r="J42" s="6">
        <f t="shared" si="31"/>
        <v>0</v>
      </c>
      <c r="K42" s="2"/>
      <c r="L42" s="7">
        <f t="shared" si="32"/>
        <v>4299.57</v>
      </c>
      <c r="M42" s="2"/>
      <c r="N42" s="6">
        <f t="shared" si="33"/>
        <v>13.151347383231883</v>
      </c>
      <c r="O42" s="11"/>
      <c r="P42" s="7">
        <v>4626.5</v>
      </c>
      <c r="Q42" s="2"/>
      <c r="R42" s="6">
        <f t="shared" si="34"/>
        <v>0.25551329370525477</v>
      </c>
      <c r="S42" s="2"/>
      <c r="T42" s="7">
        <v>326.93</v>
      </c>
      <c r="U42" s="2"/>
      <c r="V42" s="6">
        <f t="shared" si="35"/>
        <v>0</v>
      </c>
      <c r="W42" s="2"/>
      <c r="X42" s="7">
        <f t="shared" si="36"/>
        <v>4299.57</v>
      </c>
      <c r="Y42" s="2"/>
      <c r="Z42" s="6">
        <f t="shared" si="37"/>
        <v>13.151347383231883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986.07</v>
      </c>
      <c r="E43" s="2"/>
      <c r="F43" s="6">
        <f t="shared" si="30"/>
        <v>5.4458876801889239E-2</v>
      </c>
      <c r="G43" s="2"/>
      <c r="H43" s="7">
        <v>986.07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>
        <v>986.07</v>
      </c>
      <c r="Q43" s="2"/>
      <c r="R43" s="6">
        <f t="shared" si="34"/>
        <v>5.4458876801889239E-2</v>
      </c>
      <c r="S43" s="2"/>
      <c r="T43" s="7">
        <v>986.07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8" customFormat="1" outlineLevel="1" collapsed="1" x14ac:dyDescent="0.25">
      <c r="A44" s="27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SUM(OSRRefD22_6x_0)</f>
        <v>408.65</v>
      </c>
      <c r="E44" s="1"/>
      <c r="F44" s="5">
        <f t="shared" ref="F44:F52" si="38">IF(D$12=0,0,D44/D$12)</f>
        <v>2.256900626232624E-2</v>
      </c>
      <c r="G44" s="1"/>
      <c r="H44" s="1">
        <f>SUM(OSRRefH22_6x_0)</f>
        <v>118.91</v>
      </c>
      <c r="I44" s="1"/>
      <c r="J44" s="5">
        <f t="shared" ref="J44:J52" si="39">IF(H$12=0,0,H44/H$12)</f>
        <v>0</v>
      </c>
      <c r="K44" s="1"/>
      <c r="L44" s="1">
        <f t="shared" ref="L44:L52" si="40">+D44-H44</f>
        <v>289.74</v>
      </c>
      <c r="M44" s="1"/>
      <c r="N44" s="5">
        <f t="shared" ref="N44:N52" si="41">IF(H44=0,0,L44/H44)</f>
        <v>2.4366327474560592</v>
      </c>
      <c r="O44" s="14"/>
      <c r="P44" s="1">
        <f>SUM(OSRRefP22_6x_0)</f>
        <v>408.65</v>
      </c>
      <c r="Q44" s="1"/>
      <c r="R44" s="5">
        <f t="shared" ref="R44:R52" si="42">IF(P$12=0,0,P44/P$12)</f>
        <v>2.256900626232624E-2</v>
      </c>
      <c r="S44" s="1"/>
      <c r="T44" s="1">
        <f>SUM(OSRRefT22_6x_0)</f>
        <v>118.91</v>
      </c>
      <c r="U44" s="1"/>
      <c r="V44" s="5">
        <f t="shared" ref="V44:V52" si="43">IF(T$12=0,0,T44/T$12)</f>
        <v>0</v>
      </c>
      <c r="W44" s="1"/>
      <c r="X44" s="1">
        <f t="shared" ref="X44:X52" si="44">+P44-T44</f>
        <v>289.74</v>
      </c>
      <c r="Y44" s="1"/>
      <c r="Z44" s="5">
        <f t="shared" ref="Z44:Z52" si="45">IF(T44=0,0,X44/T44)</f>
        <v>2.4366327474560592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7">
        <v>408.65</v>
      </c>
      <c r="E45" s="2"/>
      <c r="F45" s="6">
        <f t="shared" si="38"/>
        <v>2.256900626232624E-2</v>
      </c>
      <c r="G45" s="2"/>
      <c r="H45" s="7">
        <v>118.91</v>
      </c>
      <c r="I45" s="2"/>
      <c r="J45" s="6">
        <f t="shared" si="39"/>
        <v>0</v>
      </c>
      <c r="K45" s="2"/>
      <c r="L45" s="7">
        <f t="shared" si="40"/>
        <v>289.74</v>
      </c>
      <c r="M45" s="2"/>
      <c r="N45" s="6">
        <f t="shared" si="41"/>
        <v>2.4366327474560592</v>
      </c>
      <c r="O45" s="11"/>
      <c r="P45" s="7">
        <v>408.65</v>
      </c>
      <c r="Q45" s="2"/>
      <c r="R45" s="6">
        <f t="shared" si="42"/>
        <v>2.256900626232624E-2</v>
      </c>
      <c r="S45" s="2"/>
      <c r="T45" s="7">
        <v>118.91</v>
      </c>
      <c r="U45" s="2"/>
      <c r="V45" s="6">
        <f t="shared" si="43"/>
        <v>0</v>
      </c>
      <c r="W45" s="2"/>
      <c r="X45" s="7">
        <f t="shared" si="44"/>
        <v>289.74</v>
      </c>
      <c r="Y45" s="2"/>
      <c r="Z45" s="6">
        <f t="shared" si="45"/>
        <v>2.4366327474560592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SUM(OSRRefD22_7x_0)</f>
        <v>1777.99</v>
      </c>
      <c r="E46" s="1"/>
      <c r="F46" s="5">
        <f t="shared" si="38"/>
        <v>9.8195197465688083E-2</v>
      </c>
      <c r="G46" s="1"/>
      <c r="H46" s="1">
        <f>SUM(OSRRefH22_7x_0)</f>
        <v>1034.2</v>
      </c>
      <c r="I46" s="1"/>
      <c r="J46" s="5">
        <f t="shared" si="39"/>
        <v>0</v>
      </c>
      <c r="K46" s="1"/>
      <c r="L46" s="1">
        <f t="shared" si="40"/>
        <v>743.79</v>
      </c>
      <c r="M46" s="1"/>
      <c r="N46" s="5">
        <f t="shared" si="41"/>
        <v>0.71919357957841801</v>
      </c>
      <c r="O46" s="14"/>
      <c r="P46" s="1">
        <f>SUM(OSRRefP22_7x_0)</f>
        <v>1777.99</v>
      </c>
      <c r="Q46" s="1"/>
      <c r="R46" s="5">
        <f t="shared" si="42"/>
        <v>9.8195197465688083E-2</v>
      </c>
      <c r="S46" s="1"/>
      <c r="T46" s="1">
        <f>SUM(OSRRefT22_7x_0)</f>
        <v>1034.2</v>
      </c>
      <c r="U46" s="1"/>
      <c r="V46" s="5">
        <f t="shared" si="43"/>
        <v>0</v>
      </c>
      <c r="W46" s="1"/>
      <c r="X46" s="1">
        <f t="shared" si="44"/>
        <v>743.79</v>
      </c>
      <c r="Y46" s="1"/>
      <c r="Z46" s="5">
        <f t="shared" si="45"/>
        <v>0.71919357957841801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1777.99</v>
      </c>
      <c r="E47" s="2"/>
      <c r="F47" s="6">
        <f t="shared" si="38"/>
        <v>9.8195197465688083E-2</v>
      </c>
      <c r="G47" s="2"/>
      <c r="H47" s="7">
        <v>1034.2</v>
      </c>
      <c r="I47" s="2"/>
      <c r="J47" s="6">
        <f t="shared" si="39"/>
        <v>0</v>
      </c>
      <c r="K47" s="2"/>
      <c r="L47" s="7">
        <f t="shared" si="40"/>
        <v>743.79</v>
      </c>
      <c r="M47" s="2"/>
      <c r="N47" s="6">
        <f t="shared" si="41"/>
        <v>0.71919357957841801</v>
      </c>
      <c r="O47" s="11"/>
      <c r="P47" s="7">
        <v>1777.99</v>
      </c>
      <c r="Q47" s="2"/>
      <c r="R47" s="6">
        <f t="shared" si="42"/>
        <v>9.8195197465688083E-2</v>
      </c>
      <c r="S47" s="2"/>
      <c r="T47" s="7">
        <v>1034.2</v>
      </c>
      <c r="U47" s="2"/>
      <c r="V47" s="6">
        <f t="shared" si="43"/>
        <v>0</v>
      </c>
      <c r="W47" s="2"/>
      <c r="X47" s="7">
        <f t="shared" si="44"/>
        <v>743.79</v>
      </c>
      <c r="Y47" s="2"/>
      <c r="Z47" s="6">
        <f t="shared" si="45"/>
        <v>0.71919357957841801</v>
      </c>
    </row>
    <row r="48" spans="1:26" s="28" customFormat="1" outlineLevel="1" collapsed="1" x14ac:dyDescent="0.25">
      <c r="A48" s="27"/>
      <c r="B48" s="14" t="str">
        <f>CONCATENATE("     ","Rent                                              ")</f>
        <v xml:space="preserve">     Rent                                              </v>
      </c>
      <c r="C48" s="14"/>
      <c r="D48" s="1">
        <f>SUM(OSRRefD22_8x_0)</f>
        <v>1850</v>
      </c>
      <c r="E48" s="1"/>
      <c r="F48" s="5">
        <f t="shared" si="38"/>
        <v>0.10217218055867747</v>
      </c>
      <c r="G48" s="1"/>
      <c r="H48" s="1">
        <f>SUM(OSRRefH22_8x_0)</f>
        <v>1850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SUM(OSRRefP22_8x_0)</f>
        <v>1850</v>
      </c>
      <c r="Q48" s="1"/>
      <c r="R48" s="5">
        <f t="shared" si="42"/>
        <v>0.10217218055867747</v>
      </c>
      <c r="S48" s="1"/>
      <c r="T48" s="1">
        <f>SUM(OSRRefT22_8x_0)</f>
        <v>1850</v>
      </c>
      <c r="U48" s="1"/>
      <c r="V48" s="5">
        <f t="shared" si="43"/>
        <v>0</v>
      </c>
      <c r="W48" s="1"/>
      <c r="X48" s="1">
        <f t="shared" si="44"/>
        <v>0</v>
      </c>
      <c r="Y48" s="1"/>
      <c r="Z48" s="5">
        <f t="shared" si="45"/>
        <v>0</v>
      </c>
    </row>
    <row r="49" spans="1:26" s="24" customFormat="1" hidden="1" outlineLevel="2" x14ac:dyDescent="0.25">
      <c r="A49" s="29"/>
      <c r="B49" s="11" t="str">
        <f>CONCATENATE("          ", "6273", " - ", "RENT")</f>
        <v xml:space="preserve">          6273 - RENT</v>
      </c>
      <c r="C49" s="11"/>
      <c r="D49" s="7">
        <v>1850</v>
      </c>
      <c r="E49" s="2"/>
      <c r="F49" s="6">
        <f t="shared" si="38"/>
        <v>0.10217218055867747</v>
      </c>
      <c r="G49" s="2"/>
      <c r="H49" s="7">
        <v>1850</v>
      </c>
      <c r="I49" s="2"/>
      <c r="J49" s="6">
        <f t="shared" si="39"/>
        <v>0</v>
      </c>
      <c r="K49" s="2"/>
      <c r="L49" s="7">
        <f t="shared" si="40"/>
        <v>0</v>
      </c>
      <c r="M49" s="2"/>
      <c r="N49" s="6">
        <f t="shared" si="41"/>
        <v>0</v>
      </c>
      <c r="O49" s="11"/>
      <c r="P49" s="7">
        <v>1850</v>
      </c>
      <c r="Q49" s="2"/>
      <c r="R49" s="6">
        <f t="shared" si="42"/>
        <v>0.10217218055867747</v>
      </c>
      <c r="S49" s="2"/>
      <c r="T49" s="7">
        <v>1850</v>
      </c>
      <c r="U49" s="2"/>
      <c r="V49" s="6">
        <f t="shared" si="43"/>
        <v>0</v>
      </c>
      <c r="W49" s="2"/>
      <c r="X49" s="7">
        <f t="shared" si="44"/>
        <v>0</v>
      </c>
      <c r="Y49" s="2"/>
      <c r="Z49" s="6">
        <f t="shared" si="45"/>
        <v>0</v>
      </c>
    </row>
    <row r="50" spans="1:26" s="28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SUM(OSRRefD22_9x_0)</f>
        <v>2763.25</v>
      </c>
      <c r="E50" s="1"/>
      <c r="F50" s="5">
        <f t="shared" si="38"/>
        <v>0.15260933942095434</v>
      </c>
      <c r="G50" s="1"/>
      <c r="H50" s="1">
        <f>SUM(OSRRefH22_9x_0)</f>
        <v>1799</v>
      </c>
      <c r="I50" s="1"/>
      <c r="J50" s="5">
        <f t="shared" si="39"/>
        <v>0</v>
      </c>
      <c r="K50" s="1"/>
      <c r="L50" s="1">
        <f t="shared" si="40"/>
        <v>964.25</v>
      </c>
      <c r="M50" s="1"/>
      <c r="N50" s="5">
        <f t="shared" si="41"/>
        <v>0.53599221789883267</v>
      </c>
      <c r="O50" s="14"/>
      <c r="P50" s="1">
        <f>SUM(OSRRefP22_9x_0)</f>
        <v>2763.25</v>
      </c>
      <c r="Q50" s="1"/>
      <c r="R50" s="5">
        <f t="shared" si="42"/>
        <v>0.15260933942095434</v>
      </c>
      <c r="S50" s="1"/>
      <c r="T50" s="1">
        <f>SUM(OSRRefT22_9x_0)</f>
        <v>1799</v>
      </c>
      <c r="U50" s="1"/>
      <c r="V50" s="5">
        <f t="shared" si="43"/>
        <v>0</v>
      </c>
      <c r="W50" s="1"/>
      <c r="X50" s="1">
        <f t="shared" si="44"/>
        <v>964.25</v>
      </c>
      <c r="Y50" s="1"/>
      <c r="Z50" s="5">
        <f t="shared" si="45"/>
        <v>0.53599221789883267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7">
        <v>1000</v>
      </c>
      <c r="E51" s="2"/>
      <c r="F51" s="6">
        <f t="shared" si="38"/>
        <v>5.522820570739323E-2</v>
      </c>
      <c r="G51" s="2"/>
      <c r="H51" s="7">
        <v>1799</v>
      </c>
      <c r="I51" s="2"/>
      <c r="J51" s="6">
        <f t="shared" si="39"/>
        <v>0</v>
      </c>
      <c r="K51" s="2"/>
      <c r="L51" s="7">
        <f t="shared" si="40"/>
        <v>-799</v>
      </c>
      <c r="M51" s="2"/>
      <c r="N51" s="6">
        <f t="shared" si="41"/>
        <v>-0.4441356309060589</v>
      </c>
      <c r="O51" s="11"/>
      <c r="P51" s="7">
        <v>1000</v>
      </c>
      <c r="Q51" s="2"/>
      <c r="R51" s="6">
        <f t="shared" si="42"/>
        <v>5.522820570739323E-2</v>
      </c>
      <c r="S51" s="2"/>
      <c r="T51" s="7">
        <v>1799</v>
      </c>
      <c r="U51" s="2"/>
      <c r="V51" s="6">
        <f t="shared" si="43"/>
        <v>0</v>
      </c>
      <c r="W51" s="2"/>
      <c r="X51" s="7">
        <f t="shared" si="44"/>
        <v>-799</v>
      </c>
      <c r="Y51" s="2"/>
      <c r="Z51" s="6">
        <f t="shared" si="45"/>
        <v>-0.4441356309060589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1763.25</v>
      </c>
      <c r="E52" s="2"/>
      <c r="F52" s="6">
        <f t="shared" si="38"/>
        <v>9.7381133713561108E-2</v>
      </c>
      <c r="G52" s="2"/>
      <c r="H52" s="7"/>
      <c r="I52" s="2"/>
      <c r="J52" s="6">
        <f t="shared" si="39"/>
        <v>0</v>
      </c>
      <c r="K52" s="2"/>
      <c r="L52" s="7">
        <f t="shared" si="40"/>
        <v>1763.25</v>
      </c>
      <c r="M52" s="2"/>
      <c r="N52" s="6">
        <f t="shared" si="41"/>
        <v>0</v>
      </c>
      <c r="O52" s="11"/>
      <c r="P52" s="7">
        <v>1763.25</v>
      </c>
      <c r="Q52" s="2"/>
      <c r="R52" s="6">
        <f t="shared" si="42"/>
        <v>9.7381133713561108E-2</v>
      </c>
      <c r="S52" s="2"/>
      <c r="T52" s="7"/>
      <c r="U52" s="2"/>
      <c r="V52" s="6">
        <f t="shared" si="43"/>
        <v>0</v>
      </c>
      <c r="W52" s="2"/>
      <c r="X52" s="7">
        <f t="shared" si="44"/>
        <v>1763.25</v>
      </c>
      <c r="Y52" s="2"/>
      <c r="Z52" s="6">
        <f t="shared" si="45"/>
        <v>0</v>
      </c>
    </row>
    <row r="53" spans="1:26" s="28" customFormat="1" outlineLevel="1" collapsed="1" x14ac:dyDescent="0.25">
      <c r="A53" s="27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SUM(OSRRefD22_10x_0)</f>
        <v>1448.56</v>
      </c>
      <c r="E53" s="1"/>
      <c r="F53" s="5">
        <f t="shared" ref="F53:F58" si="46">IF(D$12=0,0,D53/D$12)</f>
        <v>8.0001369659501526E-2</v>
      </c>
      <c r="G53" s="1"/>
      <c r="H53" s="1">
        <f>SUM(OSRRefH22_10x_0)</f>
        <v>0</v>
      </c>
      <c r="I53" s="1"/>
      <c r="J53" s="5">
        <f t="shared" ref="J53:J58" si="47">IF(H$12=0,0,H53/H$12)</f>
        <v>0</v>
      </c>
      <c r="K53" s="1"/>
      <c r="L53" s="1">
        <f t="shared" ref="L53:L58" si="48">+D53-H53</f>
        <v>1448.56</v>
      </c>
      <c r="M53" s="1"/>
      <c r="N53" s="5">
        <f t="shared" ref="N53:N58" si="49">IF(H53=0,0,L53/H53)</f>
        <v>0</v>
      </c>
      <c r="O53" s="14"/>
      <c r="P53" s="1">
        <f>SUM(OSRRefP22_10x_0)</f>
        <v>1448.56</v>
      </c>
      <c r="Q53" s="1"/>
      <c r="R53" s="5">
        <f t="shared" ref="R53:R58" si="50">IF(P$12=0,0,P53/P$12)</f>
        <v>8.0001369659501526E-2</v>
      </c>
      <c r="S53" s="1"/>
      <c r="T53" s="1">
        <f>SUM(OSRRefT22_10x_0)</f>
        <v>0</v>
      </c>
      <c r="U53" s="1"/>
      <c r="V53" s="5">
        <f t="shared" ref="V53:V58" si="51">IF(T$12=0,0,T53/T$12)</f>
        <v>0</v>
      </c>
      <c r="W53" s="1"/>
      <c r="X53" s="1">
        <f t="shared" ref="X53:X58" si="52">+P53-T53</f>
        <v>1448.56</v>
      </c>
      <c r="Y53" s="1"/>
      <c r="Z53" s="5">
        <f t="shared" ref="Z53:Z58" si="53">IF(T53=0,0,X53/T53)</f>
        <v>0</v>
      </c>
    </row>
    <row r="54" spans="1:26" s="24" customFormat="1" hidden="1" outlineLevel="2" x14ac:dyDescent="0.25">
      <c r="A54" s="29"/>
      <c r="B54" s="11" t="str">
        <f>CONCATENATE("          ", "6259", " - ", "ROYALTY &amp; COMMISSIONS")</f>
        <v xml:space="preserve">          6259 - ROYALTY &amp; COMMISSIONS</v>
      </c>
      <c r="C54" s="11"/>
      <c r="D54" s="7">
        <v>1448.56</v>
      </c>
      <c r="E54" s="2"/>
      <c r="F54" s="6">
        <f t="shared" si="46"/>
        <v>8.0001369659501526E-2</v>
      </c>
      <c r="G54" s="2"/>
      <c r="H54" s="7"/>
      <c r="I54" s="2"/>
      <c r="J54" s="6">
        <f t="shared" si="47"/>
        <v>0</v>
      </c>
      <c r="K54" s="2"/>
      <c r="L54" s="7">
        <f t="shared" si="48"/>
        <v>1448.56</v>
      </c>
      <c r="M54" s="2"/>
      <c r="N54" s="6">
        <f t="shared" si="49"/>
        <v>0</v>
      </c>
      <c r="O54" s="11"/>
      <c r="P54" s="7">
        <v>1448.56</v>
      </c>
      <c r="Q54" s="2"/>
      <c r="R54" s="6">
        <f t="shared" si="50"/>
        <v>8.0001369659501526E-2</v>
      </c>
      <c r="S54" s="2"/>
      <c r="T54" s="7"/>
      <c r="U54" s="2"/>
      <c r="V54" s="6">
        <f t="shared" si="51"/>
        <v>0</v>
      </c>
      <c r="W54" s="2"/>
      <c r="X54" s="7">
        <f t="shared" si="52"/>
        <v>1448.56</v>
      </c>
      <c r="Y54" s="2"/>
      <c r="Z54" s="6">
        <f t="shared" si="53"/>
        <v>0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SUM(OSRRefD22_11x_0)</f>
        <v>402.96999999999997</v>
      </c>
      <c r="E55" s="1"/>
      <c r="F55" s="5">
        <f t="shared" si="46"/>
        <v>2.2255310053908246E-2</v>
      </c>
      <c r="G55" s="1"/>
      <c r="H55" s="1">
        <f>SUM(OSRRefH22_11x_0)</f>
        <v>71</v>
      </c>
      <c r="I55" s="1"/>
      <c r="J55" s="5">
        <f t="shared" si="47"/>
        <v>0</v>
      </c>
      <c r="K55" s="1"/>
      <c r="L55" s="1">
        <f t="shared" si="48"/>
        <v>331.96999999999997</v>
      </c>
      <c r="M55" s="1"/>
      <c r="N55" s="5">
        <f t="shared" si="49"/>
        <v>4.6756338028169013</v>
      </c>
      <c r="O55" s="14"/>
      <c r="P55" s="1">
        <f>SUM(OSRRefP22_11x_0)</f>
        <v>402.96999999999997</v>
      </c>
      <c r="Q55" s="1"/>
      <c r="R55" s="5">
        <f t="shared" si="50"/>
        <v>2.2255310053908246E-2</v>
      </c>
      <c r="S55" s="1"/>
      <c r="T55" s="1">
        <f>SUM(OSRRefT22_11x_0)</f>
        <v>71</v>
      </c>
      <c r="U55" s="1"/>
      <c r="V55" s="5">
        <f t="shared" si="51"/>
        <v>0</v>
      </c>
      <c r="W55" s="1"/>
      <c r="X55" s="1">
        <f t="shared" si="52"/>
        <v>331.96999999999997</v>
      </c>
      <c r="Y55" s="1"/>
      <c r="Z55" s="5">
        <f t="shared" si="53"/>
        <v>4.6756338028169013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7">
        <v>96.96</v>
      </c>
      <c r="E56" s="2"/>
      <c r="F56" s="6">
        <f t="shared" si="46"/>
        <v>5.354926825388847E-3</v>
      </c>
      <c r="G56" s="2"/>
      <c r="H56" s="7"/>
      <c r="I56" s="2"/>
      <c r="J56" s="6">
        <f t="shared" si="47"/>
        <v>0</v>
      </c>
      <c r="K56" s="2"/>
      <c r="L56" s="7">
        <f t="shared" si="48"/>
        <v>96.96</v>
      </c>
      <c r="M56" s="2"/>
      <c r="N56" s="6">
        <f t="shared" si="49"/>
        <v>0</v>
      </c>
      <c r="O56" s="11"/>
      <c r="P56" s="7">
        <v>96.96</v>
      </c>
      <c r="Q56" s="2"/>
      <c r="R56" s="6">
        <f t="shared" si="50"/>
        <v>5.354926825388847E-3</v>
      </c>
      <c r="S56" s="2"/>
      <c r="T56" s="7"/>
      <c r="U56" s="2"/>
      <c r="V56" s="6">
        <f t="shared" si="51"/>
        <v>0</v>
      </c>
      <c r="W56" s="2"/>
      <c r="X56" s="7">
        <f t="shared" si="52"/>
        <v>96.96</v>
      </c>
      <c r="Y56" s="2"/>
      <c r="Z56" s="6">
        <f t="shared" si="53"/>
        <v>0</v>
      </c>
    </row>
    <row r="57" spans="1:26" s="24" customFormat="1" hidden="1" outlineLevel="2" x14ac:dyDescent="0.25">
      <c r="A57" s="29"/>
      <c r="B57" s="11" t="str">
        <f>CONCATENATE("          ", "6284", " - ", "TRASH REMOVAL EXPENSE")</f>
        <v xml:space="preserve">          6284 - TRASH REMOVAL EXPENSE</v>
      </c>
      <c r="C57" s="11"/>
      <c r="D57" s="7">
        <v>94</v>
      </c>
      <c r="E57" s="2"/>
      <c r="F57" s="6">
        <f t="shared" si="46"/>
        <v>5.1914513364949635E-3</v>
      </c>
      <c r="G57" s="2"/>
      <c r="H57" s="7">
        <v>71</v>
      </c>
      <c r="I57" s="2"/>
      <c r="J57" s="6">
        <f t="shared" si="47"/>
        <v>0</v>
      </c>
      <c r="K57" s="2"/>
      <c r="L57" s="7">
        <f t="shared" si="48"/>
        <v>23</v>
      </c>
      <c r="M57" s="2"/>
      <c r="N57" s="6">
        <f t="shared" si="49"/>
        <v>0.323943661971831</v>
      </c>
      <c r="O57" s="11"/>
      <c r="P57" s="7">
        <v>94</v>
      </c>
      <c r="Q57" s="2"/>
      <c r="R57" s="6">
        <f t="shared" si="50"/>
        <v>5.1914513364949635E-3</v>
      </c>
      <c r="S57" s="2"/>
      <c r="T57" s="7">
        <v>71</v>
      </c>
      <c r="U57" s="2"/>
      <c r="V57" s="6">
        <f t="shared" si="51"/>
        <v>0</v>
      </c>
      <c r="W57" s="2"/>
      <c r="X57" s="7">
        <f t="shared" si="52"/>
        <v>23</v>
      </c>
      <c r="Y57" s="2"/>
      <c r="Z57" s="6">
        <f t="shared" si="53"/>
        <v>0.323943661971831</v>
      </c>
    </row>
    <row r="58" spans="1:26" s="24" customFormat="1" hidden="1" outlineLevel="2" x14ac:dyDescent="0.25">
      <c r="A58" s="29"/>
      <c r="B58" s="11" t="str">
        <f>CONCATENATE("          ", "6286", " - ", "LAUNDRY EXPENSE")</f>
        <v xml:space="preserve">          6286 - LAUNDRY EXPENSE</v>
      </c>
      <c r="C58" s="11"/>
      <c r="D58" s="7">
        <v>212.01</v>
      </c>
      <c r="E58" s="2"/>
      <c r="F58" s="6">
        <f t="shared" si="46"/>
        <v>1.1708931892024438E-2</v>
      </c>
      <c r="G58" s="2"/>
      <c r="H58" s="7"/>
      <c r="I58" s="2"/>
      <c r="J58" s="6">
        <f t="shared" si="47"/>
        <v>0</v>
      </c>
      <c r="K58" s="2"/>
      <c r="L58" s="7">
        <f t="shared" si="48"/>
        <v>212.01</v>
      </c>
      <c r="M58" s="2"/>
      <c r="N58" s="6">
        <f t="shared" si="49"/>
        <v>0</v>
      </c>
      <c r="O58" s="11"/>
      <c r="P58" s="7">
        <v>212.01</v>
      </c>
      <c r="Q58" s="2"/>
      <c r="R58" s="6">
        <f t="shared" si="50"/>
        <v>1.1708931892024438E-2</v>
      </c>
      <c r="S58" s="2"/>
      <c r="T58" s="7"/>
      <c r="U58" s="2"/>
      <c r="V58" s="6">
        <f t="shared" si="51"/>
        <v>0</v>
      </c>
      <c r="W58" s="2"/>
      <c r="X58" s="7">
        <f t="shared" si="52"/>
        <v>212.01</v>
      </c>
      <c r="Y58" s="2"/>
      <c r="Z58" s="6">
        <f t="shared" si="53"/>
        <v>0</v>
      </c>
    </row>
    <row r="59" spans="1:26" s="28" customFormat="1" outlineLevel="1" collapsed="1" x14ac:dyDescent="0.25">
      <c r="A59" s="27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SUM(OSRRefD22_12x_0)</f>
        <v>0</v>
      </c>
      <c r="E59" s="1"/>
      <c r="F59" s="5">
        <f t="shared" ref="F59:F66" si="54">IF(D$12=0,0,D59/D$12)</f>
        <v>0</v>
      </c>
      <c r="G59" s="1"/>
      <c r="H59" s="1">
        <f>SUM(OSRRefH22_12x_0)</f>
        <v>30.68</v>
      </c>
      <c r="I59" s="1"/>
      <c r="J59" s="5">
        <f t="shared" ref="J59:J66" si="55">IF(H$12=0,0,H59/H$12)</f>
        <v>0</v>
      </c>
      <c r="K59" s="1"/>
      <c r="L59" s="1">
        <f t="shared" ref="L59:L66" si="56">+D59-H59</f>
        <v>-30.68</v>
      </c>
      <c r="M59" s="1"/>
      <c r="N59" s="5">
        <f t="shared" ref="N59:N66" si="57">IF(H59=0,0,L59/H59)</f>
        <v>-1</v>
      </c>
      <c r="O59" s="14"/>
      <c r="P59" s="1">
        <f>SUM(OSRRefP22_12x_0)</f>
        <v>0</v>
      </c>
      <c r="Q59" s="1"/>
      <c r="R59" s="5">
        <f t="shared" ref="R59:R66" si="58">IF(P$12=0,0,P59/P$12)</f>
        <v>0</v>
      </c>
      <c r="S59" s="1"/>
      <c r="T59" s="1">
        <f>SUM(OSRRefT22_12x_0)</f>
        <v>30.68</v>
      </c>
      <c r="U59" s="1"/>
      <c r="V59" s="5">
        <f t="shared" ref="V59:V66" si="59">IF(T$12=0,0,T59/T$12)</f>
        <v>0</v>
      </c>
      <c r="W59" s="1"/>
      <c r="X59" s="1">
        <f t="shared" ref="X59:X66" si="60">+P59-T59</f>
        <v>-30.68</v>
      </c>
      <c r="Y59" s="1"/>
      <c r="Z59" s="5">
        <f t="shared" ref="Z59:Z66" si="61">IF(T59=0,0,X59/T59)</f>
        <v>-1</v>
      </c>
    </row>
    <row r="60" spans="1:26" s="24" customFormat="1" hidden="1" outlineLevel="2" x14ac:dyDescent="0.25">
      <c r="A60" s="29"/>
      <c r="B60" s="11" t="str">
        <f>CONCATENATE("          ", "6275", " - ", "SUBSCRIPTIONS")</f>
        <v xml:space="preserve">          6275 - SUBSCRIPTIONS</v>
      </c>
      <c r="C60" s="11"/>
      <c r="D60" s="7"/>
      <c r="E60" s="2"/>
      <c r="F60" s="6">
        <f t="shared" si="54"/>
        <v>0</v>
      </c>
      <c r="G60" s="2"/>
      <c r="H60" s="7">
        <v>30.68</v>
      </c>
      <c r="I60" s="2"/>
      <c r="J60" s="6">
        <f t="shared" si="55"/>
        <v>0</v>
      </c>
      <c r="K60" s="2"/>
      <c r="L60" s="7">
        <f t="shared" si="56"/>
        <v>-30.68</v>
      </c>
      <c r="M60" s="2"/>
      <c r="N60" s="6">
        <f t="shared" si="57"/>
        <v>-1</v>
      </c>
      <c r="O60" s="11"/>
      <c r="P60" s="7"/>
      <c r="Q60" s="2"/>
      <c r="R60" s="6">
        <f t="shared" si="58"/>
        <v>0</v>
      </c>
      <c r="S60" s="2"/>
      <c r="T60" s="7">
        <v>30.68</v>
      </c>
      <c r="U60" s="2"/>
      <c r="V60" s="6">
        <f t="shared" si="59"/>
        <v>0</v>
      </c>
      <c r="W60" s="2"/>
      <c r="X60" s="7">
        <f t="shared" si="60"/>
        <v>-30.68</v>
      </c>
      <c r="Y60" s="2"/>
      <c r="Z60" s="6">
        <f t="shared" si="61"/>
        <v>-1</v>
      </c>
    </row>
    <row r="61" spans="1:26" s="28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SUM(OSRRefD22_13x_0)</f>
        <v>3507.7300000000005</v>
      </c>
      <c r="E61" s="1"/>
      <c r="F61" s="5">
        <f t="shared" si="54"/>
        <v>0.19372563400599446</v>
      </c>
      <c r="G61" s="1"/>
      <c r="H61" s="1">
        <f>SUM(OSRRefH22_13x_0)</f>
        <v>50</v>
      </c>
      <c r="I61" s="1"/>
      <c r="J61" s="5">
        <f t="shared" si="55"/>
        <v>0</v>
      </c>
      <c r="K61" s="1"/>
      <c r="L61" s="1">
        <f t="shared" si="56"/>
        <v>3457.7300000000005</v>
      </c>
      <c r="M61" s="1"/>
      <c r="N61" s="5">
        <f t="shared" si="57"/>
        <v>69.154600000000016</v>
      </c>
      <c r="O61" s="14"/>
      <c r="P61" s="1">
        <f>SUM(OSRRefP22_13x_0)</f>
        <v>3507.7300000000005</v>
      </c>
      <c r="Q61" s="1"/>
      <c r="R61" s="5">
        <f t="shared" si="58"/>
        <v>0.19372563400599446</v>
      </c>
      <c r="S61" s="1"/>
      <c r="T61" s="1">
        <f>SUM(OSRRefT22_13x_0)</f>
        <v>50</v>
      </c>
      <c r="U61" s="1"/>
      <c r="V61" s="5">
        <f t="shared" si="59"/>
        <v>0</v>
      </c>
      <c r="W61" s="1"/>
      <c r="X61" s="1">
        <f t="shared" si="60"/>
        <v>3457.7300000000005</v>
      </c>
      <c r="Y61" s="1"/>
      <c r="Z61" s="5">
        <f t="shared" si="61"/>
        <v>69.154600000000016</v>
      </c>
    </row>
    <row r="62" spans="1:26" s="24" customFormat="1" hidden="1" outlineLevel="2" x14ac:dyDescent="0.25">
      <c r="A62" s="29"/>
      <c r="B62" s="11" t="str">
        <f>CONCATENATE("          ", "6237", " - ", "JANITORIAL SUPPLIES")</f>
        <v xml:space="preserve">          6237 - JANITORIAL SUPPLIES</v>
      </c>
      <c r="C62" s="11"/>
      <c r="D62" s="7">
        <v>141.34</v>
      </c>
      <c r="E62" s="2"/>
      <c r="F62" s="6">
        <f t="shared" si="54"/>
        <v>7.8059545946829586E-3</v>
      </c>
      <c r="G62" s="2"/>
      <c r="H62" s="7"/>
      <c r="I62" s="2"/>
      <c r="J62" s="6">
        <f t="shared" si="55"/>
        <v>0</v>
      </c>
      <c r="K62" s="2"/>
      <c r="L62" s="7">
        <f t="shared" si="56"/>
        <v>141.34</v>
      </c>
      <c r="M62" s="2"/>
      <c r="N62" s="6">
        <f t="shared" si="57"/>
        <v>0</v>
      </c>
      <c r="O62" s="11"/>
      <c r="P62" s="7">
        <v>141.34</v>
      </c>
      <c r="Q62" s="2"/>
      <c r="R62" s="6">
        <f t="shared" si="58"/>
        <v>7.8059545946829586E-3</v>
      </c>
      <c r="S62" s="2"/>
      <c r="T62" s="7"/>
      <c r="U62" s="2"/>
      <c r="V62" s="6">
        <f t="shared" si="59"/>
        <v>0</v>
      </c>
      <c r="W62" s="2"/>
      <c r="X62" s="7">
        <f t="shared" si="60"/>
        <v>141.34</v>
      </c>
      <c r="Y62" s="2"/>
      <c r="Z62" s="6">
        <f t="shared" si="61"/>
        <v>0</v>
      </c>
    </row>
    <row r="63" spans="1:26" s="24" customFormat="1" hidden="1" outlineLevel="2" x14ac:dyDescent="0.25">
      <c r="A63" s="29"/>
      <c r="B63" s="11" t="str">
        <f>CONCATENATE("          ", "6239", " - ", "KITCHEN SUPPLIES")</f>
        <v xml:space="preserve">          6239 - KITCHEN SUPPLIES</v>
      </c>
      <c r="C63" s="11"/>
      <c r="D63" s="7">
        <v>2140.3000000000002</v>
      </c>
      <c r="E63" s="2"/>
      <c r="F63" s="6">
        <f t="shared" si="54"/>
        <v>0.11820492867553374</v>
      </c>
      <c r="G63" s="2"/>
      <c r="H63" s="7"/>
      <c r="I63" s="2"/>
      <c r="J63" s="6">
        <f t="shared" si="55"/>
        <v>0</v>
      </c>
      <c r="K63" s="2"/>
      <c r="L63" s="7">
        <f t="shared" si="56"/>
        <v>2140.3000000000002</v>
      </c>
      <c r="M63" s="2"/>
      <c r="N63" s="6">
        <f t="shared" si="57"/>
        <v>0</v>
      </c>
      <c r="O63" s="11"/>
      <c r="P63" s="7">
        <v>2140.3000000000002</v>
      </c>
      <c r="Q63" s="2"/>
      <c r="R63" s="6">
        <f t="shared" si="58"/>
        <v>0.11820492867553374</v>
      </c>
      <c r="S63" s="2"/>
      <c r="T63" s="7"/>
      <c r="U63" s="2"/>
      <c r="V63" s="6">
        <f t="shared" si="59"/>
        <v>0</v>
      </c>
      <c r="W63" s="2"/>
      <c r="X63" s="7">
        <f t="shared" si="60"/>
        <v>2140.3000000000002</v>
      </c>
      <c r="Y63" s="2"/>
      <c r="Z63" s="6">
        <f t="shared" si="61"/>
        <v>0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>
        <v>123.87</v>
      </c>
      <c r="E64" s="2"/>
      <c r="F64" s="6">
        <f t="shared" si="54"/>
        <v>6.8411178409747992E-3</v>
      </c>
      <c r="G64" s="2"/>
      <c r="H64" s="7">
        <v>50</v>
      </c>
      <c r="I64" s="2"/>
      <c r="J64" s="6">
        <f t="shared" si="55"/>
        <v>0</v>
      </c>
      <c r="K64" s="2"/>
      <c r="L64" s="7">
        <f t="shared" si="56"/>
        <v>73.87</v>
      </c>
      <c r="M64" s="2"/>
      <c r="N64" s="6">
        <f t="shared" si="57"/>
        <v>1.4774</v>
      </c>
      <c r="O64" s="11"/>
      <c r="P64" s="7">
        <v>123.87</v>
      </c>
      <c r="Q64" s="2"/>
      <c r="R64" s="6">
        <f t="shared" si="58"/>
        <v>6.8411178409747992E-3</v>
      </c>
      <c r="S64" s="2"/>
      <c r="T64" s="7">
        <v>50</v>
      </c>
      <c r="U64" s="2"/>
      <c r="V64" s="6">
        <f t="shared" si="59"/>
        <v>0</v>
      </c>
      <c r="W64" s="2"/>
      <c r="X64" s="7">
        <f t="shared" si="60"/>
        <v>73.87</v>
      </c>
      <c r="Y64" s="2"/>
      <c r="Z64" s="6">
        <f t="shared" si="61"/>
        <v>1.4774</v>
      </c>
    </row>
    <row r="65" spans="1:26" s="24" customFormat="1" hidden="1" outlineLevel="2" x14ac:dyDescent="0.25">
      <c r="A65" s="29"/>
      <c r="B65" s="11" t="str">
        <f>CONCATENATE("          ", "6243", " - ", "PAPER SUPPLIES")</f>
        <v xml:space="preserve">          6243 - PAPER SUPPLIES</v>
      </c>
      <c r="C65" s="11"/>
      <c r="D65" s="7">
        <v>1079.21</v>
      </c>
      <c r="E65" s="2"/>
      <c r="F65" s="6">
        <f t="shared" si="54"/>
        <v>5.9602831881475846E-2</v>
      </c>
      <c r="G65" s="2"/>
      <c r="H65" s="7"/>
      <c r="I65" s="2"/>
      <c r="J65" s="6">
        <f t="shared" si="55"/>
        <v>0</v>
      </c>
      <c r="K65" s="2"/>
      <c r="L65" s="7">
        <f t="shared" si="56"/>
        <v>1079.21</v>
      </c>
      <c r="M65" s="2"/>
      <c r="N65" s="6">
        <f t="shared" si="57"/>
        <v>0</v>
      </c>
      <c r="O65" s="11"/>
      <c r="P65" s="7">
        <v>1079.21</v>
      </c>
      <c r="Q65" s="2"/>
      <c r="R65" s="6">
        <f t="shared" si="58"/>
        <v>5.9602831881475846E-2</v>
      </c>
      <c r="S65" s="2"/>
      <c r="T65" s="7"/>
      <c r="U65" s="2"/>
      <c r="V65" s="6">
        <f t="shared" si="59"/>
        <v>0</v>
      </c>
      <c r="W65" s="2"/>
      <c r="X65" s="7">
        <f t="shared" si="60"/>
        <v>1079.21</v>
      </c>
      <c r="Y65" s="2"/>
      <c r="Z65" s="6">
        <f t="shared" si="61"/>
        <v>0</v>
      </c>
    </row>
    <row r="66" spans="1:26" s="24" customFormat="1" hidden="1" outlineLevel="2" x14ac:dyDescent="0.25">
      <c r="A66" s="29"/>
      <c r="B66" s="11" t="str">
        <f>CONCATENATE("          ", "6245", " - ", "PRINTING")</f>
        <v xml:space="preserve">          6245 - PRINTING</v>
      </c>
      <c r="C66" s="11"/>
      <c r="D66" s="7">
        <v>23.01</v>
      </c>
      <c r="E66" s="2"/>
      <c r="F66" s="6">
        <f t="shared" si="54"/>
        <v>1.2708010133271183E-3</v>
      </c>
      <c r="G66" s="2"/>
      <c r="H66" s="7"/>
      <c r="I66" s="2"/>
      <c r="J66" s="6">
        <f t="shared" si="55"/>
        <v>0</v>
      </c>
      <c r="K66" s="2"/>
      <c r="L66" s="7">
        <f t="shared" si="56"/>
        <v>23.01</v>
      </c>
      <c r="M66" s="2"/>
      <c r="N66" s="6">
        <f t="shared" si="57"/>
        <v>0</v>
      </c>
      <c r="O66" s="11"/>
      <c r="P66" s="7">
        <v>23.01</v>
      </c>
      <c r="Q66" s="2"/>
      <c r="R66" s="6">
        <f t="shared" si="58"/>
        <v>1.2708010133271183E-3</v>
      </c>
      <c r="S66" s="2"/>
      <c r="T66" s="7"/>
      <c r="U66" s="2"/>
      <c r="V66" s="6">
        <f t="shared" si="59"/>
        <v>0</v>
      </c>
      <c r="W66" s="2"/>
      <c r="X66" s="7">
        <f t="shared" si="60"/>
        <v>23.01</v>
      </c>
      <c r="Y66" s="2"/>
      <c r="Z66" s="6">
        <f t="shared" si="61"/>
        <v>0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SUM(OSRRefD22_14x_0)</f>
        <v>78.05</v>
      </c>
      <c r="E67" s="1"/>
      <c r="F67" s="5">
        <f t="shared" ref="F67:F72" si="62">IF(D$12=0,0,D67/D$12)</f>
        <v>4.3105614554620414E-3</v>
      </c>
      <c r="G67" s="1"/>
      <c r="H67" s="1">
        <f>SUM(OSRRefH22_14x_0)</f>
        <v>28</v>
      </c>
      <c r="I67" s="1"/>
      <c r="J67" s="5">
        <f t="shared" ref="J67:J72" si="63">IF(H$12=0,0,H67/H$12)</f>
        <v>0</v>
      </c>
      <c r="K67" s="1"/>
      <c r="L67" s="1">
        <f t="shared" ref="L67:L72" si="64">+D67-H67</f>
        <v>50.05</v>
      </c>
      <c r="M67" s="1"/>
      <c r="N67" s="5">
        <f t="shared" ref="N67:N72" si="65">IF(H67=0,0,L67/H67)</f>
        <v>1.7874999999999999</v>
      </c>
      <c r="O67" s="14"/>
      <c r="P67" s="1">
        <f>SUM(OSRRefP22_14x_0)</f>
        <v>78.05</v>
      </c>
      <c r="Q67" s="1"/>
      <c r="R67" s="5">
        <f t="shared" ref="R67:R72" si="66">IF(P$12=0,0,P67/P$12)</f>
        <v>4.3105614554620414E-3</v>
      </c>
      <c r="S67" s="1"/>
      <c r="T67" s="1">
        <f>SUM(OSRRefT22_14x_0)</f>
        <v>28</v>
      </c>
      <c r="U67" s="1"/>
      <c r="V67" s="5">
        <f t="shared" ref="V67:V72" si="67">IF(T$12=0,0,T67/T$12)</f>
        <v>0</v>
      </c>
      <c r="W67" s="1"/>
      <c r="X67" s="1">
        <f t="shared" ref="X67:X72" si="68">+P67-T67</f>
        <v>50.05</v>
      </c>
      <c r="Y67" s="1"/>
      <c r="Z67" s="5">
        <f t="shared" ref="Z67:Z72" si="69">IF(T67=0,0,X67/T67)</f>
        <v>1.7874999999999999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78.05</v>
      </c>
      <c r="E68" s="2"/>
      <c r="F68" s="6">
        <f t="shared" si="62"/>
        <v>4.3105614554620414E-3</v>
      </c>
      <c r="G68" s="2"/>
      <c r="H68" s="7">
        <v>28</v>
      </c>
      <c r="I68" s="2"/>
      <c r="J68" s="6">
        <f t="shared" si="63"/>
        <v>0</v>
      </c>
      <c r="K68" s="2"/>
      <c r="L68" s="7">
        <f t="shared" si="64"/>
        <v>50.05</v>
      </c>
      <c r="M68" s="2"/>
      <c r="N68" s="6">
        <f t="shared" si="65"/>
        <v>1.7874999999999999</v>
      </c>
      <c r="O68" s="11"/>
      <c r="P68" s="7">
        <v>78.05</v>
      </c>
      <c r="Q68" s="2"/>
      <c r="R68" s="6">
        <f t="shared" si="66"/>
        <v>4.3105614554620414E-3</v>
      </c>
      <c r="S68" s="2"/>
      <c r="T68" s="7">
        <v>28</v>
      </c>
      <c r="U68" s="2"/>
      <c r="V68" s="6">
        <f t="shared" si="67"/>
        <v>0</v>
      </c>
      <c r="W68" s="2"/>
      <c r="X68" s="7">
        <f t="shared" si="68"/>
        <v>50.05</v>
      </c>
      <c r="Y68" s="2"/>
      <c r="Z68" s="6">
        <f t="shared" si="69"/>
        <v>1.7874999999999999</v>
      </c>
    </row>
    <row r="69" spans="1:26" s="28" customFormat="1" outlineLevel="1" collapsed="1" x14ac:dyDescent="0.2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SUM(OSRRefD22_15x_0)</f>
        <v>237.95</v>
      </c>
      <c r="E69" s="1"/>
      <c r="F69" s="5">
        <f t="shared" si="62"/>
        <v>1.3141551548074218E-2</v>
      </c>
      <c r="G69" s="1"/>
      <c r="H69" s="1">
        <f>SUM(OSRRefH22_15x_0)</f>
        <v>0</v>
      </c>
      <c r="I69" s="1"/>
      <c r="J69" s="5">
        <f t="shared" si="63"/>
        <v>0</v>
      </c>
      <c r="K69" s="1"/>
      <c r="L69" s="1">
        <f t="shared" si="64"/>
        <v>237.95</v>
      </c>
      <c r="M69" s="1"/>
      <c r="N69" s="5">
        <f t="shared" si="65"/>
        <v>0</v>
      </c>
      <c r="O69" s="14"/>
      <c r="P69" s="1">
        <f>SUM(OSRRefP22_15x_0)</f>
        <v>237.95</v>
      </c>
      <c r="Q69" s="1"/>
      <c r="R69" s="5">
        <f t="shared" si="66"/>
        <v>1.3141551548074218E-2</v>
      </c>
      <c r="S69" s="1"/>
      <c r="T69" s="1">
        <f>SUM(OSRRefT22_15x_0)</f>
        <v>0</v>
      </c>
      <c r="U69" s="1"/>
      <c r="V69" s="5">
        <f t="shared" si="67"/>
        <v>0</v>
      </c>
      <c r="W69" s="1"/>
      <c r="X69" s="1">
        <f t="shared" si="68"/>
        <v>237.95</v>
      </c>
      <c r="Y69" s="1"/>
      <c r="Z69" s="5">
        <f t="shared" si="69"/>
        <v>0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>
        <v>237.95</v>
      </c>
      <c r="E70" s="2"/>
      <c r="F70" s="6">
        <f t="shared" si="62"/>
        <v>1.3141551548074218E-2</v>
      </c>
      <c r="G70" s="2"/>
      <c r="H70" s="7"/>
      <c r="I70" s="2"/>
      <c r="J70" s="6">
        <f t="shared" si="63"/>
        <v>0</v>
      </c>
      <c r="K70" s="2"/>
      <c r="L70" s="7">
        <f t="shared" si="64"/>
        <v>237.95</v>
      </c>
      <c r="M70" s="2"/>
      <c r="N70" s="6">
        <f t="shared" si="65"/>
        <v>0</v>
      </c>
      <c r="O70" s="11"/>
      <c r="P70" s="7">
        <v>237.95</v>
      </c>
      <c r="Q70" s="2"/>
      <c r="R70" s="6">
        <f t="shared" si="66"/>
        <v>1.3141551548074218E-2</v>
      </c>
      <c r="S70" s="2"/>
      <c r="T70" s="7"/>
      <c r="U70" s="2"/>
      <c r="V70" s="6">
        <f t="shared" si="67"/>
        <v>0</v>
      </c>
      <c r="W70" s="2"/>
      <c r="X70" s="7">
        <f t="shared" si="68"/>
        <v>237.95</v>
      </c>
      <c r="Y70" s="2"/>
      <c r="Z70" s="6">
        <f t="shared" si="69"/>
        <v>0</v>
      </c>
    </row>
    <row r="71" spans="1:26" s="28" customFormat="1" outlineLevel="1" collapsed="1" x14ac:dyDescent="0.25">
      <c r="A71" s="27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SUM(OSRRefD22_16x_0)</f>
        <v>306</v>
      </c>
      <c r="E71" s="1"/>
      <c r="F71" s="5">
        <f t="shared" si="62"/>
        <v>1.6899830946462326E-2</v>
      </c>
      <c r="G71" s="1"/>
      <c r="H71" s="1">
        <f>SUM(OSRRefH22_16x_0)</f>
        <v>345</v>
      </c>
      <c r="I71" s="1"/>
      <c r="J71" s="5">
        <f t="shared" si="63"/>
        <v>0</v>
      </c>
      <c r="K71" s="1"/>
      <c r="L71" s="1">
        <f t="shared" si="64"/>
        <v>-39</v>
      </c>
      <c r="M71" s="1"/>
      <c r="N71" s="5">
        <f t="shared" si="65"/>
        <v>-0.11304347826086956</v>
      </c>
      <c r="O71" s="14"/>
      <c r="P71" s="1">
        <f>SUM(OSRRefP22_16x_0)</f>
        <v>306</v>
      </c>
      <c r="Q71" s="1"/>
      <c r="R71" s="5">
        <f t="shared" si="66"/>
        <v>1.6899830946462326E-2</v>
      </c>
      <c r="S71" s="1"/>
      <c r="T71" s="1">
        <f>SUM(OSRRefT22_16x_0)</f>
        <v>345</v>
      </c>
      <c r="U71" s="1"/>
      <c r="V71" s="5">
        <f t="shared" si="67"/>
        <v>0</v>
      </c>
      <c r="W71" s="1"/>
      <c r="X71" s="1">
        <f t="shared" si="68"/>
        <v>-39</v>
      </c>
      <c r="Y71" s="1"/>
      <c r="Z71" s="5">
        <f t="shared" si="69"/>
        <v>-0.11304347826086956</v>
      </c>
    </row>
    <row r="72" spans="1:26" s="24" customFormat="1" hidden="1" outlineLevel="2" x14ac:dyDescent="0.25">
      <c r="A72" s="29"/>
      <c r="B72" s="11" t="str">
        <f>CONCATENATE("          ", "6274", " - ", "UTILITIES")</f>
        <v xml:space="preserve">          6274 - UTILITIES</v>
      </c>
      <c r="C72" s="11"/>
      <c r="D72" s="7">
        <v>306</v>
      </c>
      <c r="E72" s="2"/>
      <c r="F72" s="6">
        <f t="shared" si="62"/>
        <v>1.6899830946462326E-2</v>
      </c>
      <c r="G72" s="2"/>
      <c r="H72" s="7">
        <v>345</v>
      </c>
      <c r="I72" s="2"/>
      <c r="J72" s="6">
        <f t="shared" si="63"/>
        <v>0</v>
      </c>
      <c r="K72" s="2"/>
      <c r="L72" s="7">
        <f t="shared" si="64"/>
        <v>-39</v>
      </c>
      <c r="M72" s="2"/>
      <c r="N72" s="6">
        <f t="shared" si="65"/>
        <v>-0.11304347826086956</v>
      </c>
      <c r="O72" s="11"/>
      <c r="P72" s="7">
        <v>306</v>
      </c>
      <c r="Q72" s="2"/>
      <c r="R72" s="6">
        <f t="shared" si="66"/>
        <v>1.6899830946462326E-2</v>
      </c>
      <c r="S72" s="2"/>
      <c r="T72" s="7">
        <v>345</v>
      </c>
      <c r="U72" s="2"/>
      <c r="V72" s="6">
        <f t="shared" si="67"/>
        <v>0</v>
      </c>
      <c r="W72" s="2"/>
      <c r="X72" s="7">
        <f t="shared" si="68"/>
        <v>-39</v>
      </c>
      <c r="Y72" s="2"/>
      <c r="Z72" s="6">
        <f t="shared" si="69"/>
        <v>-0.11304347826086956</v>
      </c>
    </row>
    <row r="73" spans="1:26" s="54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6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3</v>
      </c>
      <c r="C76" s="25"/>
      <c r="D76" s="21">
        <f>+D20-D22+D74</f>
        <v>-32977.450000000004</v>
      </c>
      <c r="E76" s="13"/>
      <c r="F76" s="20">
        <f>IF(D$12=0,0,D76/D$12)</f>
        <v>-1.821285392305275</v>
      </c>
      <c r="G76" s="13"/>
      <c r="H76" s="21">
        <f>+H20-H22+H74</f>
        <v>-20239.949999999997</v>
      </c>
      <c r="I76" s="13"/>
      <c r="J76" s="20">
        <f>IF(H$12=0,0,H76/H$12)</f>
        <v>0</v>
      </c>
      <c r="K76" s="16"/>
      <c r="L76" s="21">
        <f>+D76-H76</f>
        <v>-12737.500000000007</v>
      </c>
      <c r="M76" s="16"/>
      <c r="N76" s="20">
        <f>IF(H76=0,0,L76/H76)</f>
        <v>0.62932467718546781</v>
      </c>
      <c r="O76" s="26"/>
      <c r="P76" s="21">
        <f>+P20-P22+P74</f>
        <v>-32977.450000000004</v>
      </c>
      <c r="Q76" s="13"/>
      <c r="R76" s="20">
        <f>IF(P$12=0,0,P76/P$12)</f>
        <v>-1.821285392305275</v>
      </c>
      <c r="S76" s="13"/>
      <c r="T76" s="21">
        <f>+T20-T22+T74</f>
        <v>-20239.949999999997</v>
      </c>
      <c r="U76" s="13"/>
      <c r="V76" s="20">
        <f>IF(T$12=0,0,T76/T$12)</f>
        <v>0</v>
      </c>
      <c r="W76" s="16"/>
      <c r="X76" s="21">
        <f>+P76-T76</f>
        <v>-12737.500000000007</v>
      </c>
      <c r="Y76" s="16"/>
      <c r="Z76" s="20">
        <f>IF(T76=0,0,X76/T76)</f>
        <v>0.62932467718546781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>
        <v>3764.91</v>
      </c>
      <c r="E78" s="4"/>
      <c r="F78" s="12">
        <f>IF(D$12=0,0,D78/D$12)</f>
        <v>0.20792922394982183</v>
      </c>
      <c r="G78" s="4"/>
      <c r="H78" s="4"/>
      <c r="I78" s="4"/>
      <c r="J78" s="12">
        <f>IF(H$12=0,0,H78/H$12)</f>
        <v>0</v>
      </c>
      <c r="K78" s="4"/>
      <c r="L78" s="4">
        <f>+D78-H78</f>
        <v>3764.91</v>
      </c>
      <c r="M78" s="4"/>
      <c r="N78" s="12">
        <f>IF(H78=0,0,L78/H78)</f>
        <v>0</v>
      </c>
      <c r="O78" s="10"/>
      <c r="P78" s="4">
        <v>3764.91</v>
      </c>
      <c r="Q78" s="4"/>
      <c r="R78" s="12">
        <f>IF(P$12=0,0,P78/P$12)</f>
        <v>0.20792922394982183</v>
      </c>
      <c r="S78" s="4"/>
      <c r="T78" s="4"/>
      <c r="U78" s="4"/>
      <c r="V78" s="12">
        <f>IF(T$12=0,0,T78/T$12)</f>
        <v>0</v>
      </c>
      <c r="W78" s="4"/>
      <c r="X78" s="4">
        <f>+P78-T78</f>
        <v>3764.91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4</v>
      </c>
      <c r="C80" s="25"/>
      <c r="D80" s="33">
        <f>+D76-D78</f>
        <v>-36742.36</v>
      </c>
      <c r="E80" s="13"/>
      <c r="F80" s="34">
        <f>IF(D$12=0,0,D80/D$12)</f>
        <v>-2.0292146162550968</v>
      </c>
      <c r="G80" s="13"/>
      <c r="H80" s="33">
        <f>+H76-H78</f>
        <v>-20239.949999999997</v>
      </c>
      <c r="I80" s="13"/>
      <c r="J80" s="34">
        <f>IF(H$12=0,0,H80/H$12)</f>
        <v>0</v>
      </c>
      <c r="K80" s="16"/>
      <c r="L80" s="33">
        <f>D80-H80</f>
        <v>-16502.410000000003</v>
      </c>
      <c r="M80" s="16"/>
      <c r="N80" s="34">
        <f>IF(H80=0,0,L80/H80)</f>
        <v>0.8153384766266718</v>
      </c>
      <c r="O80" s="26"/>
      <c r="P80" s="33">
        <f>+P76-P78</f>
        <v>-36742.36</v>
      </c>
      <c r="Q80" s="13"/>
      <c r="R80" s="34">
        <f>IF(P$12=0,0,P80/P$12)</f>
        <v>-2.0292146162550968</v>
      </c>
      <c r="S80" s="13"/>
      <c r="T80" s="33">
        <f>+T76-T78</f>
        <v>-20239.949999999997</v>
      </c>
      <c r="U80" s="13"/>
      <c r="V80" s="34">
        <f>IF(T$12=0,0,T80/T$12)</f>
        <v>0</v>
      </c>
      <c r="W80" s="16"/>
      <c r="X80" s="33">
        <f>P80-T80</f>
        <v>-16502.410000000003</v>
      </c>
      <c r="Y80" s="16"/>
      <c r="Z80" s="34">
        <f>IF(T80=0,0,X80/T80)</f>
        <v>0.8153384766266718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5</v>
      </c>
      <c r="C83" s="25"/>
      <c r="D83" s="31">
        <f>SUM(D80:D82)</f>
        <v>-36742.36</v>
      </c>
      <c r="E83" s="13"/>
      <c r="F83" s="30">
        <f>IF(D$12=0,0,D83/D$12)</f>
        <v>-2.0292146162550968</v>
      </c>
      <c r="G83" s="13"/>
      <c r="H83" s="31">
        <f>SUM(H80:H82)</f>
        <v>-20239.949999999997</v>
      </c>
      <c r="I83" s="13"/>
      <c r="J83" s="30">
        <f>IF(H$12=0,0,H83/H$12)</f>
        <v>0</v>
      </c>
      <c r="K83" s="16"/>
      <c r="L83" s="31">
        <f>+D83-H83</f>
        <v>-16502.410000000003</v>
      </c>
      <c r="M83" s="16"/>
      <c r="N83" s="30">
        <f>IF(H83=0,0,L83/H83)</f>
        <v>0.8153384766266718</v>
      </c>
      <c r="O83" s="26"/>
      <c r="P83" s="31">
        <f>SUM(P80:P82)</f>
        <v>-36742.36</v>
      </c>
      <c r="Q83" s="13"/>
      <c r="R83" s="30">
        <f>IF(P$12=0,0,P83/P$12)</f>
        <v>-2.0292146162550968</v>
      </c>
      <c r="S83" s="13"/>
      <c r="T83" s="31">
        <f>SUM(T80:T82)</f>
        <v>-20239.949999999997</v>
      </c>
      <c r="U83" s="13"/>
      <c r="V83" s="30">
        <f>IF(T$12=0,0,T83/T$12)</f>
        <v>0</v>
      </c>
      <c r="W83" s="16"/>
      <c r="X83" s="31">
        <f>+P83-T83</f>
        <v>-16502.410000000003</v>
      </c>
      <c r="Y83" s="16"/>
      <c r="Z83" s="30">
        <f>IF(T83=0,0,X83/T83)</f>
        <v>0.8153384766266718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>
        <v>43726.682134641203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3" t="s">
        <v>313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8</v>
      </c>
      <c r="C14" s="10"/>
      <c r="D14" s="4">
        <f>SUM(OSRRefD16x_0)</f>
        <v>0.27999999999997272</v>
      </c>
      <c r="E14" s="4"/>
      <c r="F14" s="12">
        <f t="shared" ref="F14:F16" si="0">IF(D$12=0,0,D14/D$12)</f>
        <v>0</v>
      </c>
      <c r="G14" s="4"/>
      <c r="H14" s="4">
        <f>SUM(OSRRefH16x_0)</f>
        <v>0.15999999999999659</v>
      </c>
      <c r="I14" s="4"/>
      <c r="J14" s="12">
        <f t="shared" ref="J14:J16" si="1">IF(H$12=0,0,H14/H$12)</f>
        <v>0</v>
      </c>
      <c r="K14" s="4"/>
      <c r="L14" s="4">
        <f t="shared" ref="L14:L16" si="2">+D14-H14</f>
        <v>0.11999999999997613</v>
      </c>
      <c r="M14" s="4"/>
      <c r="N14" s="12">
        <f t="shared" ref="N14:N16" si="3">IF(H14=0,0,L14/H14)</f>
        <v>0.74999999999986677</v>
      </c>
      <c r="O14" s="10"/>
      <c r="P14" s="4">
        <f>SUM(OSRRefP16x_0)</f>
        <v>0.27999999999997272</v>
      </c>
      <c r="Q14" s="4"/>
      <c r="R14" s="12">
        <f t="shared" ref="R14:R16" si="4">IF(P$12=0,0,P14/P$12)</f>
        <v>0</v>
      </c>
      <c r="S14" s="4"/>
      <c r="T14" s="4">
        <f>SUM(OSRRefT16x_0)</f>
        <v>0.15999999999999659</v>
      </c>
      <c r="U14" s="4"/>
      <c r="V14" s="12">
        <f t="shared" ref="V14:V16" si="5">IF(T$12=0,0,T14/T$12)</f>
        <v>0</v>
      </c>
      <c r="W14" s="4"/>
      <c r="X14" s="4">
        <f t="shared" ref="X14:X16" si="6">+P14-T14</f>
        <v>0.11999999999997613</v>
      </c>
      <c r="Y14" s="4"/>
      <c r="Z14" s="12">
        <f t="shared" ref="Z14:Z16" si="7">IF(T14=0,0,X14/T14)</f>
        <v>0.74999999999986677</v>
      </c>
    </row>
    <row r="15" spans="1:26" s="24" customFormat="1" hidden="1" outlineLevel="1" x14ac:dyDescent="0.25">
      <c r="A15" s="50"/>
      <c r="B15" s="11" t="str">
        <f>CONCATENATE("          ", "5053", " - ", "PURCHASES @ COST-FOOD")</f>
        <v xml:space="preserve">          5053 - PURCHASES @ COST-FOOD</v>
      </c>
      <c r="C15" s="11"/>
      <c r="D15" s="2">
        <v>311.27999999999997</v>
      </c>
      <c r="E15" s="2"/>
      <c r="F15" s="22">
        <f t="shared" si="0"/>
        <v>0</v>
      </c>
      <c r="G15" s="2"/>
      <c r="H15" s="2">
        <v>64.16</v>
      </c>
      <c r="I15" s="2"/>
      <c r="J15" s="22">
        <f t="shared" si="1"/>
        <v>0</v>
      </c>
      <c r="K15" s="2"/>
      <c r="L15" s="2">
        <f t="shared" si="2"/>
        <v>247.11999999999998</v>
      </c>
      <c r="M15" s="2"/>
      <c r="N15" s="22">
        <f t="shared" si="3"/>
        <v>3.8516209476309227</v>
      </c>
      <c r="O15" s="11"/>
      <c r="P15" s="2">
        <v>311.27999999999997</v>
      </c>
      <c r="Q15" s="2"/>
      <c r="R15" s="22">
        <f t="shared" si="4"/>
        <v>0</v>
      </c>
      <c r="S15" s="2"/>
      <c r="T15" s="2">
        <v>64.16</v>
      </c>
      <c r="U15" s="2"/>
      <c r="V15" s="22">
        <f t="shared" si="5"/>
        <v>0</v>
      </c>
      <c r="W15" s="2"/>
      <c r="X15" s="2">
        <f t="shared" si="6"/>
        <v>247.11999999999998</v>
      </c>
      <c r="Y15" s="2"/>
      <c r="Z15" s="22">
        <f t="shared" si="7"/>
        <v>3.8516209476309227</v>
      </c>
    </row>
    <row r="16" spans="1:26" s="24" customFormat="1" hidden="1" outlineLevel="1" x14ac:dyDescent="0.25">
      <c r="A16" s="50"/>
      <c r="B16" s="11" t="str">
        <f>CONCATENATE("          ", "5059", " - ", "PURCHASES @ COST-FOOD")</f>
        <v xml:space="preserve">          5059 - PURCHASES @ COST-FOOD</v>
      </c>
      <c r="C16" s="11"/>
      <c r="D16" s="2">
        <v>-311</v>
      </c>
      <c r="E16" s="2"/>
      <c r="F16" s="22">
        <f t="shared" si="0"/>
        <v>0</v>
      </c>
      <c r="G16" s="2"/>
      <c r="H16" s="2">
        <v>-64</v>
      </c>
      <c r="I16" s="2"/>
      <c r="J16" s="22">
        <f t="shared" si="1"/>
        <v>0</v>
      </c>
      <c r="K16" s="2"/>
      <c r="L16" s="2">
        <f t="shared" si="2"/>
        <v>-247</v>
      </c>
      <c r="M16" s="2"/>
      <c r="N16" s="22">
        <f t="shared" si="3"/>
        <v>3.859375</v>
      </c>
      <c r="O16" s="11"/>
      <c r="P16" s="2">
        <v>-311</v>
      </c>
      <c r="Q16" s="2"/>
      <c r="R16" s="22">
        <f t="shared" si="4"/>
        <v>0</v>
      </c>
      <c r="S16" s="2"/>
      <c r="T16" s="2">
        <v>-64</v>
      </c>
      <c r="U16" s="2"/>
      <c r="V16" s="22">
        <f t="shared" si="5"/>
        <v>0</v>
      </c>
      <c r="W16" s="2"/>
      <c r="X16" s="2">
        <f t="shared" si="6"/>
        <v>-247</v>
      </c>
      <c r="Y16" s="2"/>
      <c r="Z16" s="22">
        <f t="shared" si="7"/>
        <v>3.859375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>
        <f>D12-D14</f>
        <v>-0.27999999999997272</v>
      </c>
      <c r="E18" s="13"/>
      <c r="F18" s="20">
        <f>IF(D$12=0,0,D18/D$12)</f>
        <v>0</v>
      </c>
      <c r="G18" s="13"/>
      <c r="H18" s="21">
        <f>H12-H14</f>
        <v>-0.15999999999999659</v>
      </c>
      <c r="I18" s="13"/>
      <c r="J18" s="20">
        <f>IF(H$12=0,0,H18/H$12)</f>
        <v>0</v>
      </c>
      <c r="K18" s="16"/>
      <c r="L18" s="21">
        <f>+D18-H18</f>
        <v>-0.11999999999997613</v>
      </c>
      <c r="M18" s="16"/>
      <c r="N18" s="20">
        <f>IF(H18=0,0,L18/H18)</f>
        <v>0.74999999999986677</v>
      </c>
      <c r="O18" s="26"/>
      <c r="P18" s="21">
        <f>P12-P14</f>
        <v>-0.27999999999997272</v>
      </c>
      <c r="Q18" s="13"/>
      <c r="R18" s="20">
        <f>IF(P$12=0,0,P18/P$12)</f>
        <v>0</v>
      </c>
      <c r="S18" s="13"/>
      <c r="T18" s="21">
        <f>T12-T14</f>
        <v>-0.15999999999999659</v>
      </c>
      <c r="U18" s="13"/>
      <c r="V18" s="20">
        <f>IF(T$12=0,0,T18/T$12)</f>
        <v>0</v>
      </c>
      <c r="W18" s="16"/>
      <c r="X18" s="21">
        <f>+P18-T18</f>
        <v>-0.11999999999997613</v>
      </c>
      <c r="Y18" s="16"/>
      <c r="Z18" s="20">
        <f>IF(T18=0,0,X18/T18)</f>
        <v>0.74999999999986677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>
        <f>SUM(OSRRefD22x_0)</f>
        <v>11530.279999999999</v>
      </c>
      <c r="E20" s="19"/>
      <c r="F20" s="35">
        <f t="shared" ref="F20:F29" si="8">IF(D$12=0,0,D20/D$12)</f>
        <v>0</v>
      </c>
      <c r="G20" s="19"/>
      <c r="H20" s="19">
        <f>SUM(OSRRefH22x_0)</f>
        <v>10716.27</v>
      </c>
      <c r="I20" s="19"/>
      <c r="J20" s="35">
        <f t="shared" ref="J20:J29" si="9">IF(H$12=0,0,H20/H$12)</f>
        <v>0</v>
      </c>
      <c r="K20" s="4"/>
      <c r="L20" s="19">
        <f t="shared" ref="L20:L29" si="10">+D20-H20</f>
        <v>814.0099999999984</v>
      </c>
      <c r="M20" s="4"/>
      <c r="N20" s="35">
        <f t="shared" ref="N20:N29" si="11">IF(H20=0,0,L20/H20)</f>
        <v>7.5960198837841747E-2</v>
      </c>
      <c r="O20" s="10"/>
      <c r="P20" s="19">
        <f>SUM(OSRRefP22x_0)</f>
        <v>11530.279999999999</v>
      </c>
      <c r="Q20" s="19"/>
      <c r="R20" s="35">
        <f t="shared" ref="R20:R29" si="12">IF(P$12=0,0,P20/P$12)</f>
        <v>0</v>
      </c>
      <c r="S20" s="19"/>
      <c r="T20" s="19">
        <f>SUM(OSRRefT22x_0)</f>
        <v>10716.27</v>
      </c>
      <c r="U20" s="19"/>
      <c r="V20" s="35">
        <f t="shared" ref="V20:V29" si="13">IF(T$12=0,0,T20/T$12)</f>
        <v>0</v>
      </c>
      <c r="W20" s="4"/>
      <c r="X20" s="19">
        <f t="shared" ref="X20:X29" si="14">+P20-T20</f>
        <v>814.0099999999984</v>
      </c>
      <c r="Y20" s="4"/>
      <c r="Z20" s="35">
        <f t="shared" ref="Z20:Z29" si="15">IF(T20=0,0,X20/T20)</f>
        <v>7.5960198837841747E-2</v>
      </c>
    </row>
    <row r="21" spans="1:26" s="28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1707.3799999999999</v>
      </c>
      <c r="E21" s="1"/>
      <c r="F21" s="5">
        <f t="shared" si="8"/>
        <v>0</v>
      </c>
      <c r="G21" s="1"/>
      <c r="H21" s="1">
        <f>SUM(OSRRefH22_0x_0)</f>
        <v>1614.84</v>
      </c>
      <c r="I21" s="1"/>
      <c r="J21" s="5">
        <f t="shared" si="9"/>
        <v>0</v>
      </c>
      <c r="K21" s="1"/>
      <c r="L21" s="1">
        <f t="shared" si="10"/>
        <v>92.539999999999964</v>
      </c>
      <c r="M21" s="1"/>
      <c r="N21" s="5">
        <f t="shared" si="11"/>
        <v>5.7305986970845386E-2</v>
      </c>
      <c r="O21" s="14"/>
      <c r="P21" s="1">
        <f>SUM(OSRRefP22_0x_0)</f>
        <v>1707.3799999999999</v>
      </c>
      <c r="Q21" s="1"/>
      <c r="R21" s="5">
        <f t="shared" si="12"/>
        <v>0</v>
      </c>
      <c r="S21" s="1"/>
      <c r="T21" s="1">
        <f>SUM(OSRRefT22_0x_0)</f>
        <v>1614.84</v>
      </c>
      <c r="U21" s="1"/>
      <c r="V21" s="5">
        <f t="shared" si="13"/>
        <v>0</v>
      </c>
      <c r="W21" s="1"/>
      <c r="X21" s="1">
        <f t="shared" si="14"/>
        <v>92.539999999999964</v>
      </c>
      <c r="Y21" s="1"/>
      <c r="Z21" s="5">
        <f t="shared" si="15"/>
        <v>5.7305986970845386E-2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7">
        <v>368.24</v>
      </c>
      <c r="E22" s="2"/>
      <c r="F22" s="6">
        <f t="shared" si="8"/>
        <v>0</v>
      </c>
      <c r="G22" s="2"/>
      <c r="H22" s="7">
        <v>324.31</v>
      </c>
      <c r="I22" s="2"/>
      <c r="J22" s="6">
        <f t="shared" si="9"/>
        <v>0</v>
      </c>
      <c r="K22" s="2"/>
      <c r="L22" s="7">
        <f t="shared" si="10"/>
        <v>43.930000000000007</v>
      </c>
      <c r="M22" s="2"/>
      <c r="N22" s="6">
        <f t="shared" si="11"/>
        <v>0.13545681600937376</v>
      </c>
      <c r="O22" s="11"/>
      <c r="P22" s="7">
        <v>368.24</v>
      </c>
      <c r="Q22" s="2"/>
      <c r="R22" s="6">
        <f t="shared" si="12"/>
        <v>0</v>
      </c>
      <c r="S22" s="2"/>
      <c r="T22" s="7">
        <v>324.31</v>
      </c>
      <c r="U22" s="2"/>
      <c r="V22" s="6">
        <f t="shared" si="13"/>
        <v>0</v>
      </c>
      <c r="W22" s="2"/>
      <c r="X22" s="7">
        <f t="shared" si="14"/>
        <v>43.930000000000007</v>
      </c>
      <c r="Y22" s="2"/>
      <c r="Z22" s="6">
        <f t="shared" si="15"/>
        <v>0.13545681600937376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>
        <v>250.39</v>
      </c>
      <c r="E23" s="2"/>
      <c r="F23" s="6">
        <f t="shared" si="8"/>
        <v>0</v>
      </c>
      <c r="G23" s="2"/>
      <c r="H23" s="7">
        <v>227.28</v>
      </c>
      <c r="I23" s="2"/>
      <c r="J23" s="6">
        <f t="shared" si="9"/>
        <v>0</v>
      </c>
      <c r="K23" s="2"/>
      <c r="L23" s="7">
        <f t="shared" si="10"/>
        <v>23.109999999999985</v>
      </c>
      <c r="M23" s="2"/>
      <c r="N23" s="6">
        <f t="shared" si="11"/>
        <v>0.10168074621612101</v>
      </c>
      <c r="O23" s="11"/>
      <c r="P23" s="7">
        <v>250.39</v>
      </c>
      <c r="Q23" s="2"/>
      <c r="R23" s="6">
        <f t="shared" si="12"/>
        <v>0</v>
      </c>
      <c r="S23" s="2"/>
      <c r="T23" s="7">
        <v>227.28</v>
      </c>
      <c r="U23" s="2"/>
      <c r="V23" s="6">
        <f t="shared" si="13"/>
        <v>0</v>
      </c>
      <c r="W23" s="2"/>
      <c r="X23" s="7">
        <f t="shared" si="14"/>
        <v>23.109999999999985</v>
      </c>
      <c r="Y23" s="2"/>
      <c r="Z23" s="6">
        <f t="shared" si="15"/>
        <v>0.10168074621612101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7">
        <v>34.97</v>
      </c>
      <c r="E24" s="2"/>
      <c r="F24" s="6">
        <f t="shared" si="8"/>
        <v>0</v>
      </c>
      <c r="G24" s="2"/>
      <c r="H24" s="7">
        <v>30.68</v>
      </c>
      <c r="I24" s="2"/>
      <c r="J24" s="6">
        <f t="shared" si="9"/>
        <v>0</v>
      </c>
      <c r="K24" s="2"/>
      <c r="L24" s="7">
        <f t="shared" si="10"/>
        <v>4.2899999999999991</v>
      </c>
      <c r="M24" s="2"/>
      <c r="N24" s="6">
        <f t="shared" si="11"/>
        <v>0.13983050847457623</v>
      </c>
      <c r="O24" s="11"/>
      <c r="P24" s="7">
        <v>34.97</v>
      </c>
      <c r="Q24" s="2"/>
      <c r="R24" s="6">
        <f t="shared" si="12"/>
        <v>0</v>
      </c>
      <c r="S24" s="2"/>
      <c r="T24" s="7">
        <v>30.68</v>
      </c>
      <c r="U24" s="2"/>
      <c r="V24" s="6">
        <f t="shared" si="13"/>
        <v>0</v>
      </c>
      <c r="W24" s="2"/>
      <c r="X24" s="7">
        <f t="shared" si="14"/>
        <v>4.2899999999999991</v>
      </c>
      <c r="Y24" s="2"/>
      <c r="Z24" s="6">
        <f t="shared" si="15"/>
        <v>0.13983050847457623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>
        <v>16.78</v>
      </c>
      <c r="E25" s="2"/>
      <c r="F25" s="6">
        <f t="shared" si="8"/>
        <v>0</v>
      </c>
      <c r="G25" s="2"/>
      <c r="H25" s="7">
        <v>16.88</v>
      </c>
      <c r="I25" s="2"/>
      <c r="J25" s="6">
        <f t="shared" si="9"/>
        <v>0</v>
      </c>
      <c r="K25" s="2"/>
      <c r="L25" s="7">
        <f t="shared" si="10"/>
        <v>-9.9999999999997868E-2</v>
      </c>
      <c r="M25" s="2"/>
      <c r="N25" s="6">
        <f t="shared" si="11"/>
        <v>-5.9241706161136179E-3</v>
      </c>
      <c r="O25" s="11"/>
      <c r="P25" s="7">
        <v>16.78</v>
      </c>
      <c r="Q25" s="2"/>
      <c r="R25" s="6">
        <f t="shared" si="12"/>
        <v>0</v>
      </c>
      <c r="S25" s="2"/>
      <c r="T25" s="7">
        <v>16.88</v>
      </c>
      <c r="U25" s="2"/>
      <c r="V25" s="6">
        <f t="shared" si="13"/>
        <v>0</v>
      </c>
      <c r="W25" s="2"/>
      <c r="X25" s="7">
        <f t="shared" si="14"/>
        <v>-9.9999999999997868E-2</v>
      </c>
      <c r="Y25" s="2"/>
      <c r="Z25" s="6">
        <f t="shared" si="15"/>
        <v>-5.9241706161136179E-3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7">
        <v>315.45</v>
      </c>
      <c r="E26" s="2"/>
      <c r="F26" s="6">
        <f t="shared" si="8"/>
        <v>0</v>
      </c>
      <c r="G26" s="2"/>
      <c r="H26" s="7">
        <v>402.63</v>
      </c>
      <c r="I26" s="2"/>
      <c r="J26" s="6">
        <f t="shared" si="9"/>
        <v>0</v>
      </c>
      <c r="K26" s="2"/>
      <c r="L26" s="7">
        <f t="shared" si="10"/>
        <v>-87.18</v>
      </c>
      <c r="M26" s="2"/>
      <c r="N26" s="6">
        <f t="shared" si="11"/>
        <v>-0.21652633931897775</v>
      </c>
      <c r="O26" s="11"/>
      <c r="P26" s="7">
        <v>315.45</v>
      </c>
      <c r="Q26" s="2"/>
      <c r="R26" s="6">
        <f t="shared" si="12"/>
        <v>0</v>
      </c>
      <c r="S26" s="2"/>
      <c r="T26" s="7">
        <v>402.63</v>
      </c>
      <c r="U26" s="2"/>
      <c r="V26" s="6">
        <f t="shared" si="13"/>
        <v>0</v>
      </c>
      <c r="W26" s="2"/>
      <c r="X26" s="7">
        <f t="shared" si="14"/>
        <v>-87.18</v>
      </c>
      <c r="Y26" s="2"/>
      <c r="Z26" s="6">
        <f t="shared" si="15"/>
        <v>-0.21652633931897775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243.83</v>
      </c>
      <c r="E27" s="2"/>
      <c r="F27" s="6">
        <f t="shared" si="8"/>
        <v>0</v>
      </c>
      <c r="G27" s="2"/>
      <c r="H27" s="7">
        <v>190.74</v>
      </c>
      <c r="I27" s="2"/>
      <c r="J27" s="6">
        <f t="shared" si="9"/>
        <v>0</v>
      </c>
      <c r="K27" s="2"/>
      <c r="L27" s="7">
        <f t="shared" si="10"/>
        <v>53.09</v>
      </c>
      <c r="M27" s="2"/>
      <c r="N27" s="6">
        <f t="shared" si="11"/>
        <v>0.27833700325049804</v>
      </c>
      <c r="O27" s="11"/>
      <c r="P27" s="7">
        <v>243.83</v>
      </c>
      <c r="Q27" s="2"/>
      <c r="R27" s="6">
        <f t="shared" si="12"/>
        <v>0</v>
      </c>
      <c r="S27" s="2"/>
      <c r="T27" s="7">
        <v>190.74</v>
      </c>
      <c r="U27" s="2"/>
      <c r="V27" s="6">
        <f t="shared" si="13"/>
        <v>0</v>
      </c>
      <c r="W27" s="2"/>
      <c r="X27" s="7">
        <f t="shared" si="14"/>
        <v>53.09</v>
      </c>
      <c r="Y27" s="2"/>
      <c r="Z27" s="6">
        <f t="shared" si="15"/>
        <v>0.27833700325049804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330.13</v>
      </c>
      <c r="E28" s="2"/>
      <c r="F28" s="6">
        <f t="shared" si="8"/>
        <v>0</v>
      </c>
      <c r="G28" s="2"/>
      <c r="H28" s="7">
        <v>272.32</v>
      </c>
      <c r="I28" s="2"/>
      <c r="J28" s="6">
        <f t="shared" si="9"/>
        <v>0</v>
      </c>
      <c r="K28" s="2"/>
      <c r="L28" s="7">
        <f t="shared" si="10"/>
        <v>57.81</v>
      </c>
      <c r="M28" s="2"/>
      <c r="N28" s="6">
        <f t="shared" si="11"/>
        <v>0.21228701527614571</v>
      </c>
      <c r="O28" s="11"/>
      <c r="P28" s="7">
        <v>330.13</v>
      </c>
      <c r="Q28" s="2"/>
      <c r="R28" s="6">
        <f t="shared" si="12"/>
        <v>0</v>
      </c>
      <c r="S28" s="2"/>
      <c r="T28" s="7">
        <v>272.32</v>
      </c>
      <c r="U28" s="2"/>
      <c r="V28" s="6">
        <f t="shared" si="13"/>
        <v>0</v>
      </c>
      <c r="W28" s="2"/>
      <c r="X28" s="7">
        <f t="shared" si="14"/>
        <v>57.81</v>
      </c>
      <c r="Y28" s="2"/>
      <c r="Z28" s="6">
        <f t="shared" si="15"/>
        <v>0.21228701527614571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147.59</v>
      </c>
      <c r="E29" s="2"/>
      <c r="F29" s="6">
        <f t="shared" si="8"/>
        <v>0</v>
      </c>
      <c r="G29" s="2"/>
      <c r="H29" s="7">
        <v>150</v>
      </c>
      <c r="I29" s="2"/>
      <c r="J29" s="6">
        <f t="shared" si="9"/>
        <v>0</v>
      </c>
      <c r="K29" s="2"/>
      <c r="L29" s="7">
        <f t="shared" si="10"/>
        <v>-2.4099999999999966</v>
      </c>
      <c r="M29" s="2"/>
      <c r="N29" s="6">
        <f t="shared" si="11"/>
        <v>-1.6066666666666642E-2</v>
      </c>
      <c r="O29" s="11"/>
      <c r="P29" s="7">
        <v>147.59</v>
      </c>
      <c r="Q29" s="2"/>
      <c r="R29" s="6">
        <f t="shared" si="12"/>
        <v>0</v>
      </c>
      <c r="S29" s="2"/>
      <c r="T29" s="7">
        <v>150</v>
      </c>
      <c r="U29" s="2"/>
      <c r="V29" s="6">
        <f t="shared" si="13"/>
        <v>0</v>
      </c>
      <c r="W29" s="2"/>
      <c r="X29" s="7">
        <f t="shared" si="14"/>
        <v>-2.4099999999999966</v>
      </c>
      <c r="Y29" s="2"/>
      <c r="Z29" s="6">
        <f t="shared" si="15"/>
        <v>-1.6066666666666642E-2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4803.54</v>
      </c>
      <c r="E30" s="1"/>
      <c r="F30" s="5">
        <f t="shared" ref="F30:F33" si="16">IF(D$12=0,0,D30/D$12)</f>
        <v>0</v>
      </c>
      <c r="G30" s="1"/>
      <c r="H30" s="1">
        <f>SUM(OSRRefH22_1x_0)</f>
        <v>4530.8899999999994</v>
      </c>
      <c r="I30" s="1"/>
      <c r="J30" s="5">
        <f t="shared" ref="J30:J33" si="17">IF(H$12=0,0,H30/H$12)</f>
        <v>0</v>
      </c>
      <c r="K30" s="1"/>
      <c r="L30" s="1">
        <f t="shared" ref="L30:L33" si="18">+D30-H30</f>
        <v>272.65000000000055</v>
      </c>
      <c r="M30" s="1"/>
      <c r="N30" s="5">
        <f t="shared" ref="N30:N33" si="19">IF(H30=0,0,L30/H30)</f>
        <v>6.0175815347536708E-2</v>
      </c>
      <c r="O30" s="14"/>
      <c r="P30" s="1">
        <f>SUM(OSRRefP22_1x_0)</f>
        <v>4803.54</v>
      </c>
      <c r="Q30" s="1"/>
      <c r="R30" s="5">
        <f t="shared" ref="R30:R33" si="20">IF(P$12=0,0,P30/P$12)</f>
        <v>0</v>
      </c>
      <c r="S30" s="1"/>
      <c r="T30" s="1">
        <f>SUM(OSRRefT22_1x_0)</f>
        <v>4530.8899999999994</v>
      </c>
      <c r="U30" s="1"/>
      <c r="V30" s="5">
        <f t="shared" ref="V30:V33" si="21">IF(T$12=0,0,T30/T$12)</f>
        <v>0</v>
      </c>
      <c r="W30" s="1"/>
      <c r="X30" s="1">
        <f t="shared" ref="X30:X33" si="22">+P30-T30</f>
        <v>272.65000000000055</v>
      </c>
      <c r="Y30" s="1"/>
      <c r="Z30" s="5">
        <f t="shared" ref="Z30:Z33" si="23">IF(T30=0,0,X30/T30)</f>
        <v>6.0175815347536708E-2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4419.54</v>
      </c>
      <c r="E31" s="2"/>
      <c r="F31" s="6">
        <f t="shared" si="16"/>
        <v>0</v>
      </c>
      <c r="G31" s="2"/>
      <c r="H31" s="7">
        <v>4090.39</v>
      </c>
      <c r="I31" s="2"/>
      <c r="J31" s="6">
        <f t="shared" si="17"/>
        <v>0</v>
      </c>
      <c r="K31" s="2"/>
      <c r="L31" s="7">
        <f t="shared" si="18"/>
        <v>329.15000000000009</v>
      </c>
      <c r="M31" s="2"/>
      <c r="N31" s="6">
        <f t="shared" si="19"/>
        <v>8.0469099523517343E-2</v>
      </c>
      <c r="O31" s="11"/>
      <c r="P31" s="7">
        <v>4419.54</v>
      </c>
      <c r="Q31" s="2"/>
      <c r="R31" s="6">
        <f t="shared" si="20"/>
        <v>0</v>
      </c>
      <c r="S31" s="2"/>
      <c r="T31" s="7">
        <v>4090.39</v>
      </c>
      <c r="U31" s="2"/>
      <c r="V31" s="6">
        <f t="shared" si="21"/>
        <v>0</v>
      </c>
      <c r="W31" s="2"/>
      <c r="X31" s="7">
        <f t="shared" si="22"/>
        <v>329.15000000000009</v>
      </c>
      <c r="Y31" s="2"/>
      <c r="Z31" s="6">
        <f t="shared" si="23"/>
        <v>8.0469099523517343E-2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168</v>
      </c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168</v>
      </c>
      <c r="M32" s="2"/>
      <c r="N32" s="6">
        <f t="shared" si="19"/>
        <v>0</v>
      </c>
      <c r="O32" s="11"/>
      <c r="P32" s="7">
        <v>168</v>
      </c>
      <c r="Q32" s="2"/>
      <c r="R32" s="6">
        <f t="shared" si="20"/>
        <v>0</v>
      </c>
      <c r="S32" s="2"/>
      <c r="T32" s="7"/>
      <c r="U32" s="2"/>
      <c r="V32" s="6">
        <f t="shared" si="21"/>
        <v>0</v>
      </c>
      <c r="W32" s="2"/>
      <c r="X32" s="7">
        <f t="shared" si="22"/>
        <v>168</v>
      </c>
      <c r="Y32" s="2"/>
      <c r="Z32" s="6">
        <f t="shared" si="23"/>
        <v>0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216</v>
      </c>
      <c r="E33" s="2"/>
      <c r="F33" s="6">
        <f t="shared" si="16"/>
        <v>0</v>
      </c>
      <c r="G33" s="2"/>
      <c r="H33" s="7">
        <v>440.5</v>
      </c>
      <c r="I33" s="2"/>
      <c r="J33" s="6">
        <f t="shared" si="17"/>
        <v>0</v>
      </c>
      <c r="K33" s="2"/>
      <c r="L33" s="7">
        <f t="shared" si="18"/>
        <v>-224.5</v>
      </c>
      <c r="M33" s="2"/>
      <c r="N33" s="6">
        <f t="shared" si="19"/>
        <v>-0.50964812712826335</v>
      </c>
      <c r="O33" s="11"/>
      <c r="P33" s="7">
        <v>216</v>
      </c>
      <c r="Q33" s="2"/>
      <c r="R33" s="6">
        <f t="shared" si="20"/>
        <v>0</v>
      </c>
      <c r="S33" s="2"/>
      <c r="T33" s="7">
        <v>440.5</v>
      </c>
      <c r="U33" s="2"/>
      <c r="V33" s="6">
        <f t="shared" si="21"/>
        <v>0</v>
      </c>
      <c r="W33" s="2"/>
      <c r="X33" s="7">
        <f t="shared" si="22"/>
        <v>-224.5</v>
      </c>
      <c r="Y33" s="2"/>
      <c r="Z33" s="6">
        <f t="shared" si="23"/>
        <v>-0.50964812712826335</v>
      </c>
    </row>
    <row r="34" spans="1:26" s="28" customFormat="1" outlineLevel="1" collapsed="1" x14ac:dyDescent="0.25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89</v>
      </c>
      <c r="E34" s="1"/>
      <c r="F34" s="5">
        <f t="shared" ref="F34:F45" si="24">IF(D$12=0,0,D34/D$12)</f>
        <v>0</v>
      </c>
      <c r="G34" s="1"/>
      <c r="H34" s="1">
        <f>SUM(OSRRefH22_2x_0)</f>
        <v>296</v>
      </c>
      <c r="I34" s="1"/>
      <c r="J34" s="5">
        <f t="shared" ref="J34:J45" si="25">IF(H$12=0,0,H34/H$12)</f>
        <v>0</v>
      </c>
      <c r="K34" s="1"/>
      <c r="L34" s="1">
        <f t="shared" ref="L34:L45" si="26">+D34-H34</f>
        <v>-207</v>
      </c>
      <c r="M34" s="1"/>
      <c r="N34" s="5">
        <f t="shared" ref="N34:N45" si="27">IF(H34=0,0,L34/H34)</f>
        <v>-0.69932432432432434</v>
      </c>
      <c r="O34" s="14"/>
      <c r="P34" s="1">
        <f>SUM(OSRRefP22_2x_0)</f>
        <v>89</v>
      </c>
      <c r="Q34" s="1"/>
      <c r="R34" s="5">
        <f t="shared" ref="R34:R45" si="28">IF(P$12=0,0,P34/P$12)</f>
        <v>0</v>
      </c>
      <c r="S34" s="1"/>
      <c r="T34" s="1">
        <f>SUM(OSRRefT22_2x_0)</f>
        <v>296</v>
      </c>
      <c r="U34" s="1"/>
      <c r="V34" s="5">
        <f t="shared" ref="V34:V45" si="29">IF(T$12=0,0,T34/T$12)</f>
        <v>0</v>
      </c>
      <c r="W34" s="1"/>
      <c r="X34" s="1">
        <f t="shared" ref="X34:X45" si="30">+P34-T34</f>
        <v>-207</v>
      </c>
      <c r="Y34" s="1"/>
      <c r="Z34" s="5">
        <f t="shared" ref="Z34:Z45" si="31">IF(T34=0,0,X34/T34)</f>
        <v>-0.69932432432432434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7">
        <v>89</v>
      </c>
      <c r="E35" s="2"/>
      <c r="F35" s="6">
        <f t="shared" si="24"/>
        <v>0</v>
      </c>
      <c r="G35" s="2"/>
      <c r="H35" s="7">
        <v>296</v>
      </c>
      <c r="I35" s="2"/>
      <c r="J35" s="6">
        <f t="shared" si="25"/>
        <v>0</v>
      </c>
      <c r="K35" s="2"/>
      <c r="L35" s="7">
        <f t="shared" si="26"/>
        <v>-207</v>
      </c>
      <c r="M35" s="2"/>
      <c r="N35" s="6">
        <f t="shared" si="27"/>
        <v>-0.69932432432432434</v>
      </c>
      <c r="O35" s="11"/>
      <c r="P35" s="7">
        <v>89</v>
      </c>
      <c r="Q35" s="2"/>
      <c r="R35" s="6">
        <f t="shared" si="28"/>
        <v>0</v>
      </c>
      <c r="S35" s="2"/>
      <c r="T35" s="7">
        <v>296</v>
      </c>
      <c r="U35" s="2"/>
      <c r="V35" s="6">
        <f t="shared" si="29"/>
        <v>0</v>
      </c>
      <c r="W35" s="2"/>
      <c r="X35" s="7">
        <f t="shared" si="30"/>
        <v>-207</v>
      </c>
      <c r="Y35" s="2"/>
      <c r="Z35" s="6">
        <f t="shared" si="31"/>
        <v>-0.69932432432432434</v>
      </c>
    </row>
    <row r="36" spans="1:26" s="28" customFormat="1" outlineLevel="1" collapsed="1" x14ac:dyDescent="0.25">
      <c r="A36" s="27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2775.32</v>
      </c>
      <c r="E36" s="1"/>
      <c r="F36" s="5">
        <f t="shared" si="24"/>
        <v>0</v>
      </c>
      <c r="G36" s="1"/>
      <c r="H36" s="1">
        <f>SUM(OSRRefH22_3x_0)</f>
        <v>2776.01</v>
      </c>
      <c r="I36" s="1"/>
      <c r="J36" s="5">
        <f t="shared" si="25"/>
        <v>0</v>
      </c>
      <c r="K36" s="1"/>
      <c r="L36" s="1">
        <f t="shared" si="26"/>
        <v>-0.69000000000005457</v>
      </c>
      <c r="M36" s="1"/>
      <c r="N36" s="5">
        <f t="shared" si="27"/>
        <v>-2.4855818242731638E-4</v>
      </c>
      <c r="O36" s="14"/>
      <c r="P36" s="1">
        <f>SUM(OSRRefP22_3x_0)</f>
        <v>2775.32</v>
      </c>
      <c r="Q36" s="1"/>
      <c r="R36" s="5">
        <f t="shared" si="28"/>
        <v>0</v>
      </c>
      <c r="S36" s="1"/>
      <c r="T36" s="1">
        <f>SUM(OSRRefT22_3x_0)</f>
        <v>2776.01</v>
      </c>
      <c r="U36" s="1"/>
      <c r="V36" s="5">
        <f t="shared" si="29"/>
        <v>0</v>
      </c>
      <c r="W36" s="1"/>
      <c r="X36" s="1">
        <f t="shared" si="30"/>
        <v>-0.69000000000005457</v>
      </c>
      <c r="Y36" s="1"/>
      <c r="Z36" s="5">
        <f t="shared" si="31"/>
        <v>-2.4855818242731638E-4</v>
      </c>
    </row>
    <row r="37" spans="1:26" s="24" customFormat="1" hidden="1" outlineLevel="2" x14ac:dyDescent="0.25">
      <c r="A37" s="29"/>
      <c r="B37" s="11" t="str">
        <f>CONCATENATE("          ", "6322", " - ", "EQUIPMENT DEPRECIATION EXPENSE")</f>
        <v xml:space="preserve">          6322 - EQUIPMENT DEPRECIATION EXPENSE</v>
      </c>
      <c r="C37" s="11"/>
      <c r="D37" s="7">
        <v>2775.32</v>
      </c>
      <c r="E37" s="2"/>
      <c r="F37" s="6">
        <f t="shared" si="24"/>
        <v>0</v>
      </c>
      <c r="G37" s="2"/>
      <c r="H37" s="7">
        <v>2776.01</v>
      </c>
      <c r="I37" s="2"/>
      <c r="J37" s="6">
        <f t="shared" si="25"/>
        <v>0</v>
      </c>
      <c r="K37" s="2"/>
      <c r="L37" s="7">
        <f t="shared" si="26"/>
        <v>-0.69000000000005457</v>
      </c>
      <c r="M37" s="2"/>
      <c r="N37" s="6">
        <f t="shared" si="27"/>
        <v>-2.4855818242731638E-4</v>
      </c>
      <c r="O37" s="11"/>
      <c r="P37" s="7">
        <v>2775.32</v>
      </c>
      <c r="Q37" s="2"/>
      <c r="R37" s="6">
        <f t="shared" si="28"/>
        <v>0</v>
      </c>
      <c r="S37" s="2"/>
      <c r="T37" s="7">
        <v>2776.01</v>
      </c>
      <c r="U37" s="2"/>
      <c r="V37" s="6">
        <f t="shared" si="29"/>
        <v>0</v>
      </c>
      <c r="W37" s="2"/>
      <c r="X37" s="7">
        <f t="shared" si="30"/>
        <v>-0.69000000000005457</v>
      </c>
      <c r="Y37" s="2"/>
      <c r="Z37" s="6">
        <f t="shared" si="31"/>
        <v>-2.4855818242731638E-4</v>
      </c>
    </row>
    <row r="38" spans="1:26" s="28" customFormat="1" outlineLevel="1" collapsed="1" x14ac:dyDescent="0.25">
      <c r="A38" s="27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SUM(OSRRefD22_4x_0)</f>
        <v>749.55</v>
      </c>
      <c r="E38" s="1"/>
      <c r="F38" s="5">
        <f t="shared" si="24"/>
        <v>0</v>
      </c>
      <c r="G38" s="1"/>
      <c r="H38" s="1">
        <f>SUM(OSRRefH22_4x_0)</f>
        <v>769.2</v>
      </c>
      <c r="I38" s="1"/>
      <c r="J38" s="5">
        <f t="shared" si="25"/>
        <v>0</v>
      </c>
      <c r="K38" s="1"/>
      <c r="L38" s="1">
        <f t="shared" si="26"/>
        <v>-19.650000000000091</v>
      </c>
      <c r="M38" s="1"/>
      <c r="N38" s="5">
        <f t="shared" si="27"/>
        <v>-2.5546021840873751E-2</v>
      </c>
      <c r="O38" s="14"/>
      <c r="P38" s="1">
        <f>SUM(OSRRefP22_4x_0)</f>
        <v>749.55</v>
      </c>
      <c r="Q38" s="1"/>
      <c r="R38" s="5">
        <f t="shared" si="28"/>
        <v>0</v>
      </c>
      <c r="S38" s="1"/>
      <c r="T38" s="1">
        <f>SUM(OSRRefT22_4x_0)</f>
        <v>769.2</v>
      </c>
      <c r="U38" s="1"/>
      <c r="V38" s="5">
        <f t="shared" si="29"/>
        <v>0</v>
      </c>
      <c r="W38" s="1"/>
      <c r="X38" s="1">
        <f t="shared" si="30"/>
        <v>-19.650000000000091</v>
      </c>
      <c r="Y38" s="1"/>
      <c r="Z38" s="5">
        <f t="shared" si="31"/>
        <v>-2.5546021840873751E-2</v>
      </c>
    </row>
    <row r="39" spans="1:26" s="24" customFormat="1" hidden="1" outlineLevel="2" x14ac:dyDescent="0.25">
      <c r="A39" s="29"/>
      <c r="B39" s="11" t="str">
        <f>CONCATENATE("          ", "6279", " - ", "GENERAL EXPENSE")</f>
        <v xml:space="preserve">          6279 - GENERAL EXPENSE</v>
      </c>
      <c r="C39" s="11"/>
      <c r="D39" s="7">
        <v>749.55</v>
      </c>
      <c r="E39" s="2"/>
      <c r="F39" s="6">
        <f t="shared" si="24"/>
        <v>0</v>
      </c>
      <c r="G39" s="2"/>
      <c r="H39" s="7">
        <v>769.2</v>
      </c>
      <c r="I39" s="2"/>
      <c r="J39" s="6">
        <f t="shared" si="25"/>
        <v>0</v>
      </c>
      <c r="K39" s="2"/>
      <c r="L39" s="7">
        <f t="shared" si="26"/>
        <v>-19.650000000000091</v>
      </c>
      <c r="M39" s="2"/>
      <c r="N39" s="6">
        <f t="shared" si="27"/>
        <v>-2.5546021840873751E-2</v>
      </c>
      <c r="O39" s="11"/>
      <c r="P39" s="7">
        <v>749.55</v>
      </c>
      <c r="Q39" s="2"/>
      <c r="R39" s="6">
        <f t="shared" si="28"/>
        <v>0</v>
      </c>
      <c r="S39" s="2"/>
      <c r="T39" s="7">
        <v>769.2</v>
      </c>
      <c r="U39" s="2"/>
      <c r="V39" s="6">
        <f t="shared" si="29"/>
        <v>0</v>
      </c>
      <c r="W39" s="2"/>
      <c r="X39" s="7">
        <f t="shared" si="30"/>
        <v>-19.650000000000091</v>
      </c>
      <c r="Y39" s="2"/>
      <c r="Z39" s="6">
        <f t="shared" si="31"/>
        <v>-2.5546021840873751E-2</v>
      </c>
    </row>
    <row r="40" spans="1:26" s="28" customFormat="1" outlineLevel="1" collapsed="1" x14ac:dyDescent="0.25">
      <c r="A40" s="27"/>
      <c r="B40" s="14" t="str">
        <f>CONCATENATE("     ","Repair and Maintenance                            ")</f>
        <v xml:space="preserve">     Repair and Maintenance                            </v>
      </c>
      <c r="C40" s="14"/>
      <c r="D40" s="1">
        <f>SUM(OSRRefD22_5x_0)</f>
        <v>286.27999999999997</v>
      </c>
      <c r="E40" s="1"/>
      <c r="F40" s="5">
        <f t="shared" si="24"/>
        <v>0</v>
      </c>
      <c r="G40" s="1"/>
      <c r="H40" s="1">
        <f>SUM(OSRRefH22_5x_0)</f>
        <v>0</v>
      </c>
      <c r="I40" s="1"/>
      <c r="J40" s="5">
        <f t="shared" si="25"/>
        <v>0</v>
      </c>
      <c r="K40" s="1"/>
      <c r="L40" s="1">
        <f t="shared" si="26"/>
        <v>286.27999999999997</v>
      </c>
      <c r="M40" s="1"/>
      <c r="N40" s="5">
        <f t="shared" si="27"/>
        <v>0</v>
      </c>
      <c r="O40" s="14"/>
      <c r="P40" s="1">
        <f>SUM(OSRRefP22_5x_0)</f>
        <v>286.27999999999997</v>
      </c>
      <c r="Q40" s="1"/>
      <c r="R40" s="5">
        <f t="shared" si="28"/>
        <v>0</v>
      </c>
      <c r="S40" s="1"/>
      <c r="T40" s="1">
        <f>SUM(OSRRefT22_5x_0)</f>
        <v>0</v>
      </c>
      <c r="U40" s="1"/>
      <c r="V40" s="5">
        <f t="shared" si="29"/>
        <v>0</v>
      </c>
      <c r="W40" s="1"/>
      <c r="X40" s="1">
        <f t="shared" si="30"/>
        <v>286.27999999999997</v>
      </c>
      <c r="Y40" s="1"/>
      <c r="Z40" s="5">
        <f t="shared" si="31"/>
        <v>0</v>
      </c>
    </row>
    <row r="41" spans="1:26" s="24" customFormat="1" hidden="1" outlineLevel="2" x14ac:dyDescent="0.25">
      <c r="A41" s="29"/>
      <c r="B41" s="11" t="str">
        <f>CONCATENATE("          ", "6375", " - ", "OUTSIDE REPAIRS &amp; MAINTENANCE")</f>
        <v xml:space="preserve">          6375 - OUTSIDE REPAIRS &amp; MAINTENANCE</v>
      </c>
      <c r="C41" s="11"/>
      <c r="D41" s="7">
        <v>286.27999999999997</v>
      </c>
      <c r="E41" s="2"/>
      <c r="F41" s="6">
        <f t="shared" si="24"/>
        <v>0</v>
      </c>
      <c r="G41" s="2"/>
      <c r="H41" s="7"/>
      <c r="I41" s="2"/>
      <c r="J41" s="6">
        <f t="shared" si="25"/>
        <v>0</v>
      </c>
      <c r="K41" s="2"/>
      <c r="L41" s="7">
        <f t="shared" si="26"/>
        <v>286.27999999999997</v>
      </c>
      <c r="M41" s="2"/>
      <c r="N41" s="6">
        <f t="shared" si="27"/>
        <v>0</v>
      </c>
      <c r="O41" s="11"/>
      <c r="P41" s="7">
        <v>286.27999999999997</v>
      </c>
      <c r="Q41" s="2"/>
      <c r="R41" s="6">
        <f t="shared" si="28"/>
        <v>0</v>
      </c>
      <c r="S41" s="2"/>
      <c r="T41" s="7"/>
      <c r="U41" s="2"/>
      <c r="V41" s="6">
        <f t="shared" si="29"/>
        <v>0</v>
      </c>
      <c r="W41" s="2"/>
      <c r="X41" s="7">
        <f t="shared" si="30"/>
        <v>286.27999999999997</v>
      </c>
      <c r="Y41" s="2"/>
      <c r="Z41" s="6">
        <f t="shared" si="31"/>
        <v>0</v>
      </c>
    </row>
    <row r="42" spans="1:26" s="28" customFormat="1" outlineLevel="1" collapsed="1" x14ac:dyDescent="0.25">
      <c r="A42" s="27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SUM(OSRRefD22_6x_0)</f>
        <v>934.26</v>
      </c>
      <c r="E42" s="1"/>
      <c r="F42" s="5">
        <f t="shared" si="24"/>
        <v>0</v>
      </c>
      <c r="G42" s="1"/>
      <c r="H42" s="1">
        <f>SUM(OSRRefH22_6x_0)</f>
        <v>702.23</v>
      </c>
      <c r="I42" s="1"/>
      <c r="J42" s="5">
        <f t="shared" si="25"/>
        <v>0</v>
      </c>
      <c r="K42" s="1"/>
      <c r="L42" s="1">
        <f t="shared" si="26"/>
        <v>232.02999999999997</v>
      </c>
      <c r="M42" s="1"/>
      <c r="N42" s="5">
        <f t="shared" si="27"/>
        <v>0.33041880865243578</v>
      </c>
      <c r="O42" s="14"/>
      <c r="P42" s="1">
        <f>SUM(OSRRefP22_6x_0)</f>
        <v>934.26</v>
      </c>
      <c r="Q42" s="1"/>
      <c r="R42" s="5">
        <f t="shared" si="28"/>
        <v>0</v>
      </c>
      <c r="S42" s="1"/>
      <c r="T42" s="1">
        <f>SUM(OSRRefT22_6x_0)</f>
        <v>702.23</v>
      </c>
      <c r="U42" s="1"/>
      <c r="V42" s="5">
        <f t="shared" si="29"/>
        <v>0</v>
      </c>
      <c r="W42" s="1"/>
      <c r="X42" s="1">
        <f t="shared" si="30"/>
        <v>232.02999999999997</v>
      </c>
      <c r="Y42" s="1"/>
      <c r="Z42" s="5">
        <f t="shared" si="31"/>
        <v>0.33041880865243578</v>
      </c>
    </row>
    <row r="43" spans="1:26" s="24" customFormat="1" hidden="1" outlineLevel="2" x14ac:dyDescent="0.25">
      <c r="A43" s="29"/>
      <c r="B43" s="11" t="str">
        <f>CONCATENATE("          ", "6239", " - ", "KITCHEN SUPPLIES")</f>
        <v xml:space="preserve">          6239 - KITCHEN SUPPLIES</v>
      </c>
      <c r="C43" s="11"/>
      <c r="D43" s="7">
        <v>587.63</v>
      </c>
      <c r="E43" s="2"/>
      <c r="F43" s="6">
        <f t="shared" si="24"/>
        <v>0</v>
      </c>
      <c r="G43" s="2"/>
      <c r="H43" s="7">
        <v>38.22</v>
      </c>
      <c r="I43" s="2"/>
      <c r="J43" s="6">
        <f t="shared" si="25"/>
        <v>0</v>
      </c>
      <c r="K43" s="2"/>
      <c r="L43" s="7">
        <f t="shared" si="26"/>
        <v>549.41</v>
      </c>
      <c r="M43" s="2"/>
      <c r="N43" s="6">
        <f t="shared" si="27"/>
        <v>14.374934589220302</v>
      </c>
      <c r="O43" s="11"/>
      <c r="P43" s="7">
        <v>587.63</v>
      </c>
      <c r="Q43" s="2"/>
      <c r="R43" s="6">
        <f t="shared" si="28"/>
        <v>0</v>
      </c>
      <c r="S43" s="2"/>
      <c r="T43" s="7">
        <v>38.22</v>
      </c>
      <c r="U43" s="2"/>
      <c r="V43" s="6">
        <f t="shared" si="29"/>
        <v>0</v>
      </c>
      <c r="W43" s="2"/>
      <c r="X43" s="7">
        <f t="shared" si="30"/>
        <v>549.41</v>
      </c>
      <c r="Y43" s="2"/>
      <c r="Z43" s="6">
        <f t="shared" si="31"/>
        <v>14.374934589220302</v>
      </c>
    </row>
    <row r="44" spans="1:26" s="24" customFormat="1" hidden="1" outlineLevel="2" x14ac:dyDescent="0.25">
      <c r="A44" s="29"/>
      <c r="B44" s="11" t="str">
        <f>CONCATENATE("          ", "6243", " - ", "PAPER SUPPLIES")</f>
        <v xml:space="preserve">          6243 - PAPER SUPPLIES</v>
      </c>
      <c r="C44" s="11"/>
      <c r="D44" s="7"/>
      <c r="E44" s="2"/>
      <c r="F44" s="6">
        <f t="shared" si="24"/>
        <v>0</v>
      </c>
      <c r="G44" s="2"/>
      <c r="H44" s="7">
        <v>11.44</v>
      </c>
      <c r="I44" s="2"/>
      <c r="J44" s="6">
        <f t="shared" si="25"/>
        <v>0</v>
      </c>
      <c r="K44" s="2"/>
      <c r="L44" s="7">
        <f t="shared" si="26"/>
        <v>-11.44</v>
      </c>
      <c r="M44" s="2"/>
      <c r="N44" s="6">
        <f t="shared" si="27"/>
        <v>-1</v>
      </c>
      <c r="O44" s="11"/>
      <c r="P44" s="7"/>
      <c r="Q44" s="2"/>
      <c r="R44" s="6">
        <f t="shared" si="28"/>
        <v>0</v>
      </c>
      <c r="S44" s="2"/>
      <c r="T44" s="7">
        <v>11.44</v>
      </c>
      <c r="U44" s="2"/>
      <c r="V44" s="6">
        <f t="shared" si="29"/>
        <v>0</v>
      </c>
      <c r="W44" s="2"/>
      <c r="X44" s="7">
        <f t="shared" si="30"/>
        <v>-11.44</v>
      </c>
      <c r="Y44" s="2"/>
      <c r="Z44" s="6">
        <f t="shared" si="31"/>
        <v>-1</v>
      </c>
    </row>
    <row r="45" spans="1:26" s="24" customFormat="1" hidden="1" outlineLevel="2" x14ac:dyDescent="0.25">
      <c r="A45" s="29"/>
      <c r="B45" s="11" t="str">
        <f>CONCATENATE("          ", "6248", " - ", "UNIFORMS")</f>
        <v xml:space="preserve">          6248 - UNIFORMS</v>
      </c>
      <c r="C45" s="11"/>
      <c r="D45" s="7">
        <v>346.63</v>
      </c>
      <c r="E45" s="2"/>
      <c r="F45" s="6">
        <f t="shared" si="24"/>
        <v>0</v>
      </c>
      <c r="G45" s="2"/>
      <c r="H45" s="7">
        <v>652.57000000000005</v>
      </c>
      <c r="I45" s="2"/>
      <c r="J45" s="6">
        <f t="shared" si="25"/>
        <v>0</v>
      </c>
      <c r="K45" s="2"/>
      <c r="L45" s="7">
        <f t="shared" si="26"/>
        <v>-305.94000000000005</v>
      </c>
      <c r="M45" s="2"/>
      <c r="N45" s="6">
        <f t="shared" si="27"/>
        <v>-0.46882326800190022</v>
      </c>
      <c r="O45" s="11"/>
      <c r="P45" s="7">
        <v>346.63</v>
      </c>
      <c r="Q45" s="2"/>
      <c r="R45" s="6">
        <f t="shared" si="28"/>
        <v>0</v>
      </c>
      <c r="S45" s="2"/>
      <c r="T45" s="7">
        <v>652.57000000000005</v>
      </c>
      <c r="U45" s="2"/>
      <c r="V45" s="6">
        <f t="shared" si="29"/>
        <v>0</v>
      </c>
      <c r="W45" s="2"/>
      <c r="X45" s="7">
        <f t="shared" si="30"/>
        <v>-305.94000000000005</v>
      </c>
      <c r="Y45" s="2"/>
      <c r="Z45" s="6">
        <f t="shared" si="31"/>
        <v>-0.46882326800190022</v>
      </c>
    </row>
    <row r="46" spans="1:26" s="28" customFormat="1" outlineLevel="1" collapsed="1" x14ac:dyDescent="0.2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SUM(OSRRefD22_7x_0)</f>
        <v>32</v>
      </c>
      <c r="E46" s="1"/>
      <c r="F46" s="5">
        <f t="shared" ref="F46:F49" si="32">IF(D$12=0,0,D46/D$12)</f>
        <v>0</v>
      </c>
      <c r="G46" s="1"/>
      <c r="H46" s="1">
        <f>SUM(OSRRefH22_7x_0)</f>
        <v>27.1</v>
      </c>
      <c r="I46" s="1"/>
      <c r="J46" s="5">
        <f t="shared" ref="J46:J49" si="33">IF(H$12=0,0,H46/H$12)</f>
        <v>0</v>
      </c>
      <c r="K46" s="1"/>
      <c r="L46" s="1">
        <f t="shared" ref="L46:L49" si="34">+D46-H46</f>
        <v>4.8999999999999986</v>
      </c>
      <c r="M46" s="1"/>
      <c r="N46" s="5">
        <f t="shared" ref="N46:N49" si="35">IF(H46=0,0,L46/H46)</f>
        <v>0.18081180811808112</v>
      </c>
      <c r="O46" s="14"/>
      <c r="P46" s="1">
        <f>SUM(OSRRefP22_7x_0)</f>
        <v>32</v>
      </c>
      <c r="Q46" s="1"/>
      <c r="R46" s="5">
        <f t="shared" ref="R46:R49" si="36">IF(P$12=0,0,P46/P$12)</f>
        <v>0</v>
      </c>
      <c r="S46" s="1"/>
      <c r="T46" s="1">
        <f>SUM(OSRRefT22_7x_0)</f>
        <v>27.1</v>
      </c>
      <c r="U46" s="1"/>
      <c r="V46" s="5">
        <f t="shared" ref="V46:V49" si="37">IF(T$12=0,0,T46/T$12)</f>
        <v>0</v>
      </c>
      <c r="W46" s="1"/>
      <c r="X46" s="1">
        <f t="shared" ref="X46:X49" si="38">+P46-T46</f>
        <v>4.8999999999999986</v>
      </c>
      <c r="Y46" s="1"/>
      <c r="Z46" s="5">
        <f t="shared" ref="Z46:Z49" si="39">IF(T46=0,0,X46/T46)</f>
        <v>0.18081180811808112</v>
      </c>
    </row>
    <row r="47" spans="1:26" s="24" customFormat="1" hidden="1" outlineLevel="2" x14ac:dyDescent="0.25">
      <c r="A47" s="29"/>
      <c r="B47" s="11" t="str">
        <f>CONCATENATE("          ", "6309", " - ", "TELEPHONE")</f>
        <v xml:space="preserve">          6309 - TELEPHONE</v>
      </c>
      <c r="C47" s="11"/>
      <c r="D47" s="7">
        <v>32</v>
      </c>
      <c r="E47" s="2"/>
      <c r="F47" s="6">
        <f t="shared" si="32"/>
        <v>0</v>
      </c>
      <c r="G47" s="2"/>
      <c r="H47" s="7">
        <v>27.1</v>
      </c>
      <c r="I47" s="2"/>
      <c r="J47" s="6">
        <f t="shared" si="33"/>
        <v>0</v>
      </c>
      <c r="K47" s="2"/>
      <c r="L47" s="7">
        <f t="shared" si="34"/>
        <v>4.8999999999999986</v>
      </c>
      <c r="M47" s="2"/>
      <c r="N47" s="6">
        <f t="shared" si="35"/>
        <v>0.18081180811808112</v>
      </c>
      <c r="O47" s="11"/>
      <c r="P47" s="7">
        <v>32</v>
      </c>
      <c r="Q47" s="2"/>
      <c r="R47" s="6">
        <f t="shared" si="36"/>
        <v>0</v>
      </c>
      <c r="S47" s="2"/>
      <c r="T47" s="7">
        <v>27.1</v>
      </c>
      <c r="U47" s="2"/>
      <c r="V47" s="6">
        <f t="shared" si="37"/>
        <v>0</v>
      </c>
      <c r="W47" s="2"/>
      <c r="X47" s="7">
        <f t="shared" si="38"/>
        <v>4.8999999999999986</v>
      </c>
      <c r="Y47" s="2"/>
      <c r="Z47" s="6">
        <f t="shared" si="39"/>
        <v>0.18081180811808112</v>
      </c>
    </row>
    <row r="48" spans="1:26" s="28" customFormat="1" outlineLevel="1" collapsed="1" x14ac:dyDescent="0.25">
      <c r="A48" s="27"/>
      <c r="B48" s="14" t="str">
        <f>CONCATENATE("     ","Training                                          ")</f>
        <v xml:space="preserve">     Training                                          </v>
      </c>
      <c r="C48" s="14"/>
      <c r="D48" s="1">
        <f>SUM(OSRRefD22_8x_0)</f>
        <v>152.94999999999999</v>
      </c>
      <c r="E48" s="1"/>
      <c r="F48" s="5">
        <f t="shared" si="32"/>
        <v>0</v>
      </c>
      <c r="G48" s="1"/>
      <c r="H48" s="1">
        <f>SUM(OSRRefH22_8x_0)</f>
        <v>0</v>
      </c>
      <c r="I48" s="1"/>
      <c r="J48" s="5">
        <f t="shared" si="33"/>
        <v>0</v>
      </c>
      <c r="K48" s="1"/>
      <c r="L48" s="1">
        <f t="shared" si="34"/>
        <v>152.94999999999999</v>
      </c>
      <c r="M48" s="1"/>
      <c r="N48" s="5">
        <f t="shared" si="35"/>
        <v>0</v>
      </c>
      <c r="O48" s="14"/>
      <c r="P48" s="1">
        <f>SUM(OSRRefP22_8x_0)</f>
        <v>152.94999999999999</v>
      </c>
      <c r="Q48" s="1"/>
      <c r="R48" s="5">
        <f t="shared" si="36"/>
        <v>0</v>
      </c>
      <c r="S48" s="1"/>
      <c r="T48" s="1">
        <f>SUM(OSRRefT22_8x_0)</f>
        <v>0</v>
      </c>
      <c r="U48" s="1"/>
      <c r="V48" s="5">
        <f t="shared" si="37"/>
        <v>0</v>
      </c>
      <c r="W48" s="1"/>
      <c r="X48" s="1">
        <f t="shared" si="38"/>
        <v>152.94999999999999</v>
      </c>
      <c r="Y48" s="1"/>
      <c r="Z48" s="5">
        <f t="shared" si="39"/>
        <v>0</v>
      </c>
    </row>
    <row r="49" spans="1:26" s="24" customFormat="1" hidden="1" outlineLevel="2" x14ac:dyDescent="0.25">
      <c r="A49" s="29"/>
      <c r="B49" s="11" t="str">
        <f>CONCATENATE("          ", "6376", " - ", "TRAINING")</f>
        <v xml:space="preserve">          6376 - TRAINING</v>
      </c>
      <c r="C49" s="11"/>
      <c r="D49" s="7">
        <v>152.94999999999999</v>
      </c>
      <c r="E49" s="2"/>
      <c r="F49" s="6">
        <f t="shared" si="32"/>
        <v>0</v>
      </c>
      <c r="G49" s="2"/>
      <c r="H49" s="7"/>
      <c r="I49" s="2"/>
      <c r="J49" s="6">
        <f t="shared" si="33"/>
        <v>0</v>
      </c>
      <c r="K49" s="2"/>
      <c r="L49" s="7">
        <f t="shared" si="34"/>
        <v>152.94999999999999</v>
      </c>
      <c r="M49" s="2"/>
      <c r="N49" s="6">
        <f t="shared" si="35"/>
        <v>0</v>
      </c>
      <c r="O49" s="11"/>
      <c r="P49" s="7">
        <v>152.94999999999999</v>
      </c>
      <c r="Q49" s="2"/>
      <c r="R49" s="6">
        <f t="shared" si="36"/>
        <v>0</v>
      </c>
      <c r="S49" s="2"/>
      <c r="T49" s="7"/>
      <c r="U49" s="2"/>
      <c r="V49" s="6">
        <f t="shared" si="37"/>
        <v>0</v>
      </c>
      <c r="W49" s="2"/>
      <c r="X49" s="7">
        <f t="shared" si="38"/>
        <v>152.94999999999999</v>
      </c>
      <c r="Y49" s="2"/>
      <c r="Z49" s="6">
        <f t="shared" si="39"/>
        <v>0</v>
      </c>
    </row>
    <row r="50" spans="1:26" s="54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6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3</v>
      </c>
      <c r="C53" s="25"/>
      <c r="D53" s="21">
        <f>+D18-D20+D51</f>
        <v>-11530.56</v>
      </c>
      <c r="E53" s="13"/>
      <c r="F53" s="20">
        <f>IF(D$12=0,0,D53/D$12)</f>
        <v>0</v>
      </c>
      <c r="G53" s="13"/>
      <c r="H53" s="21">
        <f>+H18-H20+H51</f>
        <v>-10716.43</v>
      </c>
      <c r="I53" s="13"/>
      <c r="J53" s="20">
        <f>IF(H$12=0,0,H53/H$12)</f>
        <v>0</v>
      </c>
      <c r="K53" s="16"/>
      <c r="L53" s="21">
        <f>+D53-H53</f>
        <v>-814.1299999999992</v>
      </c>
      <c r="M53" s="16"/>
      <c r="N53" s="20">
        <f>IF(H53=0,0,L53/H53)</f>
        <v>7.5970262484801293E-2</v>
      </c>
      <c r="O53" s="26"/>
      <c r="P53" s="21">
        <f>+P18-P20+P51</f>
        <v>-11530.56</v>
      </c>
      <c r="Q53" s="13"/>
      <c r="R53" s="20">
        <f>IF(P$12=0,0,P53/P$12)</f>
        <v>0</v>
      </c>
      <c r="S53" s="13"/>
      <c r="T53" s="21">
        <f>+T18-T20+T51</f>
        <v>-10716.43</v>
      </c>
      <c r="U53" s="13"/>
      <c r="V53" s="20">
        <f>IF(T$12=0,0,T53/T$12)</f>
        <v>0</v>
      </c>
      <c r="W53" s="16"/>
      <c r="X53" s="21">
        <f>+P53-T53</f>
        <v>-814.1299999999992</v>
      </c>
      <c r="Y53" s="16"/>
      <c r="Z53" s="20">
        <f>IF(T53=0,0,X53/T53)</f>
        <v>7.5970262484801293E-2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5" t="s">
        <v>4</v>
      </c>
      <c r="C57" s="25"/>
      <c r="D57" s="33">
        <f>+D53-D55</f>
        <v>-11530.56</v>
      </c>
      <c r="E57" s="13"/>
      <c r="F57" s="34">
        <f>IF(D$12=0,0,D57/D$12)</f>
        <v>0</v>
      </c>
      <c r="G57" s="13"/>
      <c r="H57" s="33">
        <f>+H53-H55</f>
        <v>-10716.43</v>
      </c>
      <c r="I57" s="13"/>
      <c r="J57" s="34">
        <f>IF(H$12=0,0,H57/H$12)</f>
        <v>0</v>
      </c>
      <c r="K57" s="16"/>
      <c r="L57" s="33">
        <f>D57-H57</f>
        <v>-814.1299999999992</v>
      </c>
      <c r="M57" s="16"/>
      <c r="N57" s="34">
        <f>IF(H57=0,0,L57/H57)</f>
        <v>7.5970262484801293E-2</v>
      </c>
      <c r="O57" s="26"/>
      <c r="P57" s="33">
        <f>+P53-P55</f>
        <v>-11530.56</v>
      </c>
      <c r="Q57" s="13"/>
      <c r="R57" s="34">
        <f>IF(P$12=0,0,P57/P$12)</f>
        <v>0</v>
      </c>
      <c r="S57" s="13"/>
      <c r="T57" s="33">
        <f>+T53-T55</f>
        <v>-10716.43</v>
      </c>
      <c r="U57" s="13"/>
      <c r="V57" s="34">
        <f>IF(T$12=0,0,T57/T$12)</f>
        <v>0</v>
      </c>
      <c r="W57" s="16"/>
      <c r="X57" s="33">
        <f>P57-T57</f>
        <v>-814.1299999999992</v>
      </c>
      <c r="Y57" s="16"/>
      <c r="Z57" s="34">
        <f>IF(T57=0,0,X57/T57)</f>
        <v>7.5970262484801293E-2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5" t="s">
        <v>5</v>
      </c>
      <c r="C60" s="25"/>
      <c r="D60" s="31">
        <f>SUM(D57:D59)</f>
        <v>-11530.56</v>
      </c>
      <c r="E60" s="13"/>
      <c r="F60" s="30">
        <f>IF(D$12=0,0,D60/D$12)</f>
        <v>0</v>
      </c>
      <c r="G60" s="13"/>
      <c r="H60" s="31">
        <f>SUM(H57:H59)</f>
        <v>-10716.43</v>
      </c>
      <c r="I60" s="13"/>
      <c r="J60" s="30">
        <f>IF(H$12=0,0,H60/H$12)</f>
        <v>0</v>
      </c>
      <c r="K60" s="16"/>
      <c r="L60" s="31">
        <f>+D60-H60</f>
        <v>-814.1299999999992</v>
      </c>
      <c r="M60" s="16"/>
      <c r="N60" s="30">
        <f>IF(H60=0,0,L60/H60)</f>
        <v>7.5970262484801293E-2</v>
      </c>
      <c r="O60" s="26"/>
      <c r="P60" s="31">
        <f>SUM(P57:P59)</f>
        <v>-11530.56</v>
      </c>
      <c r="Q60" s="13"/>
      <c r="R60" s="30">
        <f>IF(P$12=0,0,P60/P$12)</f>
        <v>0</v>
      </c>
      <c r="S60" s="13"/>
      <c r="T60" s="31">
        <f>SUM(T57:T59)</f>
        <v>-10716.43</v>
      </c>
      <c r="U60" s="13"/>
      <c r="V60" s="30">
        <f>IF(T$12=0,0,T60/T$12)</f>
        <v>0</v>
      </c>
      <c r="W60" s="16"/>
      <c r="X60" s="31">
        <f>+P60-T60</f>
        <v>-814.1299999999992</v>
      </c>
      <c r="Y60" s="16"/>
      <c r="Z60" s="30">
        <f>IF(T60=0,0,X60/T60)</f>
        <v>7.5970262484801293E-2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6">
        <v>43726.682150462962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3" t="s">
        <v>313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5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25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96371.979999999981</v>
      </c>
      <c r="E18" s="19"/>
      <c r="F18" s="35">
        <f t="shared" ref="F18:F28" si="0">IF(D$12=0,0,D18/D$12)</f>
        <v>0</v>
      </c>
      <c r="G18" s="19"/>
      <c r="H18" s="19">
        <f>SUM(OSRRefH22x_0)</f>
        <v>93924.089999999982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2447.8899999999994</v>
      </c>
      <c r="M18" s="4"/>
      <c r="N18" s="35">
        <f t="shared" ref="N18:N28" si="3">IF(H18=0,0,L18/H18)</f>
        <v>2.6062429777067842E-2</v>
      </c>
      <c r="O18" s="10"/>
      <c r="P18" s="19">
        <f>SUM(OSRRefP22x_0)</f>
        <v>96371.979999999981</v>
      </c>
      <c r="Q18" s="19"/>
      <c r="R18" s="35">
        <f t="shared" ref="R18:R28" si="4">IF(P$12=0,0,P18/P$12)</f>
        <v>0</v>
      </c>
      <c r="S18" s="19"/>
      <c r="T18" s="19">
        <f>SUM(OSRRefT22x_0)</f>
        <v>93924.089999999982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2447.8899999999994</v>
      </c>
      <c r="Y18" s="4"/>
      <c r="Z18" s="35">
        <f t="shared" ref="Z18:Z28" si="7">IF(T18=0,0,X18/T18)</f>
        <v>2.6062429777067842E-2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12069.58</v>
      </c>
      <c r="E19" s="1"/>
      <c r="F19" s="5">
        <f t="shared" si="0"/>
        <v>0</v>
      </c>
      <c r="G19" s="1"/>
      <c r="H19" s="1">
        <f>SUM(OSRRefH22_0x_0)</f>
        <v>10376.9</v>
      </c>
      <c r="I19" s="1"/>
      <c r="J19" s="5">
        <f t="shared" si="1"/>
        <v>0</v>
      </c>
      <c r="K19" s="1"/>
      <c r="L19" s="1">
        <f t="shared" si="2"/>
        <v>1692.6800000000003</v>
      </c>
      <c r="M19" s="1"/>
      <c r="N19" s="5">
        <f t="shared" si="3"/>
        <v>0.16312000693848841</v>
      </c>
      <c r="O19" s="14"/>
      <c r="P19" s="1">
        <f>SUM(OSRRefP22_0x_0)</f>
        <v>12069.58</v>
      </c>
      <c r="Q19" s="1"/>
      <c r="R19" s="5">
        <f t="shared" si="4"/>
        <v>0</v>
      </c>
      <c r="S19" s="1"/>
      <c r="T19" s="1">
        <f>SUM(OSRRefT22_0x_0)</f>
        <v>10376.9</v>
      </c>
      <c r="U19" s="1"/>
      <c r="V19" s="5">
        <f t="shared" si="5"/>
        <v>0</v>
      </c>
      <c r="W19" s="1"/>
      <c r="X19" s="1">
        <f t="shared" si="6"/>
        <v>1692.6800000000003</v>
      </c>
      <c r="Y19" s="1"/>
      <c r="Z19" s="5">
        <f t="shared" si="7"/>
        <v>0.16312000693848841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2128.23</v>
      </c>
      <c r="E20" s="2"/>
      <c r="F20" s="6">
        <f t="shared" si="0"/>
        <v>0</v>
      </c>
      <c r="G20" s="2"/>
      <c r="H20" s="7">
        <v>1429.42</v>
      </c>
      <c r="I20" s="2"/>
      <c r="J20" s="6">
        <f t="shared" si="1"/>
        <v>0</v>
      </c>
      <c r="K20" s="2"/>
      <c r="L20" s="7">
        <f t="shared" si="2"/>
        <v>698.81</v>
      </c>
      <c r="M20" s="2"/>
      <c r="N20" s="6">
        <f t="shared" si="3"/>
        <v>0.48887660729526655</v>
      </c>
      <c r="O20" s="11"/>
      <c r="P20" s="7">
        <v>2128.23</v>
      </c>
      <c r="Q20" s="2"/>
      <c r="R20" s="6">
        <f t="shared" si="4"/>
        <v>0</v>
      </c>
      <c r="S20" s="2"/>
      <c r="T20" s="7">
        <v>1429.42</v>
      </c>
      <c r="U20" s="2"/>
      <c r="V20" s="6">
        <f t="shared" si="5"/>
        <v>0</v>
      </c>
      <c r="W20" s="2"/>
      <c r="X20" s="7">
        <f t="shared" si="6"/>
        <v>698.81</v>
      </c>
      <c r="Y20" s="2"/>
      <c r="Z20" s="6">
        <f t="shared" si="7"/>
        <v>0.48887660729526655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700.56</v>
      </c>
      <c r="E21" s="2"/>
      <c r="F21" s="6">
        <f t="shared" si="0"/>
        <v>0</v>
      </c>
      <c r="G21" s="2"/>
      <c r="H21" s="7">
        <v>845.4</v>
      </c>
      <c r="I21" s="2"/>
      <c r="J21" s="6">
        <f t="shared" si="1"/>
        <v>0</v>
      </c>
      <c r="K21" s="2"/>
      <c r="L21" s="7">
        <f t="shared" si="2"/>
        <v>-144.84000000000003</v>
      </c>
      <c r="M21" s="2"/>
      <c r="N21" s="6">
        <f t="shared" si="3"/>
        <v>-0.17132718239886449</v>
      </c>
      <c r="O21" s="11"/>
      <c r="P21" s="7">
        <v>700.56</v>
      </c>
      <c r="Q21" s="2"/>
      <c r="R21" s="6">
        <f t="shared" si="4"/>
        <v>0</v>
      </c>
      <c r="S21" s="2"/>
      <c r="T21" s="7">
        <v>845.4</v>
      </c>
      <c r="U21" s="2"/>
      <c r="V21" s="6">
        <f t="shared" si="5"/>
        <v>0</v>
      </c>
      <c r="W21" s="2"/>
      <c r="X21" s="7">
        <f t="shared" si="6"/>
        <v>-144.84000000000003</v>
      </c>
      <c r="Y21" s="2"/>
      <c r="Z21" s="6">
        <f t="shared" si="7"/>
        <v>-0.17132718239886449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3654.92</v>
      </c>
      <c r="E22" s="2"/>
      <c r="F22" s="6">
        <f t="shared" si="0"/>
        <v>0</v>
      </c>
      <c r="G22" s="2"/>
      <c r="H22" s="7">
        <v>1358.44</v>
      </c>
      <c r="I22" s="2"/>
      <c r="J22" s="6">
        <f t="shared" si="1"/>
        <v>0</v>
      </c>
      <c r="K22" s="2"/>
      <c r="L22" s="7">
        <f t="shared" si="2"/>
        <v>2296.48</v>
      </c>
      <c r="M22" s="2"/>
      <c r="N22" s="6">
        <f t="shared" si="3"/>
        <v>1.6905273696298695</v>
      </c>
      <c r="O22" s="11"/>
      <c r="P22" s="7">
        <v>3654.92</v>
      </c>
      <c r="Q22" s="2"/>
      <c r="R22" s="6">
        <f t="shared" si="4"/>
        <v>0</v>
      </c>
      <c r="S22" s="2"/>
      <c r="T22" s="7">
        <v>1358.44</v>
      </c>
      <c r="U22" s="2"/>
      <c r="V22" s="6">
        <f t="shared" si="5"/>
        <v>0</v>
      </c>
      <c r="W22" s="2"/>
      <c r="X22" s="7">
        <f t="shared" si="6"/>
        <v>2296.48</v>
      </c>
      <c r="Y22" s="2"/>
      <c r="Z22" s="6">
        <f t="shared" si="7"/>
        <v>1.6905273696298695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59.4</v>
      </c>
      <c r="E23" s="2"/>
      <c r="F23" s="6">
        <f t="shared" si="0"/>
        <v>0</v>
      </c>
      <c r="G23" s="2"/>
      <c r="H23" s="7">
        <v>71.97</v>
      </c>
      <c r="I23" s="2"/>
      <c r="J23" s="6">
        <f t="shared" si="1"/>
        <v>0</v>
      </c>
      <c r="K23" s="2"/>
      <c r="L23" s="7">
        <f t="shared" si="2"/>
        <v>-12.57</v>
      </c>
      <c r="M23" s="2"/>
      <c r="N23" s="6">
        <f t="shared" si="3"/>
        <v>-0.17465610671112963</v>
      </c>
      <c r="O23" s="11"/>
      <c r="P23" s="7">
        <v>59.4</v>
      </c>
      <c r="Q23" s="2"/>
      <c r="R23" s="6">
        <f t="shared" si="4"/>
        <v>0</v>
      </c>
      <c r="S23" s="2"/>
      <c r="T23" s="7">
        <v>71.97</v>
      </c>
      <c r="U23" s="2"/>
      <c r="V23" s="6">
        <f t="shared" si="5"/>
        <v>0</v>
      </c>
      <c r="W23" s="2"/>
      <c r="X23" s="7">
        <f t="shared" si="6"/>
        <v>-12.57</v>
      </c>
      <c r="Y23" s="2"/>
      <c r="Z23" s="6">
        <f t="shared" si="7"/>
        <v>-0.17465610671112963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1169.0899999999999</v>
      </c>
      <c r="E24" s="2"/>
      <c r="F24" s="6">
        <f t="shared" si="0"/>
        <v>0</v>
      </c>
      <c r="G24" s="2"/>
      <c r="H24" s="7">
        <v>1564.47</v>
      </c>
      <c r="I24" s="2"/>
      <c r="J24" s="6">
        <f t="shared" si="1"/>
        <v>0</v>
      </c>
      <c r="K24" s="2"/>
      <c r="L24" s="7">
        <f t="shared" si="2"/>
        <v>-395.38000000000011</v>
      </c>
      <c r="M24" s="2"/>
      <c r="N24" s="6">
        <f t="shared" si="3"/>
        <v>-0.25272456486861372</v>
      </c>
      <c r="O24" s="11"/>
      <c r="P24" s="7">
        <v>1169.0899999999999</v>
      </c>
      <c r="Q24" s="2"/>
      <c r="R24" s="6">
        <f t="shared" si="4"/>
        <v>0</v>
      </c>
      <c r="S24" s="2"/>
      <c r="T24" s="7">
        <v>1564.47</v>
      </c>
      <c r="U24" s="2"/>
      <c r="V24" s="6">
        <f t="shared" si="5"/>
        <v>0</v>
      </c>
      <c r="W24" s="2"/>
      <c r="X24" s="7">
        <f t="shared" si="6"/>
        <v>-395.38000000000011</v>
      </c>
      <c r="Y24" s="2"/>
      <c r="Z24" s="6">
        <f t="shared" si="7"/>
        <v>-0.25272456486861372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56</v>
      </c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56</v>
      </c>
      <c r="Q25" s="2"/>
      <c r="R25" s="6">
        <f t="shared" si="4"/>
        <v>0</v>
      </c>
      <c r="S25" s="2"/>
      <c r="T25" s="7">
        <v>56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2090.27</v>
      </c>
      <c r="E26" s="2"/>
      <c r="F26" s="6">
        <f t="shared" si="0"/>
        <v>0</v>
      </c>
      <c r="G26" s="2"/>
      <c r="H26" s="7">
        <v>2183.5700000000002</v>
      </c>
      <c r="I26" s="2"/>
      <c r="J26" s="6">
        <f t="shared" si="1"/>
        <v>0</v>
      </c>
      <c r="K26" s="2"/>
      <c r="L26" s="7">
        <f t="shared" si="2"/>
        <v>-93.300000000000182</v>
      </c>
      <c r="M26" s="2"/>
      <c r="N26" s="6">
        <f t="shared" si="3"/>
        <v>-4.2728192821846873E-2</v>
      </c>
      <c r="O26" s="11"/>
      <c r="P26" s="7">
        <v>2090.27</v>
      </c>
      <c r="Q26" s="2"/>
      <c r="R26" s="6">
        <f t="shared" si="4"/>
        <v>0</v>
      </c>
      <c r="S26" s="2"/>
      <c r="T26" s="7">
        <v>2183.5700000000002</v>
      </c>
      <c r="U26" s="2"/>
      <c r="V26" s="6">
        <f t="shared" si="5"/>
        <v>0</v>
      </c>
      <c r="W26" s="2"/>
      <c r="X26" s="7">
        <f t="shared" si="6"/>
        <v>-93.300000000000182</v>
      </c>
      <c r="Y26" s="2"/>
      <c r="Z26" s="6">
        <f t="shared" si="7"/>
        <v>-4.2728192821846873E-2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1962.53</v>
      </c>
      <c r="E27" s="2"/>
      <c r="F27" s="6">
        <f t="shared" si="0"/>
        <v>0</v>
      </c>
      <c r="G27" s="2"/>
      <c r="H27" s="7">
        <v>2647.66</v>
      </c>
      <c r="I27" s="2"/>
      <c r="J27" s="6">
        <f t="shared" si="1"/>
        <v>0</v>
      </c>
      <c r="K27" s="2"/>
      <c r="L27" s="7">
        <f t="shared" si="2"/>
        <v>-685.12999999999988</v>
      </c>
      <c r="M27" s="2"/>
      <c r="N27" s="6">
        <f t="shared" si="3"/>
        <v>-0.25876811977368691</v>
      </c>
      <c r="O27" s="11"/>
      <c r="P27" s="7">
        <v>1962.53</v>
      </c>
      <c r="Q27" s="2"/>
      <c r="R27" s="6">
        <f t="shared" si="4"/>
        <v>0</v>
      </c>
      <c r="S27" s="2"/>
      <c r="T27" s="7">
        <v>2647.66</v>
      </c>
      <c r="U27" s="2"/>
      <c r="V27" s="6">
        <f t="shared" si="5"/>
        <v>0</v>
      </c>
      <c r="W27" s="2"/>
      <c r="X27" s="7">
        <f t="shared" si="6"/>
        <v>-685.12999999999988</v>
      </c>
      <c r="Y27" s="2"/>
      <c r="Z27" s="6">
        <f t="shared" si="7"/>
        <v>-0.25876811977368691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248.58</v>
      </c>
      <c r="E28" s="2"/>
      <c r="F28" s="6">
        <f t="shared" si="0"/>
        <v>0</v>
      </c>
      <c r="G28" s="2"/>
      <c r="H28" s="7">
        <v>219.97</v>
      </c>
      <c r="I28" s="2"/>
      <c r="J28" s="6">
        <f t="shared" si="1"/>
        <v>0</v>
      </c>
      <c r="K28" s="2"/>
      <c r="L28" s="7">
        <f t="shared" si="2"/>
        <v>28.610000000000014</v>
      </c>
      <c r="M28" s="2"/>
      <c r="N28" s="6">
        <f t="shared" si="3"/>
        <v>0.1300631904350594</v>
      </c>
      <c r="O28" s="11"/>
      <c r="P28" s="7">
        <v>248.58</v>
      </c>
      <c r="Q28" s="2"/>
      <c r="R28" s="6">
        <f t="shared" si="4"/>
        <v>0</v>
      </c>
      <c r="S28" s="2"/>
      <c r="T28" s="7">
        <v>219.97</v>
      </c>
      <c r="U28" s="2"/>
      <c r="V28" s="6">
        <f t="shared" si="5"/>
        <v>0</v>
      </c>
      <c r="W28" s="2"/>
      <c r="X28" s="7">
        <f t="shared" si="6"/>
        <v>28.610000000000014</v>
      </c>
      <c r="Y28" s="2"/>
      <c r="Z28" s="6">
        <f t="shared" si="7"/>
        <v>0.1300631904350594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31487.39</v>
      </c>
      <c r="E29" s="1"/>
      <c r="F29" s="5">
        <f t="shared" ref="F29:F35" si="8">IF(D$12=0,0,D29/D$12)</f>
        <v>0</v>
      </c>
      <c r="G29" s="1"/>
      <c r="H29" s="1">
        <f>SUM(OSRRefH22_1x_0)</f>
        <v>18331.37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13156.02</v>
      </c>
      <c r="M29" s="1"/>
      <c r="N29" s="5">
        <f t="shared" ref="N29:N35" si="11">IF(H29=0,0,L29/H29)</f>
        <v>0.71767794769294391</v>
      </c>
      <c r="O29" s="14"/>
      <c r="P29" s="1">
        <f>SUM(OSRRefP22_1x_0)</f>
        <v>31487.39</v>
      </c>
      <c r="Q29" s="1"/>
      <c r="R29" s="5">
        <f t="shared" ref="R29:R35" si="12">IF(P$12=0,0,P29/P$12)</f>
        <v>0</v>
      </c>
      <c r="S29" s="1"/>
      <c r="T29" s="1">
        <f>SUM(OSRRefT22_1x_0)</f>
        <v>18331.37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13156.02</v>
      </c>
      <c r="Y29" s="1"/>
      <c r="Z29" s="5">
        <f t="shared" ref="Z29:Z35" si="15">IF(T29=0,0,X29/T29)</f>
        <v>0.71767794769294391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10135.49</v>
      </c>
      <c r="E30" s="2"/>
      <c r="F30" s="6">
        <f t="shared" si="8"/>
        <v>0</v>
      </c>
      <c r="G30" s="2"/>
      <c r="H30" s="7">
        <v>8556.8700000000008</v>
      </c>
      <c r="I30" s="2"/>
      <c r="J30" s="6">
        <f t="shared" si="9"/>
        <v>0</v>
      </c>
      <c r="K30" s="2"/>
      <c r="L30" s="7">
        <f t="shared" si="10"/>
        <v>1578.619999999999</v>
      </c>
      <c r="M30" s="2"/>
      <c r="N30" s="6">
        <f t="shared" si="11"/>
        <v>0.18448568226465972</v>
      </c>
      <c r="O30" s="11"/>
      <c r="P30" s="7">
        <v>10135.49</v>
      </c>
      <c r="Q30" s="2"/>
      <c r="R30" s="6">
        <f t="shared" si="12"/>
        <v>0</v>
      </c>
      <c r="S30" s="2"/>
      <c r="T30" s="7">
        <v>8556.8700000000008</v>
      </c>
      <c r="U30" s="2"/>
      <c r="V30" s="6">
        <f t="shared" si="13"/>
        <v>0</v>
      </c>
      <c r="W30" s="2"/>
      <c r="X30" s="7">
        <f t="shared" si="14"/>
        <v>1578.619999999999</v>
      </c>
      <c r="Y30" s="2"/>
      <c r="Z30" s="6">
        <f t="shared" si="15"/>
        <v>0.18448568226465972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4217.24</v>
      </c>
      <c r="E31" s="2"/>
      <c r="F31" s="6">
        <f t="shared" si="8"/>
        <v>0</v>
      </c>
      <c r="G31" s="2"/>
      <c r="H31" s="7">
        <v>3625.2</v>
      </c>
      <c r="I31" s="2"/>
      <c r="J31" s="6">
        <f t="shared" si="9"/>
        <v>0</v>
      </c>
      <c r="K31" s="2"/>
      <c r="L31" s="7">
        <f t="shared" si="10"/>
        <v>592.04</v>
      </c>
      <c r="M31" s="2"/>
      <c r="N31" s="6">
        <f t="shared" si="11"/>
        <v>0.16331236897274634</v>
      </c>
      <c r="O31" s="11"/>
      <c r="P31" s="7">
        <v>4217.24</v>
      </c>
      <c r="Q31" s="2"/>
      <c r="R31" s="6">
        <f t="shared" si="12"/>
        <v>0</v>
      </c>
      <c r="S31" s="2"/>
      <c r="T31" s="7">
        <v>3625.2</v>
      </c>
      <c r="U31" s="2"/>
      <c r="V31" s="6">
        <f t="shared" si="13"/>
        <v>0</v>
      </c>
      <c r="W31" s="2"/>
      <c r="X31" s="7">
        <f t="shared" si="14"/>
        <v>592.04</v>
      </c>
      <c r="Y31" s="2"/>
      <c r="Z31" s="6">
        <f t="shared" si="15"/>
        <v>0.16331236897274634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>
        <v>2191.84</v>
      </c>
      <c r="E32" s="2"/>
      <c r="F32" s="6">
        <f t="shared" si="8"/>
        <v>0</v>
      </c>
      <c r="G32" s="2"/>
      <c r="H32" s="7">
        <v>199.8</v>
      </c>
      <c r="I32" s="2"/>
      <c r="J32" s="6">
        <f t="shared" si="9"/>
        <v>0</v>
      </c>
      <c r="K32" s="2"/>
      <c r="L32" s="7">
        <f t="shared" si="10"/>
        <v>1992.0400000000002</v>
      </c>
      <c r="M32" s="2"/>
      <c r="N32" s="6">
        <f t="shared" si="11"/>
        <v>9.9701701701701708</v>
      </c>
      <c r="O32" s="11"/>
      <c r="P32" s="7">
        <v>2191.84</v>
      </c>
      <c r="Q32" s="2"/>
      <c r="R32" s="6">
        <f t="shared" si="12"/>
        <v>0</v>
      </c>
      <c r="S32" s="2"/>
      <c r="T32" s="7">
        <v>199.8</v>
      </c>
      <c r="U32" s="2"/>
      <c r="V32" s="6">
        <f t="shared" si="13"/>
        <v>0</v>
      </c>
      <c r="W32" s="2"/>
      <c r="X32" s="7">
        <f t="shared" si="14"/>
        <v>1992.0400000000002</v>
      </c>
      <c r="Y32" s="2"/>
      <c r="Z32" s="6">
        <f t="shared" si="15"/>
        <v>9.9701701701701708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>
        <v>8422.5</v>
      </c>
      <c r="E33" s="2"/>
      <c r="F33" s="6">
        <f t="shared" si="8"/>
        <v>0</v>
      </c>
      <c r="G33" s="2"/>
      <c r="H33" s="7">
        <v>4595.75</v>
      </c>
      <c r="I33" s="2"/>
      <c r="J33" s="6">
        <f t="shared" si="9"/>
        <v>0</v>
      </c>
      <c r="K33" s="2"/>
      <c r="L33" s="7">
        <f t="shared" si="10"/>
        <v>3826.75</v>
      </c>
      <c r="M33" s="2"/>
      <c r="N33" s="6">
        <f t="shared" si="11"/>
        <v>0.83267148996355334</v>
      </c>
      <c r="O33" s="11"/>
      <c r="P33" s="7">
        <v>8422.5</v>
      </c>
      <c r="Q33" s="2"/>
      <c r="R33" s="6">
        <f t="shared" si="12"/>
        <v>0</v>
      </c>
      <c r="S33" s="2"/>
      <c r="T33" s="7">
        <v>4595.75</v>
      </c>
      <c r="U33" s="2"/>
      <c r="V33" s="6">
        <f t="shared" si="13"/>
        <v>0</v>
      </c>
      <c r="W33" s="2"/>
      <c r="X33" s="7">
        <f t="shared" si="14"/>
        <v>3826.75</v>
      </c>
      <c r="Y33" s="2"/>
      <c r="Z33" s="6">
        <f t="shared" si="15"/>
        <v>0.83267148996355334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>
        <v>872.63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872.63</v>
      </c>
      <c r="M34" s="2"/>
      <c r="N34" s="6">
        <f t="shared" si="11"/>
        <v>0</v>
      </c>
      <c r="O34" s="11"/>
      <c r="P34" s="7">
        <v>872.63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872.63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>
        <v>5647.69</v>
      </c>
      <c r="E35" s="2"/>
      <c r="F35" s="6">
        <f t="shared" si="8"/>
        <v>0</v>
      </c>
      <c r="G35" s="2"/>
      <c r="H35" s="7">
        <v>1353.75</v>
      </c>
      <c r="I35" s="2"/>
      <c r="J35" s="6">
        <f t="shared" si="9"/>
        <v>0</v>
      </c>
      <c r="K35" s="2"/>
      <c r="L35" s="7">
        <f t="shared" si="10"/>
        <v>4293.9399999999996</v>
      </c>
      <c r="M35" s="2"/>
      <c r="N35" s="6">
        <f t="shared" si="11"/>
        <v>3.1718855032317634</v>
      </c>
      <c r="O35" s="11"/>
      <c r="P35" s="7">
        <v>5647.69</v>
      </c>
      <c r="Q35" s="2"/>
      <c r="R35" s="6">
        <f t="shared" si="12"/>
        <v>0</v>
      </c>
      <c r="S35" s="2"/>
      <c r="T35" s="7">
        <v>1353.75</v>
      </c>
      <c r="U35" s="2"/>
      <c r="V35" s="6">
        <f t="shared" si="13"/>
        <v>0</v>
      </c>
      <c r="W35" s="2"/>
      <c r="X35" s="7">
        <f t="shared" si="14"/>
        <v>4293.9399999999996</v>
      </c>
      <c r="Y35" s="2"/>
      <c r="Z35" s="6">
        <f t="shared" si="15"/>
        <v>3.1718855032317634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12.5</v>
      </c>
      <c r="E36" s="1"/>
      <c r="F36" s="5">
        <f t="shared" ref="F36:F41" si="16">IF(D$12=0,0,D36/D$12)</f>
        <v>0</v>
      </c>
      <c r="G36" s="1"/>
      <c r="H36" s="1">
        <f>SUM(OSRRefH22_2x_0)</f>
        <v>548.29999999999995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-535.79999999999995</v>
      </c>
      <c r="M36" s="1"/>
      <c r="N36" s="5">
        <f t="shared" ref="N36:N41" si="19">IF(H36=0,0,L36/H36)</f>
        <v>-0.9772022615356557</v>
      </c>
      <c r="O36" s="14"/>
      <c r="P36" s="1">
        <f>SUM(OSRRefP22_2x_0)</f>
        <v>12.5</v>
      </c>
      <c r="Q36" s="1"/>
      <c r="R36" s="5">
        <f t="shared" ref="R36:R41" si="20">IF(P$12=0,0,P36/P$12)</f>
        <v>0</v>
      </c>
      <c r="S36" s="1"/>
      <c r="T36" s="1">
        <f>SUM(OSRRefT22_2x_0)</f>
        <v>548.29999999999995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-535.79999999999995</v>
      </c>
      <c r="Y36" s="1"/>
      <c r="Z36" s="5">
        <f t="shared" ref="Z36:Z41" si="23">IF(T36=0,0,X36/T36)</f>
        <v>-0.9772022615356557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>
        <v>12.5</v>
      </c>
      <c r="E37" s="2"/>
      <c r="F37" s="6">
        <f t="shared" si="16"/>
        <v>0</v>
      </c>
      <c r="G37" s="2"/>
      <c r="H37" s="7">
        <v>548.29999999999995</v>
      </c>
      <c r="I37" s="2"/>
      <c r="J37" s="6">
        <f t="shared" si="17"/>
        <v>0</v>
      </c>
      <c r="K37" s="2"/>
      <c r="L37" s="7">
        <f t="shared" si="18"/>
        <v>-535.79999999999995</v>
      </c>
      <c r="M37" s="2"/>
      <c r="N37" s="6">
        <f t="shared" si="19"/>
        <v>-0.9772022615356557</v>
      </c>
      <c r="O37" s="11"/>
      <c r="P37" s="7">
        <v>12.5</v>
      </c>
      <c r="Q37" s="2"/>
      <c r="R37" s="6">
        <f t="shared" si="20"/>
        <v>0</v>
      </c>
      <c r="S37" s="2"/>
      <c r="T37" s="7">
        <v>548.29999999999995</v>
      </c>
      <c r="U37" s="2"/>
      <c r="V37" s="6">
        <f t="shared" si="21"/>
        <v>0</v>
      </c>
      <c r="W37" s="2"/>
      <c r="X37" s="7">
        <f t="shared" si="22"/>
        <v>-535.79999999999995</v>
      </c>
      <c r="Y37" s="2"/>
      <c r="Z37" s="6">
        <f t="shared" si="23"/>
        <v>-0.9772022615356557</v>
      </c>
    </row>
    <row r="38" spans="1:26" s="28" customFormat="1" outlineLevel="1" collapsed="1" x14ac:dyDescent="0.25">
      <c r="A38" s="27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SUM(OSRRefD22_3x_0)</f>
        <v>6821.6399999999994</v>
      </c>
      <c r="E38" s="1"/>
      <c r="F38" s="5">
        <f t="shared" si="16"/>
        <v>0</v>
      </c>
      <c r="G38" s="1"/>
      <c r="H38" s="1">
        <f>SUM(OSRRefH22_3x_0)</f>
        <v>13523.130000000001</v>
      </c>
      <c r="I38" s="1"/>
      <c r="J38" s="5">
        <f t="shared" si="17"/>
        <v>0</v>
      </c>
      <c r="K38" s="1"/>
      <c r="L38" s="1">
        <f t="shared" si="18"/>
        <v>-6701.4900000000016</v>
      </c>
      <c r="M38" s="1"/>
      <c r="N38" s="5">
        <f t="shared" si="19"/>
        <v>-0.49555761129265202</v>
      </c>
      <c r="O38" s="14"/>
      <c r="P38" s="1">
        <f>SUM(OSRRefP22_3x_0)</f>
        <v>6821.6399999999994</v>
      </c>
      <c r="Q38" s="1"/>
      <c r="R38" s="5">
        <f t="shared" si="20"/>
        <v>0</v>
      </c>
      <c r="S38" s="1"/>
      <c r="T38" s="1">
        <f>SUM(OSRRefT22_3x_0)</f>
        <v>13523.130000000001</v>
      </c>
      <c r="U38" s="1"/>
      <c r="V38" s="5">
        <f t="shared" si="21"/>
        <v>0</v>
      </c>
      <c r="W38" s="1"/>
      <c r="X38" s="1">
        <f t="shared" si="22"/>
        <v>-6701.4900000000016</v>
      </c>
      <c r="Y38" s="1"/>
      <c r="Z38" s="5">
        <f t="shared" si="23"/>
        <v>-0.49555761129265202</v>
      </c>
    </row>
    <row r="39" spans="1:26" s="24" customFormat="1" hidden="1" outlineLevel="2" x14ac:dyDescent="0.25">
      <c r="A39" s="29"/>
      <c r="B39" s="11" t="str">
        <f>CONCATENATE("          ", "6321", " - ", "BUILDING DEPRECIATION")</f>
        <v xml:space="preserve">          6321 - BUILDING DEPRECIATION</v>
      </c>
      <c r="C39" s="11"/>
      <c r="D39" s="7">
        <v>2266.9499999999998</v>
      </c>
      <c r="E39" s="2"/>
      <c r="F39" s="6">
        <f t="shared" si="16"/>
        <v>0</v>
      </c>
      <c r="G39" s="2"/>
      <c r="H39" s="7">
        <v>10364.69</v>
      </c>
      <c r="I39" s="2"/>
      <c r="J39" s="6">
        <f t="shared" si="17"/>
        <v>0</v>
      </c>
      <c r="K39" s="2"/>
      <c r="L39" s="7">
        <f t="shared" si="18"/>
        <v>-8097.7400000000007</v>
      </c>
      <c r="M39" s="2"/>
      <c r="N39" s="6">
        <f t="shared" si="19"/>
        <v>-0.78128144691254642</v>
      </c>
      <c r="O39" s="11"/>
      <c r="P39" s="7">
        <v>2266.9499999999998</v>
      </c>
      <c r="Q39" s="2"/>
      <c r="R39" s="6">
        <f t="shared" si="20"/>
        <v>0</v>
      </c>
      <c r="S39" s="2"/>
      <c r="T39" s="7">
        <v>10364.69</v>
      </c>
      <c r="U39" s="2"/>
      <c r="V39" s="6">
        <f t="shared" si="21"/>
        <v>0</v>
      </c>
      <c r="W39" s="2"/>
      <c r="X39" s="7">
        <f t="shared" si="22"/>
        <v>-8097.7400000000007</v>
      </c>
      <c r="Y39" s="2"/>
      <c r="Z39" s="6">
        <f t="shared" si="23"/>
        <v>-0.78128144691254642</v>
      </c>
    </row>
    <row r="40" spans="1:26" s="24" customFormat="1" hidden="1" outlineLevel="2" x14ac:dyDescent="0.25">
      <c r="A40" s="29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4130.4399999999996</v>
      </c>
      <c r="E40" s="2"/>
      <c r="F40" s="6">
        <f t="shared" si="16"/>
        <v>0</v>
      </c>
      <c r="G40" s="2"/>
      <c r="H40" s="7">
        <v>2734.19</v>
      </c>
      <c r="I40" s="2"/>
      <c r="J40" s="6">
        <f t="shared" si="17"/>
        <v>0</v>
      </c>
      <c r="K40" s="2"/>
      <c r="L40" s="7">
        <f t="shared" si="18"/>
        <v>1396.2499999999995</v>
      </c>
      <c r="M40" s="2"/>
      <c r="N40" s="6">
        <f t="shared" si="19"/>
        <v>0.51066312143633019</v>
      </c>
      <c r="O40" s="11"/>
      <c r="P40" s="7">
        <v>4130.4399999999996</v>
      </c>
      <c r="Q40" s="2"/>
      <c r="R40" s="6">
        <f t="shared" si="20"/>
        <v>0</v>
      </c>
      <c r="S40" s="2"/>
      <c r="T40" s="7">
        <v>2734.19</v>
      </c>
      <c r="U40" s="2"/>
      <c r="V40" s="6">
        <f t="shared" si="21"/>
        <v>0</v>
      </c>
      <c r="W40" s="2"/>
      <c r="X40" s="7">
        <f t="shared" si="22"/>
        <v>1396.2499999999995</v>
      </c>
      <c r="Y40" s="2"/>
      <c r="Z40" s="6">
        <f t="shared" si="23"/>
        <v>0.51066312143633019</v>
      </c>
    </row>
    <row r="41" spans="1:26" s="24" customFormat="1" hidden="1" outlineLevel="2" x14ac:dyDescent="0.25">
      <c r="A41" s="29"/>
      <c r="B41" s="11" t="str">
        <f>CONCATENATE("          ", "6326", " - ", "VEHICLES DEPRECIATION EXPENSE")</f>
        <v xml:space="preserve">          6326 - VEHICLES DEPRECIATION EXPENSE</v>
      </c>
      <c r="C41" s="11"/>
      <c r="D41" s="7">
        <v>424.25</v>
      </c>
      <c r="E41" s="2"/>
      <c r="F41" s="6">
        <f t="shared" si="16"/>
        <v>0</v>
      </c>
      <c r="G41" s="2"/>
      <c r="H41" s="7">
        <v>424.25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424.25</v>
      </c>
      <c r="Q41" s="2"/>
      <c r="R41" s="6">
        <f t="shared" si="20"/>
        <v>0</v>
      </c>
      <c r="S41" s="2"/>
      <c r="T41" s="7">
        <v>424.25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7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SUM(OSRRefD22_4x_0)</f>
        <v>45.86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45.86</v>
      </c>
      <c r="M42" s="1"/>
      <c r="N42" s="5">
        <f t="shared" ref="N42:N50" si="27">IF(H42=0,0,L42/H42)</f>
        <v>0</v>
      </c>
      <c r="O42" s="14"/>
      <c r="P42" s="1">
        <f>SUM(OSRRefP22_4x_0)</f>
        <v>45.86</v>
      </c>
      <c r="Q42" s="1"/>
      <c r="R42" s="5">
        <f t="shared" ref="R42:R50" si="28">IF(P$12=0,0,P42/P$12)</f>
        <v>0</v>
      </c>
      <c r="S42" s="1"/>
      <c r="T42" s="1">
        <f>SUM(OSRRefT22_4x_0)</f>
        <v>0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45.86</v>
      </c>
      <c r="Y42" s="1"/>
      <c r="Z42" s="5">
        <f t="shared" ref="Z42:Z50" si="31">IF(T42=0,0,X42/T42)</f>
        <v>0</v>
      </c>
    </row>
    <row r="43" spans="1:26" s="24" customFormat="1" hidden="1" outlineLevel="2" x14ac:dyDescent="0.25">
      <c r="A43" s="29"/>
      <c r="B43" s="11" t="str">
        <f>CONCATENATE("          ", "6277", " - ", "EMPLOYEE APPRECIATION")</f>
        <v xml:space="preserve">          6277 - EMPLOYEE APPRECIATION</v>
      </c>
      <c r="C43" s="11"/>
      <c r="D43" s="7">
        <v>45.86</v>
      </c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45.86</v>
      </c>
      <c r="M43" s="2"/>
      <c r="N43" s="6">
        <f t="shared" si="27"/>
        <v>0</v>
      </c>
      <c r="O43" s="11"/>
      <c r="P43" s="7">
        <v>45.86</v>
      </c>
      <c r="Q43" s="2"/>
      <c r="R43" s="6">
        <f t="shared" si="28"/>
        <v>0</v>
      </c>
      <c r="S43" s="2"/>
      <c r="T43" s="7"/>
      <c r="U43" s="2"/>
      <c r="V43" s="6">
        <f t="shared" si="29"/>
        <v>0</v>
      </c>
      <c r="W43" s="2"/>
      <c r="X43" s="7">
        <f t="shared" si="30"/>
        <v>45.86</v>
      </c>
      <c r="Y43" s="2"/>
      <c r="Z43" s="6">
        <f t="shared" si="31"/>
        <v>0</v>
      </c>
    </row>
    <row r="44" spans="1:26" s="28" customFormat="1" outlineLevel="1" collapsed="1" x14ac:dyDescent="0.25">
      <c r="A44" s="27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SUM(OSRRefD22_5x_0)</f>
        <v>863.98</v>
      </c>
      <c r="E44" s="1"/>
      <c r="F44" s="5">
        <f t="shared" si="24"/>
        <v>0</v>
      </c>
      <c r="G44" s="1"/>
      <c r="H44" s="1">
        <f>SUM(OSRRefH22_5x_0)</f>
        <v>1805.45</v>
      </c>
      <c r="I44" s="1"/>
      <c r="J44" s="5">
        <f t="shared" si="25"/>
        <v>0</v>
      </c>
      <c r="K44" s="1"/>
      <c r="L44" s="1">
        <f t="shared" si="26"/>
        <v>-941.47</v>
      </c>
      <c r="M44" s="1"/>
      <c r="N44" s="5">
        <f t="shared" si="27"/>
        <v>-0.52146002381677703</v>
      </c>
      <c r="O44" s="14"/>
      <c r="P44" s="1">
        <f>SUM(OSRRefP22_5x_0)</f>
        <v>863.98</v>
      </c>
      <c r="Q44" s="1"/>
      <c r="R44" s="5">
        <f t="shared" si="28"/>
        <v>0</v>
      </c>
      <c r="S44" s="1"/>
      <c r="T44" s="1">
        <f>SUM(OSRRefT22_5x_0)</f>
        <v>1805.45</v>
      </c>
      <c r="U44" s="1"/>
      <c r="V44" s="5">
        <f t="shared" si="29"/>
        <v>0</v>
      </c>
      <c r="W44" s="1"/>
      <c r="X44" s="1">
        <f t="shared" si="30"/>
        <v>-941.47</v>
      </c>
      <c r="Y44" s="1"/>
      <c r="Z44" s="5">
        <f t="shared" si="31"/>
        <v>-0.52146002381677703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7">
        <v>863.98</v>
      </c>
      <c r="E45" s="2"/>
      <c r="F45" s="6">
        <f t="shared" si="24"/>
        <v>0</v>
      </c>
      <c r="G45" s="2"/>
      <c r="H45" s="7">
        <v>1805.45</v>
      </c>
      <c r="I45" s="2"/>
      <c r="J45" s="6">
        <f t="shared" si="25"/>
        <v>0</v>
      </c>
      <c r="K45" s="2"/>
      <c r="L45" s="7">
        <f t="shared" si="26"/>
        <v>-941.47</v>
      </c>
      <c r="M45" s="2"/>
      <c r="N45" s="6">
        <f t="shared" si="27"/>
        <v>-0.52146002381677703</v>
      </c>
      <c r="O45" s="11"/>
      <c r="P45" s="7">
        <v>863.98</v>
      </c>
      <c r="Q45" s="2"/>
      <c r="R45" s="6">
        <f t="shared" si="28"/>
        <v>0</v>
      </c>
      <c r="S45" s="2"/>
      <c r="T45" s="7">
        <v>1805.45</v>
      </c>
      <c r="U45" s="2"/>
      <c r="V45" s="6">
        <f t="shared" si="29"/>
        <v>0</v>
      </c>
      <c r="W45" s="2"/>
      <c r="X45" s="7">
        <f t="shared" si="30"/>
        <v>-941.47</v>
      </c>
      <c r="Y45" s="2"/>
      <c r="Z45" s="6">
        <f t="shared" si="31"/>
        <v>-0.52146002381677703</v>
      </c>
    </row>
    <row r="46" spans="1:26" s="28" customFormat="1" outlineLevel="1" collapsed="1" x14ac:dyDescent="0.25">
      <c r="A46" s="27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SUM(OSRRefD22_6x_0)</f>
        <v>3598.85</v>
      </c>
      <c r="E46" s="1"/>
      <c r="F46" s="5">
        <f t="shared" si="24"/>
        <v>0</v>
      </c>
      <c r="G46" s="1"/>
      <c r="H46" s="1">
        <f>SUM(OSRRefH22_6x_0)</f>
        <v>3389.02</v>
      </c>
      <c r="I46" s="1"/>
      <c r="J46" s="5">
        <f t="shared" si="25"/>
        <v>0</v>
      </c>
      <c r="K46" s="1"/>
      <c r="L46" s="1">
        <f t="shared" si="26"/>
        <v>209.82999999999993</v>
      </c>
      <c r="M46" s="1"/>
      <c r="N46" s="5">
        <f t="shared" si="27"/>
        <v>6.191465379372206E-2</v>
      </c>
      <c r="O46" s="14"/>
      <c r="P46" s="1">
        <f>SUM(OSRRefP22_6x_0)</f>
        <v>3598.85</v>
      </c>
      <c r="Q46" s="1"/>
      <c r="R46" s="5">
        <f t="shared" si="28"/>
        <v>0</v>
      </c>
      <c r="S46" s="1"/>
      <c r="T46" s="1">
        <f>SUM(OSRRefT22_6x_0)</f>
        <v>3389.02</v>
      </c>
      <c r="U46" s="1"/>
      <c r="V46" s="5">
        <f t="shared" si="29"/>
        <v>0</v>
      </c>
      <c r="W46" s="1"/>
      <c r="X46" s="1">
        <f t="shared" si="30"/>
        <v>209.82999999999993</v>
      </c>
      <c r="Y46" s="1"/>
      <c r="Z46" s="5">
        <f t="shared" si="31"/>
        <v>6.191465379372206E-2</v>
      </c>
    </row>
    <row r="47" spans="1:26" s="24" customFormat="1" hidden="1" outlineLevel="2" x14ac:dyDescent="0.25">
      <c r="A47" s="29"/>
      <c r="B47" s="11" t="str">
        <f>CONCATENATE("          ", "6314", " - ", "LIABILITY INSURANCE")</f>
        <v xml:space="preserve">          6314 - LIABILITY INSURANCE</v>
      </c>
      <c r="C47" s="11"/>
      <c r="D47" s="7">
        <v>3598.85</v>
      </c>
      <c r="E47" s="2"/>
      <c r="F47" s="6">
        <f t="shared" si="24"/>
        <v>0</v>
      </c>
      <c r="G47" s="2"/>
      <c r="H47" s="7">
        <v>3389.02</v>
      </c>
      <c r="I47" s="2"/>
      <c r="J47" s="6">
        <f t="shared" si="25"/>
        <v>0</v>
      </c>
      <c r="K47" s="2"/>
      <c r="L47" s="7">
        <f t="shared" si="26"/>
        <v>209.82999999999993</v>
      </c>
      <c r="M47" s="2"/>
      <c r="N47" s="6">
        <f t="shared" si="27"/>
        <v>6.191465379372206E-2</v>
      </c>
      <c r="O47" s="11"/>
      <c r="P47" s="7">
        <v>3598.85</v>
      </c>
      <c r="Q47" s="2"/>
      <c r="R47" s="6">
        <f t="shared" si="28"/>
        <v>0</v>
      </c>
      <c r="S47" s="2"/>
      <c r="T47" s="7">
        <v>3389.02</v>
      </c>
      <c r="U47" s="2"/>
      <c r="V47" s="6">
        <f t="shared" si="29"/>
        <v>0</v>
      </c>
      <c r="W47" s="2"/>
      <c r="X47" s="7">
        <f t="shared" si="30"/>
        <v>209.82999999999993</v>
      </c>
      <c r="Y47" s="2"/>
      <c r="Z47" s="6">
        <f t="shared" si="31"/>
        <v>6.191465379372206E-2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11906.73</v>
      </c>
      <c r="E48" s="1"/>
      <c r="F48" s="5">
        <f t="shared" si="24"/>
        <v>0</v>
      </c>
      <c r="G48" s="1"/>
      <c r="H48" s="1">
        <f>SUM(OSRRefH22_7x_0)</f>
        <v>11004.82</v>
      </c>
      <c r="I48" s="1"/>
      <c r="J48" s="5">
        <f t="shared" si="25"/>
        <v>0</v>
      </c>
      <c r="K48" s="1"/>
      <c r="L48" s="1">
        <f t="shared" si="26"/>
        <v>901.90999999999985</v>
      </c>
      <c r="M48" s="1"/>
      <c r="N48" s="5">
        <f t="shared" si="27"/>
        <v>8.1955906593656216E-2</v>
      </c>
      <c r="O48" s="14"/>
      <c r="P48" s="1">
        <f>SUM(OSRRefP22_7x_0)</f>
        <v>11906.73</v>
      </c>
      <c r="Q48" s="1"/>
      <c r="R48" s="5">
        <f t="shared" si="28"/>
        <v>0</v>
      </c>
      <c r="S48" s="1"/>
      <c r="T48" s="1">
        <f>SUM(OSRRefT22_7x_0)</f>
        <v>11004.82</v>
      </c>
      <c r="U48" s="1"/>
      <c r="V48" s="5">
        <f t="shared" si="29"/>
        <v>0</v>
      </c>
      <c r="W48" s="1"/>
      <c r="X48" s="1">
        <f t="shared" si="30"/>
        <v>901.90999999999985</v>
      </c>
      <c r="Y48" s="1"/>
      <c r="Z48" s="5">
        <f t="shared" si="31"/>
        <v>8.1955906593656216E-2</v>
      </c>
    </row>
    <row r="49" spans="1:26" s="24" customFormat="1" hidden="1" outlineLevel="2" x14ac:dyDescent="0.25">
      <c r="A49" s="29"/>
      <c r="B49" s="11" t="str">
        <f>CONCATENATE("          ", "6373", " - ", "MAINTENANCE CONTRACTS")</f>
        <v xml:space="preserve">          6373 - MAINTENANCE CONTRACTS</v>
      </c>
      <c r="C49" s="11"/>
      <c r="D49" s="7">
        <v>5028.88</v>
      </c>
      <c r="E49" s="2"/>
      <c r="F49" s="6">
        <f t="shared" si="24"/>
        <v>0</v>
      </c>
      <c r="G49" s="2"/>
      <c r="H49" s="7">
        <v>5040.01</v>
      </c>
      <c r="I49" s="2"/>
      <c r="J49" s="6">
        <f t="shared" si="25"/>
        <v>0</v>
      </c>
      <c r="K49" s="2"/>
      <c r="L49" s="7">
        <f t="shared" si="26"/>
        <v>-11.130000000000109</v>
      </c>
      <c r="M49" s="2"/>
      <c r="N49" s="6">
        <f t="shared" si="27"/>
        <v>-2.2083289517282919E-3</v>
      </c>
      <c r="O49" s="11"/>
      <c r="P49" s="7">
        <v>5028.88</v>
      </c>
      <c r="Q49" s="2"/>
      <c r="R49" s="6">
        <f t="shared" si="28"/>
        <v>0</v>
      </c>
      <c r="S49" s="2"/>
      <c r="T49" s="7">
        <v>5040.01</v>
      </c>
      <c r="U49" s="2"/>
      <c r="V49" s="6">
        <f t="shared" si="29"/>
        <v>0</v>
      </c>
      <c r="W49" s="2"/>
      <c r="X49" s="7">
        <f t="shared" si="30"/>
        <v>-11.130000000000109</v>
      </c>
      <c r="Y49" s="2"/>
      <c r="Z49" s="6">
        <f t="shared" si="31"/>
        <v>-2.2083289517282919E-3</v>
      </c>
    </row>
    <row r="50" spans="1:26" s="24" customFormat="1" hidden="1" outlineLevel="2" x14ac:dyDescent="0.25">
      <c r="A50" s="29"/>
      <c r="B50" s="11" t="str">
        <f>CONCATENATE("          ", "6375", " - ", "OUTSIDE REPAIRS &amp; MAINTENANCE")</f>
        <v xml:space="preserve">          6375 - OUTSIDE REPAIRS &amp; MAINTENANCE</v>
      </c>
      <c r="C50" s="11"/>
      <c r="D50" s="7">
        <v>6877.85</v>
      </c>
      <c r="E50" s="2"/>
      <c r="F50" s="6">
        <f t="shared" si="24"/>
        <v>0</v>
      </c>
      <c r="G50" s="2"/>
      <c r="H50" s="7">
        <v>5964.81</v>
      </c>
      <c r="I50" s="2"/>
      <c r="J50" s="6">
        <f t="shared" si="25"/>
        <v>0</v>
      </c>
      <c r="K50" s="2"/>
      <c r="L50" s="7">
        <f t="shared" si="26"/>
        <v>913.04</v>
      </c>
      <c r="M50" s="2"/>
      <c r="N50" s="6">
        <f t="shared" si="27"/>
        <v>0.1530710953073107</v>
      </c>
      <c r="O50" s="11"/>
      <c r="P50" s="7">
        <v>6877.85</v>
      </c>
      <c r="Q50" s="2"/>
      <c r="R50" s="6">
        <f t="shared" si="28"/>
        <v>0</v>
      </c>
      <c r="S50" s="2"/>
      <c r="T50" s="7">
        <v>5964.81</v>
      </c>
      <c r="U50" s="2"/>
      <c r="V50" s="6">
        <f t="shared" si="29"/>
        <v>0</v>
      </c>
      <c r="W50" s="2"/>
      <c r="X50" s="7">
        <f t="shared" si="30"/>
        <v>913.04</v>
      </c>
      <c r="Y50" s="2"/>
      <c r="Z50" s="6">
        <f t="shared" si="31"/>
        <v>0.1530710953073107</v>
      </c>
    </row>
    <row r="51" spans="1:26" s="28" customFormat="1" outlineLevel="1" collapsed="1" x14ac:dyDescent="0.25">
      <c r="A51" s="27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14017.14</v>
      </c>
      <c r="E51" s="1"/>
      <c r="F51" s="5">
        <f t="shared" ref="F51:F56" si="32">IF(D$12=0,0,D51/D$12)</f>
        <v>0</v>
      </c>
      <c r="G51" s="1"/>
      <c r="H51" s="1">
        <f>SUM(OSRRefH22_8x_0)</f>
        <v>13180.97</v>
      </c>
      <c r="I51" s="1"/>
      <c r="J51" s="5">
        <f t="shared" ref="J51:J56" si="33">IF(H$12=0,0,H51/H$12)</f>
        <v>0</v>
      </c>
      <c r="K51" s="1"/>
      <c r="L51" s="1">
        <f t="shared" ref="L51:L56" si="34">+D51-H51</f>
        <v>836.17000000000007</v>
      </c>
      <c r="M51" s="1"/>
      <c r="N51" s="5">
        <f t="shared" ref="N51:N56" si="35">IF(H51=0,0,L51/H51)</f>
        <v>6.3437668092712451E-2</v>
      </c>
      <c r="O51" s="14"/>
      <c r="P51" s="1">
        <f>SUM(OSRRefP22_8x_0)</f>
        <v>14017.14</v>
      </c>
      <c r="Q51" s="1"/>
      <c r="R51" s="5">
        <f t="shared" ref="R51:R56" si="36">IF(P$12=0,0,P51/P$12)</f>
        <v>0</v>
      </c>
      <c r="S51" s="1"/>
      <c r="T51" s="1">
        <f>SUM(OSRRefT22_8x_0)</f>
        <v>13180.97</v>
      </c>
      <c r="U51" s="1"/>
      <c r="V51" s="5">
        <f t="shared" ref="V51:V56" si="37">IF(T$12=0,0,T51/T$12)</f>
        <v>0</v>
      </c>
      <c r="W51" s="1"/>
      <c r="X51" s="1">
        <f t="shared" ref="X51:X56" si="38">+P51-T51</f>
        <v>836.17000000000007</v>
      </c>
      <c r="Y51" s="1"/>
      <c r="Z51" s="5">
        <f t="shared" ref="Z51:Z56" si="39">IF(T51=0,0,X51/T51)</f>
        <v>6.3437668092712451E-2</v>
      </c>
    </row>
    <row r="52" spans="1:26" s="24" customFormat="1" hidden="1" outlineLevel="2" x14ac:dyDescent="0.25">
      <c r="A52" s="29"/>
      <c r="B52" s="11" t="str">
        <f>CONCATENATE("          ", "6282", " - ", "JANITORIAL/EXTERMINATOR EXPENS")</f>
        <v xml:space="preserve">          6282 - JANITORIAL/EXTERMINATOR EXPENS</v>
      </c>
      <c r="C52" s="11"/>
      <c r="D52" s="7">
        <v>626.26</v>
      </c>
      <c r="E52" s="2"/>
      <c r="F52" s="6">
        <f t="shared" si="32"/>
        <v>0</v>
      </c>
      <c r="G52" s="2"/>
      <c r="H52" s="7">
        <v>626.26</v>
      </c>
      <c r="I52" s="2"/>
      <c r="J52" s="6">
        <f t="shared" si="33"/>
        <v>0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>
        <v>626.26</v>
      </c>
      <c r="Q52" s="2"/>
      <c r="R52" s="6">
        <f t="shared" si="36"/>
        <v>0</v>
      </c>
      <c r="S52" s="2"/>
      <c r="T52" s="7">
        <v>626.26</v>
      </c>
      <c r="U52" s="2"/>
      <c r="V52" s="6">
        <f t="shared" si="37"/>
        <v>0</v>
      </c>
      <c r="W52" s="2"/>
      <c r="X52" s="7">
        <f t="shared" si="38"/>
        <v>0</v>
      </c>
      <c r="Y52" s="2"/>
      <c r="Z52" s="6">
        <f t="shared" si="39"/>
        <v>0</v>
      </c>
    </row>
    <row r="53" spans="1:26" s="24" customFormat="1" hidden="1" outlineLevel="2" x14ac:dyDescent="0.25">
      <c r="A53" s="29"/>
      <c r="B53" s="11" t="str">
        <f>CONCATENATE("          ", "6283", " - ", "PLANT SERVICE")</f>
        <v xml:space="preserve">          6283 - PLANT SERVICE</v>
      </c>
      <c r="C53" s="11"/>
      <c r="D53" s="7">
        <v>35.53</v>
      </c>
      <c r="E53" s="2"/>
      <c r="F53" s="6">
        <f t="shared" si="32"/>
        <v>0</v>
      </c>
      <c r="G53" s="2"/>
      <c r="H53" s="7">
        <v>33</v>
      </c>
      <c r="I53" s="2"/>
      <c r="J53" s="6">
        <f t="shared" si="33"/>
        <v>0</v>
      </c>
      <c r="K53" s="2"/>
      <c r="L53" s="7">
        <f t="shared" si="34"/>
        <v>2.5300000000000011</v>
      </c>
      <c r="M53" s="2"/>
      <c r="N53" s="6">
        <f t="shared" si="35"/>
        <v>7.6666666666666702E-2</v>
      </c>
      <c r="O53" s="11"/>
      <c r="P53" s="7">
        <v>35.53</v>
      </c>
      <c r="Q53" s="2"/>
      <c r="R53" s="6">
        <f t="shared" si="36"/>
        <v>0</v>
      </c>
      <c r="S53" s="2"/>
      <c r="T53" s="7">
        <v>33</v>
      </c>
      <c r="U53" s="2"/>
      <c r="V53" s="6">
        <f t="shared" si="37"/>
        <v>0</v>
      </c>
      <c r="W53" s="2"/>
      <c r="X53" s="7">
        <f t="shared" si="38"/>
        <v>2.5300000000000011</v>
      </c>
      <c r="Y53" s="2"/>
      <c r="Z53" s="6">
        <f t="shared" si="39"/>
        <v>7.6666666666666702E-2</v>
      </c>
    </row>
    <row r="54" spans="1:26" s="24" customFormat="1" hidden="1" outlineLevel="2" x14ac:dyDescent="0.25">
      <c r="A54" s="29"/>
      <c r="B54" s="11" t="str">
        <f>CONCATENATE("          ", "6284", " - ", "TRASH REMOVAL EXPENSE")</f>
        <v xml:space="preserve">          6284 - TRASH REMOVAL EXPENSE</v>
      </c>
      <c r="C54" s="11"/>
      <c r="D54" s="7">
        <v>3482</v>
      </c>
      <c r="E54" s="2"/>
      <c r="F54" s="6">
        <f t="shared" si="32"/>
        <v>0</v>
      </c>
      <c r="G54" s="2"/>
      <c r="H54" s="7">
        <v>2648</v>
      </c>
      <c r="I54" s="2"/>
      <c r="J54" s="6">
        <f t="shared" si="33"/>
        <v>0</v>
      </c>
      <c r="K54" s="2"/>
      <c r="L54" s="7">
        <f t="shared" si="34"/>
        <v>834</v>
      </c>
      <c r="M54" s="2"/>
      <c r="N54" s="6">
        <f t="shared" si="35"/>
        <v>0.31495468277945621</v>
      </c>
      <c r="O54" s="11"/>
      <c r="P54" s="7">
        <v>3482</v>
      </c>
      <c r="Q54" s="2"/>
      <c r="R54" s="6">
        <f t="shared" si="36"/>
        <v>0</v>
      </c>
      <c r="S54" s="2"/>
      <c r="T54" s="7">
        <v>2648</v>
      </c>
      <c r="U54" s="2"/>
      <c r="V54" s="6">
        <f t="shared" si="37"/>
        <v>0</v>
      </c>
      <c r="W54" s="2"/>
      <c r="X54" s="7">
        <f t="shared" si="38"/>
        <v>834</v>
      </c>
      <c r="Y54" s="2"/>
      <c r="Z54" s="6">
        <f t="shared" si="39"/>
        <v>0.31495468277945621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7">
        <v>9853.51</v>
      </c>
      <c r="E55" s="2"/>
      <c r="F55" s="6">
        <f t="shared" si="32"/>
        <v>0</v>
      </c>
      <c r="G55" s="2"/>
      <c r="H55" s="7">
        <v>9409.06</v>
      </c>
      <c r="I55" s="2"/>
      <c r="J55" s="6">
        <f t="shared" si="33"/>
        <v>0</v>
      </c>
      <c r="K55" s="2"/>
      <c r="L55" s="7">
        <f t="shared" si="34"/>
        <v>444.45000000000073</v>
      </c>
      <c r="M55" s="2"/>
      <c r="N55" s="6">
        <f t="shared" si="35"/>
        <v>4.7236387056730507E-2</v>
      </c>
      <c r="O55" s="11"/>
      <c r="P55" s="7">
        <v>9853.51</v>
      </c>
      <c r="Q55" s="2"/>
      <c r="R55" s="6">
        <f t="shared" si="36"/>
        <v>0</v>
      </c>
      <c r="S55" s="2"/>
      <c r="T55" s="7">
        <v>9409.06</v>
      </c>
      <c r="U55" s="2"/>
      <c r="V55" s="6">
        <f t="shared" si="37"/>
        <v>0</v>
      </c>
      <c r="W55" s="2"/>
      <c r="X55" s="7">
        <f t="shared" si="38"/>
        <v>444.45000000000073</v>
      </c>
      <c r="Y55" s="2"/>
      <c r="Z55" s="6">
        <f t="shared" si="39"/>
        <v>4.7236387056730507E-2</v>
      </c>
    </row>
    <row r="56" spans="1:26" s="24" customFormat="1" hidden="1" outlineLevel="2" x14ac:dyDescent="0.25">
      <c r="A56" s="29"/>
      <c r="B56" s="11" t="str">
        <f>CONCATENATE("          ", "6286", " - ", "LAUNDRY EXPENSE")</f>
        <v xml:space="preserve">          6286 - LAUNDRY EXPENSE</v>
      </c>
      <c r="C56" s="11"/>
      <c r="D56" s="7">
        <v>19.84</v>
      </c>
      <c r="E56" s="2"/>
      <c r="F56" s="6">
        <f t="shared" si="32"/>
        <v>0</v>
      </c>
      <c r="G56" s="2"/>
      <c r="H56" s="7">
        <v>464.65</v>
      </c>
      <c r="I56" s="2"/>
      <c r="J56" s="6">
        <f t="shared" si="33"/>
        <v>0</v>
      </c>
      <c r="K56" s="2"/>
      <c r="L56" s="7">
        <f t="shared" si="34"/>
        <v>-444.81</v>
      </c>
      <c r="M56" s="2"/>
      <c r="N56" s="6">
        <f t="shared" si="35"/>
        <v>-0.95730119444743356</v>
      </c>
      <c r="O56" s="11"/>
      <c r="P56" s="7">
        <v>19.84</v>
      </c>
      <c r="Q56" s="2"/>
      <c r="R56" s="6">
        <f t="shared" si="36"/>
        <v>0</v>
      </c>
      <c r="S56" s="2"/>
      <c r="T56" s="7">
        <v>464.65</v>
      </c>
      <c r="U56" s="2"/>
      <c r="V56" s="6">
        <f t="shared" si="37"/>
        <v>0</v>
      </c>
      <c r="W56" s="2"/>
      <c r="X56" s="7">
        <f t="shared" si="38"/>
        <v>-444.81</v>
      </c>
      <c r="Y56" s="2"/>
      <c r="Z56" s="6">
        <f t="shared" si="39"/>
        <v>-0.95730119444743356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2755.94</v>
      </c>
      <c r="E57" s="1"/>
      <c r="F57" s="5">
        <f t="shared" ref="F57:F62" si="40">IF(D$12=0,0,D57/D$12)</f>
        <v>0</v>
      </c>
      <c r="G57" s="1"/>
      <c r="H57" s="1">
        <f>SUM(OSRRefH22_9x_0)</f>
        <v>8455.39</v>
      </c>
      <c r="I57" s="1"/>
      <c r="J57" s="5">
        <f t="shared" ref="J57:J62" si="41">IF(H$12=0,0,H57/H$12)</f>
        <v>0</v>
      </c>
      <c r="K57" s="1"/>
      <c r="L57" s="1">
        <f t="shared" ref="L57:L62" si="42">+D57-H57</f>
        <v>-5699.4499999999989</v>
      </c>
      <c r="M57" s="1"/>
      <c r="N57" s="5">
        <f t="shared" ref="N57:N62" si="43">IF(H57=0,0,L57/H57)</f>
        <v>-0.67406116098725188</v>
      </c>
      <c r="O57" s="14"/>
      <c r="P57" s="1">
        <f>SUM(OSRRefP22_9x_0)</f>
        <v>2755.94</v>
      </c>
      <c r="Q57" s="1"/>
      <c r="R57" s="5">
        <f t="shared" ref="R57:R62" si="44">IF(P$12=0,0,P57/P$12)</f>
        <v>0</v>
      </c>
      <c r="S57" s="1"/>
      <c r="T57" s="1">
        <f>SUM(OSRRefT22_9x_0)</f>
        <v>8455.39</v>
      </c>
      <c r="U57" s="1"/>
      <c r="V57" s="5">
        <f t="shared" ref="V57:V62" si="45">IF(T$12=0,0,T57/T$12)</f>
        <v>0</v>
      </c>
      <c r="W57" s="1"/>
      <c r="X57" s="1">
        <f t="shared" ref="X57:X62" si="46">+P57-T57</f>
        <v>-5699.4499999999989</v>
      </c>
      <c r="Y57" s="1"/>
      <c r="Z57" s="5">
        <f t="shared" ref="Z57:Z62" si="47">IF(T57=0,0,X57/T57)</f>
        <v>-0.67406116098725188</v>
      </c>
    </row>
    <row r="58" spans="1:26" s="24" customFormat="1" hidden="1" outlineLevel="2" x14ac:dyDescent="0.25">
      <c r="A58" s="29"/>
      <c r="B58" s="11" t="str">
        <f>CONCATENATE("          ", "6237", " - ", "JANITORIAL SUPPLIES")</f>
        <v xml:space="preserve">          6237 - JANITORIAL SUPPLIES</v>
      </c>
      <c r="C58" s="11"/>
      <c r="D58" s="7">
        <v>3210.12</v>
      </c>
      <c r="E58" s="2"/>
      <c r="F58" s="6">
        <f t="shared" si="40"/>
        <v>0</v>
      </c>
      <c r="G58" s="2"/>
      <c r="H58" s="7">
        <v>2083.44</v>
      </c>
      <c r="I58" s="2"/>
      <c r="J58" s="6">
        <f t="shared" si="41"/>
        <v>0</v>
      </c>
      <c r="K58" s="2"/>
      <c r="L58" s="7">
        <f t="shared" si="42"/>
        <v>1126.6799999999998</v>
      </c>
      <c r="M58" s="2"/>
      <c r="N58" s="6">
        <f t="shared" si="43"/>
        <v>0.54077871212993889</v>
      </c>
      <c r="O58" s="11"/>
      <c r="P58" s="7">
        <v>3210.12</v>
      </c>
      <c r="Q58" s="2"/>
      <c r="R58" s="6">
        <f t="shared" si="44"/>
        <v>0</v>
      </c>
      <c r="S58" s="2"/>
      <c r="T58" s="7">
        <v>2083.44</v>
      </c>
      <c r="U58" s="2"/>
      <c r="V58" s="6">
        <f t="shared" si="45"/>
        <v>0</v>
      </c>
      <c r="W58" s="2"/>
      <c r="X58" s="7">
        <f t="shared" si="46"/>
        <v>1126.6799999999998</v>
      </c>
      <c r="Y58" s="2"/>
      <c r="Z58" s="6">
        <f t="shared" si="47"/>
        <v>0.54077871212993889</v>
      </c>
    </row>
    <row r="59" spans="1:26" s="24" customFormat="1" hidden="1" outlineLevel="2" x14ac:dyDescent="0.25">
      <c r="A59" s="29"/>
      <c r="B59" s="11" t="str">
        <f>CONCATENATE("          ", "6239", " - ", "KITCHEN SUPPLIES")</f>
        <v xml:space="preserve">          6239 - KITCHEN SUPPLIES</v>
      </c>
      <c r="C59" s="11"/>
      <c r="D59" s="7">
        <v>445.73</v>
      </c>
      <c r="E59" s="2"/>
      <c r="F59" s="6">
        <f t="shared" si="40"/>
        <v>0</v>
      </c>
      <c r="G59" s="2"/>
      <c r="H59" s="7">
        <v>938.19</v>
      </c>
      <c r="I59" s="2"/>
      <c r="J59" s="6">
        <f t="shared" si="41"/>
        <v>0</v>
      </c>
      <c r="K59" s="2"/>
      <c r="L59" s="7">
        <f t="shared" si="42"/>
        <v>-492.46000000000004</v>
      </c>
      <c r="M59" s="2"/>
      <c r="N59" s="6">
        <f t="shared" si="43"/>
        <v>-0.52490433707457973</v>
      </c>
      <c r="O59" s="11"/>
      <c r="P59" s="7">
        <v>445.73</v>
      </c>
      <c r="Q59" s="2"/>
      <c r="R59" s="6">
        <f t="shared" si="44"/>
        <v>0</v>
      </c>
      <c r="S59" s="2"/>
      <c r="T59" s="7">
        <v>938.19</v>
      </c>
      <c r="U59" s="2"/>
      <c r="V59" s="6">
        <f t="shared" si="45"/>
        <v>0</v>
      </c>
      <c r="W59" s="2"/>
      <c r="X59" s="7">
        <f t="shared" si="46"/>
        <v>-492.46000000000004</v>
      </c>
      <c r="Y59" s="2"/>
      <c r="Z59" s="6">
        <f t="shared" si="47"/>
        <v>-0.52490433707457973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>
        <v>-1132.72</v>
      </c>
      <c r="E60" s="2"/>
      <c r="F60" s="6">
        <f t="shared" si="40"/>
        <v>0</v>
      </c>
      <c r="G60" s="2"/>
      <c r="H60" s="7">
        <v>5222.29</v>
      </c>
      <c r="I60" s="2"/>
      <c r="J60" s="6">
        <f t="shared" si="41"/>
        <v>0</v>
      </c>
      <c r="K60" s="2"/>
      <c r="L60" s="7">
        <f t="shared" si="42"/>
        <v>-6355.01</v>
      </c>
      <c r="M60" s="2"/>
      <c r="N60" s="6">
        <f t="shared" si="43"/>
        <v>-1.2169010146889583</v>
      </c>
      <c r="O60" s="11"/>
      <c r="P60" s="7">
        <v>-1132.72</v>
      </c>
      <c r="Q60" s="2"/>
      <c r="R60" s="6">
        <f t="shared" si="44"/>
        <v>0</v>
      </c>
      <c r="S60" s="2"/>
      <c r="T60" s="7">
        <v>5222.29</v>
      </c>
      <c r="U60" s="2"/>
      <c r="V60" s="6">
        <f t="shared" si="45"/>
        <v>0</v>
      </c>
      <c r="W60" s="2"/>
      <c r="X60" s="7">
        <f t="shared" si="46"/>
        <v>-6355.01</v>
      </c>
      <c r="Y60" s="2"/>
      <c r="Z60" s="6">
        <f t="shared" si="47"/>
        <v>-1.2169010146889583</v>
      </c>
    </row>
    <row r="61" spans="1:26" s="24" customFormat="1" hidden="1" outlineLevel="2" x14ac:dyDescent="0.25">
      <c r="A61" s="29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0"/>
        <v>0</v>
      </c>
      <c r="G61" s="2"/>
      <c r="H61" s="7">
        <v>81.99</v>
      </c>
      <c r="I61" s="2"/>
      <c r="J61" s="6">
        <f t="shared" si="41"/>
        <v>0</v>
      </c>
      <c r="K61" s="2"/>
      <c r="L61" s="7">
        <f t="shared" si="42"/>
        <v>-81.99</v>
      </c>
      <c r="M61" s="2"/>
      <c r="N61" s="6">
        <f t="shared" si="43"/>
        <v>-1</v>
      </c>
      <c r="O61" s="11"/>
      <c r="P61" s="7"/>
      <c r="Q61" s="2"/>
      <c r="R61" s="6">
        <f t="shared" si="44"/>
        <v>0</v>
      </c>
      <c r="S61" s="2"/>
      <c r="T61" s="7">
        <v>81.99</v>
      </c>
      <c r="U61" s="2"/>
      <c r="V61" s="6">
        <f t="shared" si="45"/>
        <v>0</v>
      </c>
      <c r="W61" s="2"/>
      <c r="X61" s="7">
        <f t="shared" si="46"/>
        <v>-81.99</v>
      </c>
      <c r="Y61" s="2"/>
      <c r="Z61" s="6">
        <f t="shared" si="47"/>
        <v>-1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7">
        <v>232.81</v>
      </c>
      <c r="E62" s="2"/>
      <c r="F62" s="6">
        <f t="shared" si="40"/>
        <v>0</v>
      </c>
      <c r="G62" s="2"/>
      <c r="H62" s="7">
        <v>129.47999999999999</v>
      </c>
      <c r="I62" s="2"/>
      <c r="J62" s="6">
        <f t="shared" si="41"/>
        <v>0</v>
      </c>
      <c r="K62" s="2"/>
      <c r="L62" s="7">
        <f t="shared" si="42"/>
        <v>103.33000000000001</v>
      </c>
      <c r="M62" s="2"/>
      <c r="N62" s="6">
        <f t="shared" si="43"/>
        <v>0.79803830707445178</v>
      </c>
      <c r="O62" s="11"/>
      <c r="P62" s="7">
        <v>232.81</v>
      </c>
      <c r="Q62" s="2"/>
      <c r="R62" s="6">
        <f t="shared" si="44"/>
        <v>0</v>
      </c>
      <c r="S62" s="2"/>
      <c r="T62" s="7">
        <v>129.47999999999999</v>
      </c>
      <c r="U62" s="2"/>
      <c r="V62" s="6">
        <f t="shared" si="45"/>
        <v>0</v>
      </c>
      <c r="W62" s="2"/>
      <c r="X62" s="7">
        <f t="shared" si="46"/>
        <v>103.33000000000001</v>
      </c>
      <c r="Y62" s="2"/>
      <c r="Z62" s="6">
        <f t="shared" si="47"/>
        <v>0.79803830707445178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434.05</v>
      </c>
      <c r="E63" s="1"/>
      <c r="F63" s="5">
        <f t="shared" ref="F63:F70" si="48">IF(D$12=0,0,D63/D$12)</f>
        <v>0</v>
      </c>
      <c r="G63" s="1"/>
      <c r="H63" s="1">
        <f>SUM(OSRRefH22_10x_0)</f>
        <v>276.64999999999998</v>
      </c>
      <c r="I63" s="1"/>
      <c r="J63" s="5">
        <f t="shared" ref="J63:J70" si="49">IF(H$12=0,0,H63/H$12)</f>
        <v>0</v>
      </c>
      <c r="K63" s="1"/>
      <c r="L63" s="1">
        <f t="shared" ref="L63:L70" si="50">+D63-H63</f>
        <v>157.40000000000003</v>
      </c>
      <c r="M63" s="1"/>
      <c r="N63" s="5">
        <f t="shared" ref="N63:N70" si="51">IF(H63=0,0,L63/H63)</f>
        <v>0.56894993674317751</v>
      </c>
      <c r="O63" s="14"/>
      <c r="P63" s="1">
        <f>SUM(OSRRefP22_10x_0)</f>
        <v>434.05</v>
      </c>
      <c r="Q63" s="1"/>
      <c r="R63" s="5">
        <f t="shared" ref="R63:R70" si="52">IF(P$12=0,0,P63/P$12)</f>
        <v>0</v>
      </c>
      <c r="S63" s="1"/>
      <c r="T63" s="1">
        <f>SUM(OSRRefT22_10x_0)</f>
        <v>276.64999999999998</v>
      </c>
      <c r="U63" s="1"/>
      <c r="V63" s="5">
        <f t="shared" ref="V63:V70" si="53">IF(T$12=0,0,T63/T$12)</f>
        <v>0</v>
      </c>
      <c r="W63" s="1"/>
      <c r="X63" s="1">
        <f t="shared" ref="X63:X70" si="54">+P63-T63</f>
        <v>157.40000000000003</v>
      </c>
      <c r="Y63" s="1"/>
      <c r="Z63" s="5">
        <f t="shared" ref="Z63:Z70" si="55">IF(T63=0,0,X63/T63)</f>
        <v>0.56894993674317751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434.05</v>
      </c>
      <c r="E64" s="2"/>
      <c r="F64" s="6">
        <f t="shared" si="48"/>
        <v>0</v>
      </c>
      <c r="G64" s="2"/>
      <c r="H64" s="7">
        <v>276.64999999999998</v>
      </c>
      <c r="I64" s="2"/>
      <c r="J64" s="6">
        <f t="shared" si="49"/>
        <v>0</v>
      </c>
      <c r="K64" s="2"/>
      <c r="L64" s="7">
        <f t="shared" si="50"/>
        <v>157.40000000000003</v>
      </c>
      <c r="M64" s="2"/>
      <c r="N64" s="6">
        <f t="shared" si="51"/>
        <v>0.56894993674317751</v>
      </c>
      <c r="O64" s="11"/>
      <c r="P64" s="7">
        <v>434.05</v>
      </c>
      <c r="Q64" s="2"/>
      <c r="R64" s="6">
        <f t="shared" si="52"/>
        <v>0</v>
      </c>
      <c r="S64" s="2"/>
      <c r="T64" s="7">
        <v>276.64999999999998</v>
      </c>
      <c r="U64" s="2"/>
      <c r="V64" s="6">
        <f t="shared" si="53"/>
        <v>0</v>
      </c>
      <c r="W64" s="2"/>
      <c r="X64" s="7">
        <f t="shared" si="54"/>
        <v>157.40000000000003</v>
      </c>
      <c r="Y64" s="2"/>
      <c r="Z64" s="6">
        <f t="shared" si="55"/>
        <v>0.56894993674317751</v>
      </c>
    </row>
    <row r="65" spans="1:26" s="28" customFormat="1" outlineLevel="1" collapsed="1" x14ac:dyDescent="0.25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SUM(OSRRefD22_11x_0)</f>
        <v>240</v>
      </c>
      <c r="E65" s="1"/>
      <c r="F65" s="5">
        <f t="shared" si="48"/>
        <v>0</v>
      </c>
      <c r="G65" s="1"/>
      <c r="H65" s="1">
        <f>SUM(OSRRefH22_11x_0)</f>
        <v>0</v>
      </c>
      <c r="I65" s="1"/>
      <c r="J65" s="5">
        <f t="shared" si="49"/>
        <v>0</v>
      </c>
      <c r="K65" s="1"/>
      <c r="L65" s="1">
        <f t="shared" si="50"/>
        <v>240</v>
      </c>
      <c r="M65" s="1"/>
      <c r="N65" s="5">
        <f t="shared" si="51"/>
        <v>0</v>
      </c>
      <c r="O65" s="14"/>
      <c r="P65" s="1">
        <f>SUM(OSRRefP22_11x_0)</f>
        <v>240</v>
      </c>
      <c r="Q65" s="1"/>
      <c r="R65" s="5">
        <f t="shared" si="52"/>
        <v>0</v>
      </c>
      <c r="S65" s="1"/>
      <c r="T65" s="1">
        <f>SUM(OSRRefT22_11x_0)</f>
        <v>0</v>
      </c>
      <c r="U65" s="1"/>
      <c r="V65" s="5">
        <f t="shared" si="53"/>
        <v>0</v>
      </c>
      <c r="W65" s="1"/>
      <c r="X65" s="1">
        <f t="shared" si="54"/>
        <v>240</v>
      </c>
      <c r="Y65" s="1"/>
      <c r="Z65" s="5">
        <f t="shared" si="55"/>
        <v>0</v>
      </c>
    </row>
    <row r="66" spans="1:26" s="24" customFormat="1" hidden="1" outlineLevel="2" x14ac:dyDescent="0.25">
      <c r="A66" s="29"/>
      <c r="B66" s="11" t="str">
        <f>CONCATENATE("          ", "6376", " - ", "TRAINING")</f>
        <v xml:space="preserve">          6376 - TRAINING</v>
      </c>
      <c r="C66" s="11"/>
      <c r="D66" s="7">
        <v>240</v>
      </c>
      <c r="E66" s="2"/>
      <c r="F66" s="6">
        <f t="shared" si="48"/>
        <v>0</v>
      </c>
      <c r="G66" s="2"/>
      <c r="H66" s="7"/>
      <c r="I66" s="2"/>
      <c r="J66" s="6">
        <f t="shared" si="49"/>
        <v>0</v>
      </c>
      <c r="K66" s="2"/>
      <c r="L66" s="7">
        <f t="shared" si="50"/>
        <v>240</v>
      </c>
      <c r="M66" s="2"/>
      <c r="N66" s="6">
        <f t="shared" si="51"/>
        <v>0</v>
      </c>
      <c r="O66" s="11"/>
      <c r="P66" s="7">
        <v>240</v>
      </c>
      <c r="Q66" s="2"/>
      <c r="R66" s="6">
        <f t="shared" si="52"/>
        <v>0</v>
      </c>
      <c r="S66" s="2"/>
      <c r="T66" s="7"/>
      <c r="U66" s="2"/>
      <c r="V66" s="6">
        <f t="shared" si="53"/>
        <v>0</v>
      </c>
      <c r="W66" s="2"/>
      <c r="X66" s="7">
        <f t="shared" si="54"/>
        <v>240</v>
      </c>
      <c r="Y66" s="2"/>
      <c r="Z66" s="6">
        <f t="shared" si="55"/>
        <v>0</v>
      </c>
    </row>
    <row r="67" spans="1:26" s="28" customFormat="1" outlineLevel="1" collapsed="1" x14ac:dyDescent="0.25">
      <c r="A67" s="27"/>
      <c r="B67" s="14" t="str">
        <f>CONCATENATE("     ","Travel                                            ")</f>
        <v xml:space="preserve">     Travel                                            </v>
      </c>
      <c r="C67" s="14"/>
      <c r="D67" s="1">
        <f>SUM(OSRRefD22_12x_0)</f>
        <v>764.32</v>
      </c>
      <c r="E67" s="1"/>
      <c r="F67" s="5">
        <f t="shared" si="48"/>
        <v>0</v>
      </c>
      <c r="G67" s="1"/>
      <c r="H67" s="1">
        <f>SUM(OSRRefH22_12x_0)</f>
        <v>248.09</v>
      </c>
      <c r="I67" s="1"/>
      <c r="J67" s="5">
        <f t="shared" si="49"/>
        <v>0</v>
      </c>
      <c r="K67" s="1"/>
      <c r="L67" s="1">
        <f t="shared" si="50"/>
        <v>516.23</v>
      </c>
      <c r="M67" s="1"/>
      <c r="N67" s="5">
        <f t="shared" si="51"/>
        <v>2.0808174452819541</v>
      </c>
      <c r="O67" s="14"/>
      <c r="P67" s="1">
        <f>SUM(OSRRefP22_12x_0)</f>
        <v>764.32</v>
      </c>
      <c r="Q67" s="1"/>
      <c r="R67" s="5">
        <f t="shared" si="52"/>
        <v>0</v>
      </c>
      <c r="S67" s="1"/>
      <c r="T67" s="1">
        <f>SUM(OSRRefT22_12x_0)</f>
        <v>248.09</v>
      </c>
      <c r="U67" s="1"/>
      <c r="V67" s="5">
        <f t="shared" si="53"/>
        <v>0</v>
      </c>
      <c r="W67" s="1"/>
      <c r="X67" s="1">
        <f t="shared" si="54"/>
        <v>516.23</v>
      </c>
      <c r="Y67" s="1"/>
      <c r="Z67" s="5">
        <f t="shared" si="55"/>
        <v>2.0808174452819541</v>
      </c>
    </row>
    <row r="68" spans="1:26" s="24" customFormat="1" hidden="1" outlineLevel="2" x14ac:dyDescent="0.25">
      <c r="A68" s="29"/>
      <c r="B68" s="11" t="str">
        <f>CONCATENATE("          ", "6292", " - ", "TRAVEL/CONFERENCE")</f>
        <v xml:space="preserve">          6292 - TRAVEL/CONFERENCE</v>
      </c>
      <c r="C68" s="11"/>
      <c r="D68" s="7">
        <v>505.23</v>
      </c>
      <c r="E68" s="2"/>
      <c r="F68" s="6">
        <f t="shared" si="48"/>
        <v>0</v>
      </c>
      <c r="G68" s="2"/>
      <c r="H68" s="7">
        <v>178.03</v>
      </c>
      <c r="I68" s="2"/>
      <c r="J68" s="6">
        <f t="shared" si="49"/>
        <v>0</v>
      </c>
      <c r="K68" s="2"/>
      <c r="L68" s="7">
        <f t="shared" si="50"/>
        <v>327.20000000000005</v>
      </c>
      <c r="M68" s="2"/>
      <c r="N68" s="6">
        <f t="shared" si="51"/>
        <v>1.8378924900297704</v>
      </c>
      <c r="O68" s="11"/>
      <c r="P68" s="7">
        <v>505.23</v>
      </c>
      <c r="Q68" s="2"/>
      <c r="R68" s="6">
        <f t="shared" si="52"/>
        <v>0</v>
      </c>
      <c r="S68" s="2"/>
      <c r="T68" s="7">
        <v>178.03</v>
      </c>
      <c r="U68" s="2"/>
      <c r="V68" s="6">
        <f t="shared" si="53"/>
        <v>0</v>
      </c>
      <c r="W68" s="2"/>
      <c r="X68" s="7">
        <f t="shared" si="54"/>
        <v>327.20000000000005</v>
      </c>
      <c r="Y68" s="2"/>
      <c r="Z68" s="6">
        <f t="shared" si="55"/>
        <v>1.8378924900297704</v>
      </c>
    </row>
    <row r="69" spans="1:26" s="24" customFormat="1" hidden="1" outlineLevel="2" x14ac:dyDescent="0.25">
      <c r="A69" s="29"/>
      <c r="B69" s="11" t="str">
        <f>CONCATENATE("          ", "6294", " - ", "TRAVEL OPERATIONAL")</f>
        <v xml:space="preserve">          6294 - TRAVEL OPERATIONAL</v>
      </c>
      <c r="C69" s="11"/>
      <c r="D69" s="7">
        <v>45.49</v>
      </c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45.49</v>
      </c>
      <c r="M69" s="2"/>
      <c r="N69" s="6">
        <f t="shared" si="51"/>
        <v>0</v>
      </c>
      <c r="O69" s="11"/>
      <c r="P69" s="7">
        <v>45.49</v>
      </c>
      <c r="Q69" s="2"/>
      <c r="R69" s="6">
        <f t="shared" si="52"/>
        <v>0</v>
      </c>
      <c r="S69" s="2"/>
      <c r="T69" s="7"/>
      <c r="U69" s="2"/>
      <c r="V69" s="6">
        <f t="shared" si="53"/>
        <v>0</v>
      </c>
      <c r="W69" s="2"/>
      <c r="X69" s="7">
        <f t="shared" si="54"/>
        <v>45.49</v>
      </c>
      <c r="Y69" s="2"/>
      <c r="Z69" s="6">
        <f t="shared" si="55"/>
        <v>0</v>
      </c>
    </row>
    <row r="70" spans="1:26" s="24" customFormat="1" hidden="1" outlineLevel="2" x14ac:dyDescent="0.25">
      <c r="A70" s="29"/>
      <c r="B70" s="11" t="str">
        <f>CONCATENATE("          ", "6298", " - ", "VEHICLE MILEAGE")</f>
        <v xml:space="preserve">          6298 - VEHICLE MILEAGE</v>
      </c>
      <c r="C70" s="11"/>
      <c r="D70" s="7">
        <v>213.6</v>
      </c>
      <c r="E70" s="2"/>
      <c r="F70" s="6">
        <f t="shared" si="48"/>
        <v>0</v>
      </c>
      <c r="G70" s="2"/>
      <c r="H70" s="7">
        <v>70.06</v>
      </c>
      <c r="I70" s="2"/>
      <c r="J70" s="6">
        <f t="shared" si="49"/>
        <v>0</v>
      </c>
      <c r="K70" s="2"/>
      <c r="L70" s="7">
        <f t="shared" si="50"/>
        <v>143.54</v>
      </c>
      <c r="M70" s="2"/>
      <c r="N70" s="6">
        <f t="shared" si="51"/>
        <v>2.0488153011704253</v>
      </c>
      <c r="O70" s="11"/>
      <c r="P70" s="7">
        <v>213.6</v>
      </c>
      <c r="Q70" s="2"/>
      <c r="R70" s="6">
        <f t="shared" si="52"/>
        <v>0</v>
      </c>
      <c r="S70" s="2"/>
      <c r="T70" s="7">
        <v>70.06</v>
      </c>
      <c r="U70" s="2"/>
      <c r="V70" s="6">
        <f t="shared" si="53"/>
        <v>0</v>
      </c>
      <c r="W70" s="2"/>
      <c r="X70" s="7">
        <f t="shared" si="54"/>
        <v>143.54</v>
      </c>
      <c r="Y70" s="2"/>
      <c r="Z70" s="6">
        <f t="shared" si="55"/>
        <v>2.0488153011704253</v>
      </c>
    </row>
    <row r="71" spans="1:26" s="28" customFormat="1" outlineLevel="1" collapsed="1" x14ac:dyDescent="0.25">
      <c r="A71" s="27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SUM(OSRRefD22_13x_0)</f>
        <v>11354</v>
      </c>
      <c r="E71" s="1"/>
      <c r="F71" s="5">
        <f t="shared" ref="F71:F72" si="56">IF(D$12=0,0,D71/D$12)</f>
        <v>0</v>
      </c>
      <c r="G71" s="1"/>
      <c r="H71" s="1">
        <f>SUM(OSRRefH22_13x_0)</f>
        <v>12784</v>
      </c>
      <c r="I71" s="1"/>
      <c r="J71" s="5">
        <f t="shared" ref="J71:J72" si="57">IF(H$12=0,0,H71/H$12)</f>
        <v>0</v>
      </c>
      <c r="K71" s="1"/>
      <c r="L71" s="1">
        <f t="shared" ref="L71:L72" si="58">+D71-H71</f>
        <v>-1430</v>
      </c>
      <c r="M71" s="1"/>
      <c r="N71" s="5">
        <f t="shared" ref="N71:N72" si="59">IF(H71=0,0,L71/H71)</f>
        <v>-0.11185857321652065</v>
      </c>
      <c r="O71" s="14"/>
      <c r="P71" s="1">
        <f>SUM(OSRRefP22_13x_0)</f>
        <v>11354</v>
      </c>
      <c r="Q71" s="1"/>
      <c r="R71" s="5">
        <f t="shared" ref="R71:R72" si="60">IF(P$12=0,0,P71/P$12)</f>
        <v>0</v>
      </c>
      <c r="S71" s="1"/>
      <c r="T71" s="1">
        <f>SUM(OSRRefT22_13x_0)</f>
        <v>12784</v>
      </c>
      <c r="U71" s="1"/>
      <c r="V71" s="5">
        <f t="shared" ref="V71:V72" si="61">IF(T$12=0,0,T71/T$12)</f>
        <v>0</v>
      </c>
      <c r="W71" s="1"/>
      <c r="X71" s="1">
        <f t="shared" ref="X71:X72" si="62">+P71-T71</f>
        <v>-1430</v>
      </c>
      <c r="Y71" s="1"/>
      <c r="Z71" s="5">
        <f t="shared" ref="Z71:Z72" si="63">IF(T71=0,0,X71/T71)</f>
        <v>-0.11185857321652065</v>
      </c>
    </row>
    <row r="72" spans="1:26" s="24" customFormat="1" hidden="1" outlineLevel="2" x14ac:dyDescent="0.25">
      <c r="A72" s="29"/>
      <c r="B72" s="11" t="str">
        <f>CONCATENATE("          ", "6274", " - ", "UTILITIES")</f>
        <v xml:space="preserve">          6274 - UTILITIES</v>
      </c>
      <c r="C72" s="11"/>
      <c r="D72" s="7">
        <v>11354</v>
      </c>
      <c r="E72" s="2"/>
      <c r="F72" s="6">
        <f t="shared" si="56"/>
        <v>0</v>
      </c>
      <c r="G72" s="2"/>
      <c r="H72" s="7">
        <v>12784</v>
      </c>
      <c r="I72" s="2"/>
      <c r="J72" s="6">
        <f t="shared" si="57"/>
        <v>0</v>
      </c>
      <c r="K72" s="2"/>
      <c r="L72" s="7">
        <f t="shared" si="58"/>
        <v>-1430</v>
      </c>
      <c r="M72" s="2"/>
      <c r="N72" s="6">
        <f t="shared" si="59"/>
        <v>-0.11185857321652065</v>
      </c>
      <c r="O72" s="11"/>
      <c r="P72" s="7">
        <v>11354</v>
      </c>
      <c r="Q72" s="2"/>
      <c r="R72" s="6">
        <f t="shared" si="60"/>
        <v>0</v>
      </c>
      <c r="S72" s="2"/>
      <c r="T72" s="7">
        <v>12784</v>
      </c>
      <c r="U72" s="2"/>
      <c r="V72" s="6">
        <f t="shared" si="61"/>
        <v>0</v>
      </c>
      <c r="W72" s="2"/>
      <c r="X72" s="7">
        <f t="shared" si="62"/>
        <v>-1430</v>
      </c>
      <c r="Y72" s="2"/>
      <c r="Z72" s="6">
        <f t="shared" si="63"/>
        <v>-0.11185857321652065</v>
      </c>
    </row>
    <row r="73" spans="1:26" s="54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6" t="s">
        <v>0</v>
      </c>
      <c r="C74" s="10"/>
      <c r="D74" s="4">
        <f>SUM(OSRRefD25x_0)</f>
        <v>2412.86</v>
      </c>
      <c r="E74" s="4"/>
      <c r="F74" s="12">
        <f t="shared" ref="F74:F76" si="64">IF(D$12=0,0,D74/D$12)</f>
        <v>0</v>
      </c>
      <c r="G74" s="4"/>
      <c r="H74" s="4">
        <f>SUM(OSRRefH25x_0)</f>
        <v>502.33</v>
      </c>
      <c r="I74" s="4"/>
      <c r="J74" s="12">
        <f t="shared" ref="J74:J76" si="65">IF(H$12=0,0,H74/H$12)</f>
        <v>0</v>
      </c>
      <c r="K74" s="4"/>
      <c r="L74" s="4">
        <f t="shared" ref="L74:L76" si="66">+D74-H74</f>
        <v>1910.5300000000002</v>
      </c>
      <c r="M74" s="4"/>
      <c r="N74" s="12">
        <f t="shared" ref="N74:N76" si="67">IF(H74=0,0,L74/H74)</f>
        <v>3.8033364521330606</v>
      </c>
      <c r="O74" s="10"/>
      <c r="P74" s="4">
        <f>SUM(OSRRefP25x_0)</f>
        <v>2412.86</v>
      </c>
      <c r="Q74" s="4"/>
      <c r="R74" s="12">
        <f t="shared" ref="R74:R76" si="68">IF(P$12=0,0,P74/P$12)</f>
        <v>0</v>
      </c>
      <c r="S74" s="4"/>
      <c r="T74" s="4">
        <f>SUM(OSRRefT25x_0)</f>
        <v>502.33</v>
      </c>
      <c r="U74" s="4"/>
      <c r="V74" s="12">
        <f t="shared" ref="V74:V76" si="69">IF(T$12=0,0,T74/T$12)</f>
        <v>0</v>
      </c>
      <c r="W74" s="4"/>
      <c r="X74" s="4">
        <f t="shared" ref="X74:X76" si="70">+P74-T74</f>
        <v>1910.5300000000002</v>
      </c>
      <c r="Y74" s="4"/>
      <c r="Z74" s="12">
        <f t="shared" ref="Z74:Z76" si="71">IF(T74=0,0,X74/T74)</f>
        <v>3.8033364521330606</v>
      </c>
    </row>
    <row r="75" spans="1:26" s="24" customFormat="1" hidden="1" outlineLevel="1" x14ac:dyDescent="0.25">
      <c r="A75" s="50"/>
      <c r="B75" s="11" t="str">
        <f>CONCATENATE("          ", "9150", " - ", "MISC. INCOME")</f>
        <v xml:space="preserve">          9150 - MISC. INCOME</v>
      </c>
      <c r="C75" s="11"/>
      <c r="D75" s="2">
        <f>--1401.93</f>
        <v>1401.93</v>
      </c>
      <c r="E75" s="2"/>
      <c r="F75" s="22">
        <f t="shared" si="64"/>
        <v>0</v>
      </c>
      <c r="G75" s="2"/>
      <c r="H75" s="2">
        <f>--3.68</f>
        <v>3.68</v>
      </c>
      <c r="I75" s="2"/>
      <c r="J75" s="22">
        <f t="shared" si="65"/>
        <v>0</v>
      </c>
      <c r="K75" s="2"/>
      <c r="L75" s="2">
        <f t="shared" si="66"/>
        <v>1398.25</v>
      </c>
      <c r="M75" s="2"/>
      <c r="N75" s="22">
        <f t="shared" si="67"/>
        <v>379.95923913043475</v>
      </c>
      <c r="O75" s="11"/>
      <c r="P75" s="2">
        <f>--1401.93</f>
        <v>1401.93</v>
      </c>
      <c r="Q75" s="2"/>
      <c r="R75" s="22">
        <f t="shared" si="68"/>
        <v>0</v>
      </c>
      <c r="S75" s="2"/>
      <c r="T75" s="2">
        <f>--3.68</f>
        <v>3.68</v>
      </c>
      <c r="U75" s="2"/>
      <c r="V75" s="22">
        <f t="shared" si="69"/>
        <v>0</v>
      </c>
      <c r="W75" s="2"/>
      <c r="X75" s="2">
        <f t="shared" si="70"/>
        <v>1398.25</v>
      </c>
      <c r="Y75" s="2"/>
      <c r="Z75" s="22">
        <f t="shared" si="71"/>
        <v>379.95923913043475</v>
      </c>
    </row>
    <row r="76" spans="1:26" s="24" customFormat="1" hidden="1" outlineLevel="1" x14ac:dyDescent="0.25">
      <c r="A76" s="50"/>
      <c r="B76" s="11" t="str">
        <f>CONCATENATE("          ", "9160", " - ", "MISC. INCOME")</f>
        <v xml:space="preserve">          9160 - MISC. INCOME</v>
      </c>
      <c r="C76" s="11"/>
      <c r="D76" s="2">
        <f>--1010.93</f>
        <v>1010.93</v>
      </c>
      <c r="E76" s="2"/>
      <c r="F76" s="22">
        <f t="shared" si="64"/>
        <v>0</v>
      </c>
      <c r="G76" s="2"/>
      <c r="H76" s="2">
        <f>--498.65</f>
        <v>498.65</v>
      </c>
      <c r="I76" s="2"/>
      <c r="J76" s="22">
        <f t="shared" si="65"/>
        <v>0</v>
      </c>
      <c r="K76" s="2"/>
      <c r="L76" s="2">
        <f t="shared" si="66"/>
        <v>512.28</v>
      </c>
      <c r="M76" s="2"/>
      <c r="N76" s="22">
        <f t="shared" si="67"/>
        <v>1.0273338012634112</v>
      </c>
      <c r="O76" s="11"/>
      <c r="P76" s="2">
        <f>--1010.93</f>
        <v>1010.93</v>
      </c>
      <c r="Q76" s="2"/>
      <c r="R76" s="22">
        <f t="shared" si="68"/>
        <v>0</v>
      </c>
      <c r="S76" s="2"/>
      <c r="T76" s="2">
        <f>--498.65</f>
        <v>498.65</v>
      </c>
      <c r="U76" s="2"/>
      <c r="V76" s="22">
        <f t="shared" si="69"/>
        <v>0</v>
      </c>
      <c r="W76" s="2"/>
      <c r="X76" s="2">
        <f t="shared" si="70"/>
        <v>512.28</v>
      </c>
      <c r="Y76" s="2"/>
      <c r="Z76" s="22">
        <f t="shared" si="71"/>
        <v>1.0273338012634112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+D16-D18+D74</f>
        <v>-93959.119999999981</v>
      </c>
      <c r="E78" s="13"/>
      <c r="F78" s="20">
        <f>IF(D$12=0,0,D78/D$12)</f>
        <v>0</v>
      </c>
      <c r="G78" s="13"/>
      <c r="H78" s="21">
        <f>+H16-H18+H74</f>
        <v>-93421.75999999998</v>
      </c>
      <c r="I78" s="13"/>
      <c r="J78" s="20">
        <f>IF(H$12=0,0,H78/H$12)</f>
        <v>0</v>
      </c>
      <c r="K78" s="16"/>
      <c r="L78" s="21">
        <f>+D78-H78</f>
        <v>-537.36000000000058</v>
      </c>
      <c r="M78" s="16"/>
      <c r="N78" s="20">
        <f>IF(H78=0,0,L78/H78)</f>
        <v>5.7519789821985877E-3</v>
      </c>
      <c r="O78" s="26"/>
      <c r="P78" s="21">
        <f>+P16-P18+P74</f>
        <v>-93959.119999999981</v>
      </c>
      <c r="Q78" s="13"/>
      <c r="R78" s="20">
        <f>IF(P$12=0,0,P78/P$12)</f>
        <v>0</v>
      </c>
      <c r="S78" s="13"/>
      <c r="T78" s="21">
        <f>+T16-T18+T74</f>
        <v>-93421.75999999998</v>
      </c>
      <c r="U78" s="13"/>
      <c r="V78" s="20">
        <f>IF(T$12=0,0,T78/T$12)</f>
        <v>0</v>
      </c>
      <c r="W78" s="16"/>
      <c r="X78" s="21">
        <f>+P78-T78</f>
        <v>-537.36000000000058</v>
      </c>
      <c r="Y78" s="16"/>
      <c r="Z78" s="20">
        <f>IF(T78=0,0,X78/T78)</f>
        <v>5.7519789821985877E-3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13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3">
        <f>+D78-D80</f>
        <v>-93959.119999999981</v>
      </c>
      <c r="E82" s="13"/>
      <c r="F82" s="34">
        <f>IF(D$12=0,0,D82/D$12)</f>
        <v>0</v>
      </c>
      <c r="G82" s="13"/>
      <c r="H82" s="33">
        <f>+H78-H80</f>
        <v>-93421.75999999998</v>
      </c>
      <c r="I82" s="13"/>
      <c r="J82" s="34">
        <f>IF(H$12=0,0,H82/H$12)</f>
        <v>0</v>
      </c>
      <c r="K82" s="16"/>
      <c r="L82" s="33">
        <f>D82-H82</f>
        <v>-537.36000000000058</v>
      </c>
      <c r="M82" s="16"/>
      <c r="N82" s="34">
        <f>IF(H82=0,0,L82/H82)</f>
        <v>5.7519789821985877E-3</v>
      </c>
      <c r="O82" s="26"/>
      <c r="P82" s="33">
        <f>+P78-P80</f>
        <v>-93959.119999999981</v>
      </c>
      <c r="Q82" s="13"/>
      <c r="R82" s="34">
        <f>IF(P$12=0,0,P82/P$12)</f>
        <v>0</v>
      </c>
      <c r="S82" s="13"/>
      <c r="T82" s="33">
        <f>+T78-T80</f>
        <v>-93421.75999999998</v>
      </c>
      <c r="U82" s="13"/>
      <c r="V82" s="34">
        <f>IF(T$12=0,0,T82/T$12)</f>
        <v>0</v>
      </c>
      <c r="W82" s="16"/>
      <c r="X82" s="33">
        <f>P82-T82</f>
        <v>-537.36000000000058</v>
      </c>
      <c r="Y82" s="16"/>
      <c r="Z82" s="34">
        <f>IF(T82=0,0,X82/T82)</f>
        <v>5.7519789821985877E-3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1">
        <f>SUM(D82:D84)</f>
        <v>-93959.119999999981</v>
      </c>
      <c r="E85" s="13"/>
      <c r="F85" s="30">
        <f>IF(D$12=0,0,D85/D$12)</f>
        <v>0</v>
      </c>
      <c r="G85" s="13"/>
      <c r="H85" s="31">
        <f>SUM(H82:H84)</f>
        <v>-93421.75999999998</v>
      </c>
      <c r="I85" s="13"/>
      <c r="J85" s="30">
        <f>IF(H$12=0,0,H85/H$12)</f>
        <v>0</v>
      </c>
      <c r="K85" s="16"/>
      <c r="L85" s="31">
        <f>+D85-H85</f>
        <v>-537.36000000000058</v>
      </c>
      <c r="M85" s="16"/>
      <c r="N85" s="30">
        <f>IF(H85=0,0,L85/H85)</f>
        <v>5.7519789821985877E-3</v>
      </c>
      <c r="O85" s="26"/>
      <c r="P85" s="31">
        <f>SUM(P82:P84)</f>
        <v>-93959.119999999981</v>
      </c>
      <c r="Q85" s="13"/>
      <c r="R85" s="30">
        <f>IF(P$12=0,0,P85/P$12)</f>
        <v>0</v>
      </c>
      <c r="S85" s="13"/>
      <c r="T85" s="31">
        <f>SUM(T82:T84)</f>
        <v>-93421.75999999998</v>
      </c>
      <c r="U85" s="13"/>
      <c r="V85" s="30">
        <f>IF(T$12=0,0,T85/T$12)</f>
        <v>0</v>
      </c>
      <c r="W85" s="16"/>
      <c r="X85" s="31">
        <f>+P85-T85</f>
        <v>-537.36000000000058</v>
      </c>
      <c r="Y85" s="16"/>
      <c r="Z85" s="30">
        <f>IF(T85=0,0,X85/T85)</f>
        <v>5.7519789821985877E-3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6">
        <v>43726.682195370369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3" t="s">
        <v>313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298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47209.649999999994</v>
      </c>
      <c r="E12" s="4"/>
      <c r="F12" s="12"/>
      <c r="G12" s="4"/>
      <c r="H12" s="4">
        <f>SUM(OSRRefH13x_0)</f>
        <v>98392</v>
      </c>
      <c r="I12" s="4"/>
      <c r="J12" s="12"/>
      <c r="K12" s="4"/>
      <c r="L12" s="4">
        <f t="shared" ref="L12:L14" si="0">+D12-H12</f>
        <v>-51182.350000000006</v>
      </c>
      <c r="M12" s="4"/>
      <c r="N12" s="12">
        <f t="shared" ref="N12:N14" si="1">IF(H12=0,0,L12/H12)</f>
        <v>-0.52018812505081724</v>
      </c>
      <c r="O12" s="10"/>
      <c r="P12" s="4">
        <f>SUM(OSRRefP13x_0)</f>
        <v>47209.649999999994</v>
      </c>
      <c r="Q12" s="4"/>
      <c r="R12" s="12"/>
      <c r="S12" s="4"/>
      <c r="T12" s="4">
        <f>SUM(OSRRefT13x_0)</f>
        <v>98392</v>
      </c>
      <c r="U12" s="4"/>
      <c r="V12" s="12"/>
      <c r="W12" s="4"/>
      <c r="X12" s="4">
        <f t="shared" ref="X12:X14" si="2">+P12-T12</f>
        <v>-51182.350000000006</v>
      </c>
      <c r="Y12" s="4"/>
      <c r="Z12" s="12">
        <f t="shared" ref="Z12:Z14" si="3">IF(T12=0,0,X12/T12)</f>
        <v>-0.52018812505081724</v>
      </c>
    </row>
    <row r="13" spans="1:26" s="24" customFormat="1" hidden="1" outlineLevel="1" x14ac:dyDescent="0.25">
      <c r="A13" s="50"/>
      <c r="B13" s="11" t="str">
        <f>CONCATENATE("          ", "4052", " - ", "TAXABLE SALES-FOOD")</f>
        <v xml:space="preserve">          4052 - TAXABLE SALES-FOOD</v>
      </c>
      <c r="C13" s="11"/>
      <c r="D13" s="2">
        <f>--43542.56</f>
        <v>43542.559999999998</v>
      </c>
      <c r="E13" s="2"/>
      <c r="F13" s="22"/>
      <c r="G13" s="2"/>
      <c r="H13" s="2">
        <f>--94558.26</f>
        <v>94558.26</v>
      </c>
      <c r="I13" s="2"/>
      <c r="J13" s="22"/>
      <c r="K13" s="2"/>
      <c r="L13" s="2">
        <f t="shared" si="0"/>
        <v>-51015.7</v>
      </c>
      <c r="M13" s="2"/>
      <c r="N13" s="22">
        <f t="shared" si="1"/>
        <v>-0.53951606131500307</v>
      </c>
      <c r="O13" s="11"/>
      <c r="P13" s="2">
        <f>--43542.56</f>
        <v>43542.559999999998</v>
      </c>
      <c r="Q13" s="2"/>
      <c r="R13" s="22"/>
      <c r="S13" s="2"/>
      <c r="T13" s="2">
        <f>--94558.26</f>
        <v>94558.26</v>
      </c>
      <c r="U13" s="2"/>
      <c r="V13" s="22"/>
      <c r="W13" s="2"/>
      <c r="X13" s="2">
        <f t="shared" si="2"/>
        <v>-51015.7</v>
      </c>
      <c r="Y13" s="2"/>
      <c r="Z13" s="22">
        <f t="shared" si="3"/>
        <v>-0.53951606131500307</v>
      </c>
    </row>
    <row r="14" spans="1:26" s="24" customFormat="1" hidden="1" outlineLevel="1" x14ac:dyDescent="0.25">
      <c r="A14" s="50"/>
      <c r="B14" s="11" t="str">
        <f>CONCATENATE("          ", "4152", " - ", "NON-TAXABLE SALES-FOOD")</f>
        <v xml:space="preserve">          4152 - NON-TAXABLE SALES-FOOD</v>
      </c>
      <c r="C14" s="11"/>
      <c r="D14" s="2">
        <f>--3667.09</f>
        <v>3667.09</v>
      </c>
      <c r="E14" s="2"/>
      <c r="F14" s="22"/>
      <c r="G14" s="2"/>
      <c r="H14" s="2">
        <f>--3833.74</f>
        <v>3833.74</v>
      </c>
      <c r="I14" s="2"/>
      <c r="J14" s="22"/>
      <c r="K14" s="2"/>
      <c r="L14" s="2">
        <f t="shared" si="0"/>
        <v>-166.64999999999964</v>
      </c>
      <c r="M14" s="2"/>
      <c r="N14" s="22">
        <f t="shared" si="1"/>
        <v>-4.3469301517578045E-2</v>
      </c>
      <c r="O14" s="11"/>
      <c r="P14" s="2">
        <f>--3667.09</f>
        <v>3667.09</v>
      </c>
      <c r="Q14" s="2"/>
      <c r="R14" s="22"/>
      <c r="S14" s="2"/>
      <c r="T14" s="2">
        <f>--3833.74</f>
        <v>3833.74</v>
      </c>
      <c r="U14" s="2"/>
      <c r="V14" s="22"/>
      <c r="W14" s="2"/>
      <c r="X14" s="2">
        <f t="shared" si="2"/>
        <v>-166.64999999999964</v>
      </c>
      <c r="Y14" s="2"/>
      <c r="Z14" s="22">
        <f t="shared" si="3"/>
        <v>-4.3469301517578045E-2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19774.28</v>
      </c>
      <c r="E16" s="4"/>
      <c r="F16" s="12">
        <f t="shared" ref="F16:F17" si="4">IF(D$12=0,0,D16/D$12)</f>
        <v>0.41886097439824277</v>
      </c>
      <c r="G16" s="4"/>
      <c r="H16" s="4">
        <f>SUM(OSRRefH16x_0)</f>
        <v>29555.230000000003</v>
      </c>
      <c r="I16" s="4"/>
      <c r="J16" s="12">
        <f t="shared" ref="J16:J17" si="5">IF(H$12=0,0,H16/H$12)</f>
        <v>0.3003824497926661</v>
      </c>
      <c r="K16" s="4"/>
      <c r="L16" s="4">
        <f t="shared" ref="L16:L17" si="6">+D16-H16</f>
        <v>-9780.9500000000044</v>
      </c>
      <c r="M16" s="4"/>
      <c r="N16" s="12">
        <f t="shared" ref="N16:N17" si="7">IF(H16=0,0,L16/H16)</f>
        <v>-0.33093804379123437</v>
      </c>
      <c r="O16" s="10"/>
      <c r="P16" s="4">
        <f>SUM(OSRRefP16x_0)</f>
        <v>19774.28</v>
      </c>
      <c r="Q16" s="4"/>
      <c r="R16" s="12">
        <f t="shared" ref="R16:R17" si="8">IF(P$12=0,0,P16/P$12)</f>
        <v>0.41886097439824277</v>
      </c>
      <c r="S16" s="4"/>
      <c r="T16" s="4">
        <f>SUM(OSRRefT16x_0)</f>
        <v>29555.230000000003</v>
      </c>
      <c r="U16" s="4"/>
      <c r="V16" s="12">
        <f t="shared" ref="V16:V17" si="9">IF(T$12=0,0,T16/T$12)</f>
        <v>0.3003824497926661</v>
      </c>
      <c r="W16" s="4"/>
      <c r="X16" s="4">
        <f t="shared" ref="X16:X17" si="10">+P16-T16</f>
        <v>-9780.9500000000044</v>
      </c>
      <c r="Y16" s="4"/>
      <c r="Z16" s="12">
        <f t="shared" ref="Z16:Z17" si="11">IF(T16=0,0,X16/T16)</f>
        <v>-0.33093804379123437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19774.28</v>
      </c>
      <c r="E17" s="2"/>
      <c r="F17" s="22">
        <f t="shared" si="4"/>
        <v>0.41886097439824277</v>
      </c>
      <c r="G17" s="2"/>
      <c r="H17" s="2">
        <v>29555.230000000003</v>
      </c>
      <c r="I17" s="2"/>
      <c r="J17" s="22">
        <f t="shared" si="5"/>
        <v>0.3003824497926661</v>
      </c>
      <c r="K17" s="2"/>
      <c r="L17" s="2">
        <f t="shared" si="6"/>
        <v>-9780.9500000000044</v>
      </c>
      <c r="M17" s="2"/>
      <c r="N17" s="22">
        <f t="shared" si="7"/>
        <v>-0.33093804379123437</v>
      </c>
      <c r="O17" s="11"/>
      <c r="P17" s="2">
        <v>19774.28</v>
      </c>
      <c r="Q17" s="2"/>
      <c r="R17" s="22">
        <f t="shared" si="8"/>
        <v>0.41886097439824277</v>
      </c>
      <c r="S17" s="2"/>
      <c r="T17" s="2">
        <v>29555.230000000003</v>
      </c>
      <c r="U17" s="2"/>
      <c r="V17" s="22">
        <f t="shared" si="9"/>
        <v>0.3003824497926661</v>
      </c>
      <c r="W17" s="2"/>
      <c r="X17" s="2">
        <f t="shared" si="10"/>
        <v>-9780.9500000000044</v>
      </c>
      <c r="Y17" s="2"/>
      <c r="Z17" s="22">
        <f t="shared" si="11"/>
        <v>-0.33093804379123437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27435.369999999995</v>
      </c>
      <c r="E19" s="13"/>
      <c r="F19" s="20">
        <f>IF(D$12=0,0,D19/D$12)</f>
        <v>0.58113902560175723</v>
      </c>
      <c r="G19" s="13"/>
      <c r="H19" s="21">
        <f>H12-H16</f>
        <v>68836.76999999999</v>
      </c>
      <c r="I19" s="13"/>
      <c r="J19" s="20">
        <f>IF(H$12=0,0,H19/H$12)</f>
        <v>0.69961755020733385</v>
      </c>
      <c r="K19" s="16"/>
      <c r="L19" s="21">
        <f>+D19-H19</f>
        <v>-41401.399999999994</v>
      </c>
      <c r="M19" s="16"/>
      <c r="N19" s="20">
        <f>IF(H19=0,0,L19/H19)</f>
        <v>-0.60144309502029225</v>
      </c>
      <c r="O19" s="26"/>
      <c r="P19" s="21">
        <f>P12-P16</f>
        <v>27435.369999999995</v>
      </c>
      <c r="Q19" s="13"/>
      <c r="R19" s="20">
        <f>IF(P$12=0,0,P19/P$12)</f>
        <v>0.58113902560175723</v>
      </c>
      <c r="S19" s="13"/>
      <c r="T19" s="21">
        <f>T12-T16</f>
        <v>68836.76999999999</v>
      </c>
      <c r="U19" s="13"/>
      <c r="V19" s="20">
        <f>IF(T$12=0,0,T19/T$12)</f>
        <v>0.69961755020733385</v>
      </c>
      <c r="W19" s="16"/>
      <c r="X19" s="21">
        <f>+P19-T19</f>
        <v>-41401.399999999994</v>
      </c>
      <c r="Y19" s="16"/>
      <c r="Z19" s="20">
        <f>IF(T19=0,0,X19/T19)</f>
        <v>-0.60144309502029225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55040.149999999987</v>
      </c>
      <c r="E21" s="19"/>
      <c r="F21" s="35">
        <f t="shared" ref="F21:F30" si="12">IF(D$12=0,0,D21/D$12)</f>
        <v>1.1658665124609056</v>
      </c>
      <c r="G21" s="19"/>
      <c r="H21" s="19">
        <f>SUM(OSRRefH22x_0)</f>
        <v>70391.599999999977</v>
      </c>
      <c r="I21" s="19"/>
      <c r="J21" s="35">
        <f t="shared" ref="J21:J30" si="13">IF(H$12=0,0,H21/H$12)</f>
        <v>0.71541995284169424</v>
      </c>
      <c r="K21" s="4"/>
      <c r="L21" s="19">
        <f t="shared" ref="L21:L30" si="14">+D21-H21</f>
        <v>-15351.44999999999</v>
      </c>
      <c r="M21" s="4"/>
      <c r="N21" s="35">
        <f t="shared" ref="N21:N30" si="15">IF(H21=0,0,L21/H21)</f>
        <v>-0.21808639098983393</v>
      </c>
      <c r="O21" s="10"/>
      <c r="P21" s="19">
        <f>SUM(OSRRefP22x_0)</f>
        <v>55040.149999999987</v>
      </c>
      <c r="Q21" s="19"/>
      <c r="R21" s="35">
        <f t="shared" ref="R21:R30" si="16">IF(P$12=0,0,P21/P$12)</f>
        <v>1.1658665124609056</v>
      </c>
      <c r="S21" s="19"/>
      <c r="T21" s="19">
        <f>SUM(OSRRefT22x_0)</f>
        <v>70391.599999999977</v>
      </c>
      <c r="U21" s="19"/>
      <c r="V21" s="35">
        <f t="shared" ref="V21:V30" si="17">IF(T$12=0,0,T21/T$12)</f>
        <v>0.71541995284169424</v>
      </c>
      <c r="W21" s="4"/>
      <c r="X21" s="19">
        <f t="shared" ref="X21:X30" si="18">+P21-T21</f>
        <v>-15351.44999999999</v>
      </c>
      <c r="Y21" s="4"/>
      <c r="Z21" s="35">
        <f t="shared" ref="Z21:Z30" si="19">IF(T21=0,0,X21/T21)</f>
        <v>-0.21808639098983393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13891.939999999999</v>
      </c>
      <c r="E22" s="1"/>
      <c r="F22" s="5">
        <f t="shared" si="12"/>
        <v>0.2942606013812854</v>
      </c>
      <c r="G22" s="1"/>
      <c r="H22" s="1">
        <f>SUM(OSRRefH22_0x_0)</f>
        <v>11132.11</v>
      </c>
      <c r="I22" s="1"/>
      <c r="J22" s="5">
        <f t="shared" si="13"/>
        <v>0.11314039759330027</v>
      </c>
      <c r="K22" s="1"/>
      <c r="L22" s="1">
        <f t="shared" si="14"/>
        <v>2759.8299999999981</v>
      </c>
      <c r="M22" s="1"/>
      <c r="N22" s="5">
        <f t="shared" si="15"/>
        <v>0.24791616324308671</v>
      </c>
      <c r="O22" s="14"/>
      <c r="P22" s="1">
        <f>SUM(OSRRefP22_0x_0)</f>
        <v>13891.939999999999</v>
      </c>
      <c r="Q22" s="1"/>
      <c r="R22" s="5">
        <f t="shared" si="16"/>
        <v>0.2942606013812854</v>
      </c>
      <c r="S22" s="1"/>
      <c r="T22" s="1">
        <f>SUM(OSRRefT22_0x_0)</f>
        <v>11132.11</v>
      </c>
      <c r="U22" s="1"/>
      <c r="V22" s="5">
        <f t="shared" si="17"/>
        <v>0.11314039759330027</v>
      </c>
      <c r="W22" s="1"/>
      <c r="X22" s="1">
        <f t="shared" si="18"/>
        <v>2759.8299999999981</v>
      </c>
      <c r="Y22" s="1"/>
      <c r="Z22" s="5">
        <f t="shared" si="19"/>
        <v>0.24791616324308671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>
        <v>2344.46</v>
      </c>
      <c r="E23" s="2"/>
      <c r="F23" s="6">
        <f t="shared" si="12"/>
        <v>4.9660609642308305E-2</v>
      </c>
      <c r="G23" s="2"/>
      <c r="H23" s="7">
        <v>2324.44</v>
      </c>
      <c r="I23" s="2"/>
      <c r="J23" s="6">
        <f t="shared" si="13"/>
        <v>2.3624278396617612E-2</v>
      </c>
      <c r="K23" s="2"/>
      <c r="L23" s="7">
        <f t="shared" si="14"/>
        <v>20.019999999999982</v>
      </c>
      <c r="M23" s="2"/>
      <c r="N23" s="6">
        <f t="shared" si="15"/>
        <v>8.6128271755777659E-3</v>
      </c>
      <c r="O23" s="11"/>
      <c r="P23" s="7">
        <v>2344.46</v>
      </c>
      <c r="Q23" s="2"/>
      <c r="R23" s="6">
        <f t="shared" si="16"/>
        <v>4.9660609642308305E-2</v>
      </c>
      <c r="S23" s="2"/>
      <c r="T23" s="7">
        <v>2324.44</v>
      </c>
      <c r="U23" s="2"/>
      <c r="V23" s="6">
        <f t="shared" si="17"/>
        <v>2.3624278396617612E-2</v>
      </c>
      <c r="W23" s="2"/>
      <c r="X23" s="7">
        <f t="shared" si="18"/>
        <v>20.019999999999982</v>
      </c>
      <c r="Y23" s="2"/>
      <c r="Z23" s="6">
        <f t="shared" si="19"/>
        <v>8.6128271755777659E-3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>
        <v>991.19</v>
      </c>
      <c r="E24" s="2"/>
      <c r="F24" s="6">
        <f t="shared" si="12"/>
        <v>2.0995495624305627E-2</v>
      </c>
      <c r="G24" s="2"/>
      <c r="H24" s="7">
        <v>1364.7</v>
      </c>
      <c r="I24" s="2"/>
      <c r="J24" s="6">
        <f t="shared" si="13"/>
        <v>1.3870030083746647E-2</v>
      </c>
      <c r="K24" s="2"/>
      <c r="L24" s="7">
        <f t="shared" si="14"/>
        <v>-373.51</v>
      </c>
      <c r="M24" s="2"/>
      <c r="N24" s="6">
        <f t="shared" si="15"/>
        <v>-0.27369385212867298</v>
      </c>
      <c r="O24" s="11"/>
      <c r="P24" s="7">
        <v>991.19</v>
      </c>
      <c r="Q24" s="2"/>
      <c r="R24" s="6">
        <f t="shared" si="16"/>
        <v>2.0995495624305627E-2</v>
      </c>
      <c r="S24" s="2"/>
      <c r="T24" s="7">
        <v>1364.7</v>
      </c>
      <c r="U24" s="2"/>
      <c r="V24" s="6">
        <f t="shared" si="17"/>
        <v>1.3870030083746647E-2</v>
      </c>
      <c r="W24" s="2"/>
      <c r="X24" s="7">
        <f t="shared" si="18"/>
        <v>-373.51</v>
      </c>
      <c r="Y24" s="2"/>
      <c r="Z24" s="6">
        <f t="shared" si="19"/>
        <v>-0.27369385212867298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>
        <v>5334.36</v>
      </c>
      <c r="E25" s="2"/>
      <c r="F25" s="6">
        <f t="shared" si="12"/>
        <v>0.11299300037174603</v>
      </c>
      <c r="G25" s="2"/>
      <c r="H25" s="7">
        <v>2037.26</v>
      </c>
      <c r="I25" s="2"/>
      <c r="J25" s="6">
        <f t="shared" si="13"/>
        <v>2.0705545166273681E-2</v>
      </c>
      <c r="K25" s="2"/>
      <c r="L25" s="7">
        <f t="shared" si="14"/>
        <v>3297.0999999999995</v>
      </c>
      <c r="M25" s="2"/>
      <c r="N25" s="6">
        <f t="shared" si="15"/>
        <v>1.6183992224851023</v>
      </c>
      <c r="O25" s="11"/>
      <c r="P25" s="7">
        <v>5334.36</v>
      </c>
      <c r="Q25" s="2"/>
      <c r="R25" s="6">
        <f t="shared" si="16"/>
        <v>0.11299300037174603</v>
      </c>
      <c r="S25" s="2"/>
      <c r="T25" s="7">
        <v>2037.26</v>
      </c>
      <c r="U25" s="2"/>
      <c r="V25" s="6">
        <f t="shared" si="17"/>
        <v>2.0705545166273681E-2</v>
      </c>
      <c r="W25" s="2"/>
      <c r="X25" s="7">
        <f t="shared" si="18"/>
        <v>3297.0999999999995</v>
      </c>
      <c r="Y25" s="2"/>
      <c r="Z25" s="6">
        <f t="shared" si="19"/>
        <v>1.6183992224851023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>
        <v>70.930000000000007</v>
      </c>
      <c r="E26" s="2"/>
      <c r="F26" s="6">
        <f t="shared" si="12"/>
        <v>1.5024470632593128E-3</v>
      </c>
      <c r="G26" s="2"/>
      <c r="H26" s="7">
        <v>107.12</v>
      </c>
      <c r="I26" s="2"/>
      <c r="J26" s="6">
        <f t="shared" si="13"/>
        <v>1.0887063988942191E-3</v>
      </c>
      <c r="K26" s="2"/>
      <c r="L26" s="7">
        <f t="shared" si="14"/>
        <v>-36.19</v>
      </c>
      <c r="M26" s="2"/>
      <c r="N26" s="6">
        <f t="shared" si="15"/>
        <v>-0.33784540702016425</v>
      </c>
      <c r="O26" s="11"/>
      <c r="P26" s="7">
        <v>70.930000000000007</v>
      </c>
      <c r="Q26" s="2"/>
      <c r="R26" s="6">
        <f t="shared" si="16"/>
        <v>1.5024470632593128E-3</v>
      </c>
      <c r="S26" s="2"/>
      <c r="T26" s="7">
        <v>107.12</v>
      </c>
      <c r="U26" s="2"/>
      <c r="V26" s="6">
        <f t="shared" si="17"/>
        <v>1.0887063988942191E-3</v>
      </c>
      <c r="W26" s="2"/>
      <c r="X26" s="7">
        <f t="shared" si="18"/>
        <v>-36.19</v>
      </c>
      <c r="Y26" s="2"/>
      <c r="Z26" s="6">
        <f t="shared" si="19"/>
        <v>-0.33784540702016425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>
        <v>1165.79</v>
      </c>
      <c r="E27" s="2"/>
      <c r="F27" s="6">
        <f t="shared" si="12"/>
        <v>2.4693892032667052E-2</v>
      </c>
      <c r="G27" s="2"/>
      <c r="H27" s="7">
        <v>1553.35</v>
      </c>
      <c r="I27" s="2"/>
      <c r="J27" s="6">
        <f t="shared" si="13"/>
        <v>1.5787360761037483E-2</v>
      </c>
      <c r="K27" s="2"/>
      <c r="L27" s="7">
        <f t="shared" si="14"/>
        <v>-387.55999999999995</v>
      </c>
      <c r="M27" s="2"/>
      <c r="N27" s="6">
        <f t="shared" si="15"/>
        <v>-0.24949946888981875</v>
      </c>
      <c r="O27" s="11"/>
      <c r="P27" s="7">
        <v>1165.79</v>
      </c>
      <c r="Q27" s="2"/>
      <c r="R27" s="6">
        <f t="shared" si="16"/>
        <v>2.4693892032667052E-2</v>
      </c>
      <c r="S27" s="2"/>
      <c r="T27" s="7">
        <v>1553.35</v>
      </c>
      <c r="U27" s="2"/>
      <c r="V27" s="6">
        <f t="shared" si="17"/>
        <v>1.5787360761037483E-2</v>
      </c>
      <c r="W27" s="2"/>
      <c r="X27" s="7">
        <f t="shared" si="18"/>
        <v>-387.55999999999995</v>
      </c>
      <c r="Y27" s="2"/>
      <c r="Z27" s="6">
        <f t="shared" si="19"/>
        <v>-0.24949946888981875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1432.07</v>
      </c>
      <c r="E28" s="2"/>
      <c r="F28" s="6">
        <f t="shared" si="12"/>
        <v>3.0334264287068431E-2</v>
      </c>
      <c r="G28" s="2"/>
      <c r="H28" s="7">
        <v>1433.78</v>
      </c>
      <c r="I28" s="2"/>
      <c r="J28" s="6">
        <f t="shared" si="13"/>
        <v>1.4572119684527197E-2</v>
      </c>
      <c r="K28" s="2"/>
      <c r="L28" s="7">
        <f t="shared" si="14"/>
        <v>-1.7100000000000364</v>
      </c>
      <c r="M28" s="2"/>
      <c r="N28" s="6">
        <f t="shared" si="15"/>
        <v>-1.1926515922945197E-3</v>
      </c>
      <c r="O28" s="11"/>
      <c r="P28" s="7">
        <v>1432.07</v>
      </c>
      <c r="Q28" s="2"/>
      <c r="R28" s="6">
        <f t="shared" si="16"/>
        <v>3.0334264287068431E-2</v>
      </c>
      <c r="S28" s="2"/>
      <c r="T28" s="7">
        <v>1433.78</v>
      </c>
      <c r="U28" s="2"/>
      <c r="V28" s="6">
        <f t="shared" si="17"/>
        <v>1.4572119684527197E-2</v>
      </c>
      <c r="W28" s="2"/>
      <c r="X28" s="7">
        <f t="shared" si="18"/>
        <v>-1.7100000000000364</v>
      </c>
      <c r="Y28" s="2"/>
      <c r="Z28" s="6">
        <f t="shared" si="19"/>
        <v>-1.1926515922945197E-3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2064.3000000000002</v>
      </c>
      <c r="E29" s="2"/>
      <c r="F29" s="6">
        <f t="shared" si="12"/>
        <v>4.372622970091921E-2</v>
      </c>
      <c r="G29" s="2"/>
      <c r="H29" s="7">
        <v>1761.83</v>
      </c>
      <c r="I29" s="2"/>
      <c r="J29" s="6">
        <f t="shared" si="13"/>
        <v>1.7906232214001137E-2</v>
      </c>
      <c r="K29" s="2"/>
      <c r="L29" s="7">
        <f t="shared" si="14"/>
        <v>302.47000000000025</v>
      </c>
      <c r="M29" s="2"/>
      <c r="N29" s="6">
        <f t="shared" si="15"/>
        <v>0.17167944693869458</v>
      </c>
      <c r="O29" s="11"/>
      <c r="P29" s="7">
        <v>2064.3000000000002</v>
      </c>
      <c r="Q29" s="2"/>
      <c r="R29" s="6">
        <f t="shared" si="16"/>
        <v>4.372622970091921E-2</v>
      </c>
      <c r="S29" s="2"/>
      <c r="T29" s="7">
        <v>1761.83</v>
      </c>
      <c r="U29" s="2"/>
      <c r="V29" s="6">
        <f t="shared" si="17"/>
        <v>1.7906232214001137E-2</v>
      </c>
      <c r="W29" s="2"/>
      <c r="X29" s="7">
        <f t="shared" si="18"/>
        <v>302.47000000000025</v>
      </c>
      <c r="Y29" s="2"/>
      <c r="Z29" s="6">
        <f t="shared" si="19"/>
        <v>0.17167944693869458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>
        <v>488.84</v>
      </c>
      <c r="E30" s="2"/>
      <c r="F30" s="6">
        <f t="shared" si="12"/>
        <v>1.0354662659011454E-2</v>
      </c>
      <c r="G30" s="2"/>
      <c r="H30" s="7">
        <v>549.63</v>
      </c>
      <c r="I30" s="2"/>
      <c r="J30" s="6">
        <f t="shared" si="13"/>
        <v>5.5861248882022926E-3</v>
      </c>
      <c r="K30" s="2"/>
      <c r="L30" s="7">
        <f t="shared" si="14"/>
        <v>-60.79000000000002</v>
      </c>
      <c r="M30" s="2"/>
      <c r="N30" s="6">
        <f t="shared" si="15"/>
        <v>-0.11060167749213111</v>
      </c>
      <c r="O30" s="11"/>
      <c r="P30" s="7">
        <v>488.84</v>
      </c>
      <c r="Q30" s="2"/>
      <c r="R30" s="6">
        <f t="shared" si="16"/>
        <v>1.0354662659011454E-2</v>
      </c>
      <c r="S30" s="2"/>
      <c r="T30" s="7">
        <v>549.63</v>
      </c>
      <c r="U30" s="2"/>
      <c r="V30" s="6">
        <f t="shared" si="17"/>
        <v>5.5861248882022926E-3</v>
      </c>
      <c r="W30" s="2"/>
      <c r="X30" s="7">
        <f t="shared" si="18"/>
        <v>-60.79000000000002</v>
      </c>
      <c r="Y30" s="2"/>
      <c r="Z30" s="6">
        <f t="shared" si="19"/>
        <v>-0.11060167749213111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34836.99</v>
      </c>
      <c r="E31" s="1"/>
      <c r="F31" s="5">
        <f t="shared" ref="F31:F37" si="20">IF(D$12=0,0,D31/D$12)</f>
        <v>0.73792095472006258</v>
      </c>
      <c r="G31" s="1"/>
      <c r="H31" s="1">
        <f>SUM(OSRRefH22_1x_0)</f>
        <v>38509.979999999996</v>
      </c>
      <c r="I31" s="1"/>
      <c r="J31" s="5">
        <f t="shared" ref="J31:J37" si="21">IF(H$12=0,0,H31/H$12)</f>
        <v>0.39139340596796485</v>
      </c>
      <c r="K31" s="1"/>
      <c r="L31" s="1">
        <f t="shared" ref="L31:L37" si="22">+D31-H31</f>
        <v>-3672.989999999998</v>
      </c>
      <c r="M31" s="1"/>
      <c r="N31" s="5">
        <f t="shared" ref="N31:N37" si="23">IF(H31=0,0,L31/H31)</f>
        <v>-9.5377613802967401E-2</v>
      </c>
      <c r="O31" s="14"/>
      <c r="P31" s="1">
        <f>SUM(OSRRefP22_1x_0)</f>
        <v>34836.99</v>
      </c>
      <c r="Q31" s="1"/>
      <c r="R31" s="5">
        <f t="shared" ref="R31:R37" si="24">IF(P$12=0,0,P31/P$12)</f>
        <v>0.73792095472006258</v>
      </c>
      <c r="S31" s="1"/>
      <c r="T31" s="1">
        <f>SUM(OSRRefT22_1x_0)</f>
        <v>38509.979999999996</v>
      </c>
      <c r="U31" s="1"/>
      <c r="V31" s="5">
        <f t="shared" ref="V31:V37" si="25">IF(T$12=0,0,T31/T$12)</f>
        <v>0.39139340596796485</v>
      </c>
      <c r="W31" s="1"/>
      <c r="X31" s="1">
        <f t="shared" ref="X31:X37" si="26">+P31-T31</f>
        <v>-3672.989999999998</v>
      </c>
      <c r="Y31" s="1"/>
      <c r="Z31" s="5">
        <f t="shared" ref="Z31:Z37" si="27">IF(T31=0,0,X31/T31)</f>
        <v>-9.5377613802967401E-2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15800.9</v>
      </c>
      <c r="E32" s="2"/>
      <c r="F32" s="6">
        <f t="shared" si="20"/>
        <v>0.33469640211270368</v>
      </c>
      <c r="G32" s="2"/>
      <c r="H32" s="7">
        <v>14032.18</v>
      </c>
      <c r="I32" s="2"/>
      <c r="J32" s="6">
        <f t="shared" si="21"/>
        <v>0.14261505000406538</v>
      </c>
      <c r="K32" s="2"/>
      <c r="L32" s="7">
        <f t="shared" si="22"/>
        <v>1768.7199999999993</v>
      </c>
      <c r="M32" s="2"/>
      <c r="N32" s="6">
        <f t="shared" si="23"/>
        <v>0.12604741387296908</v>
      </c>
      <c r="O32" s="11"/>
      <c r="P32" s="7">
        <v>15800.9</v>
      </c>
      <c r="Q32" s="2"/>
      <c r="R32" s="6">
        <f t="shared" si="24"/>
        <v>0.33469640211270368</v>
      </c>
      <c r="S32" s="2"/>
      <c r="T32" s="7">
        <v>14032.18</v>
      </c>
      <c r="U32" s="2"/>
      <c r="V32" s="6">
        <f t="shared" si="25"/>
        <v>0.14261505000406538</v>
      </c>
      <c r="W32" s="2"/>
      <c r="X32" s="7">
        <f t="shared" si="26"/>
        <v>1768.7199999999993</v>
      </c>
      <c r="Y32" s="2"/>
      <c r="Z32" s="6">
        <f t="shared" si="27"/>
        <v>0.12604741387296908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4400.6499999999996</v>
      </c>
      <c r="E33" s="2"/>
      <c r="F33" s="6">
        <f t="shared" si="20"/>
        <v>9.3215052431017811E-2</v>
      </c>
      <c r="G33" s="2"/>
      <c r="H33" s="7">
        <v>4750.88</v>
      </c>
      <c r="I33" s="2"/>
      <c r="J33" s="6">
        <f t="shared" si="21"/>
        <v>4.8285226441174077E-2</v>
      </c>
      <c r="K33" s="2"/>
      <c r="L33" s="7">
        <f t="shared" si="22"/>
        <v>-350.23000000000047</v>
      </c>
      <c r="M33" s="2"/>
      <c r="N33" s="6">
        <f t="shared" si="23"/>
        <v>-7.3718974168996157E-2</v>
      </c>
      <c r="O33" s="11"/>
      <c r="P33" s="7">
        <v>4400.6499999999996</v>
      </c>
      <c r="Q33" s="2"/>
      <c r="R33" s="6">
        <f t="shared" si="24"/>
        <v>9.3215052431017811E-2</v>
      </c>
      <c r="S33" s="2"/>
      <c r="T33" s="7">
        <v>4750.88</v>
      </c>
      <c r="U33" s="2"/>
      <c r="V33" s="6">
        <f t="shared" si="25"/>
        <v>4.8285226441174077E-2</v>
      </c>
      <c r="W33" s="2"/>
      <c r="X33" s="7">
        <f t="shared" si="26"/>
        <v>-350.23000000000047</v>
      </c>
      <c r="Y33" s="2"/>
      <c r="Z33" s="6">
        <f t="shared" si="27"/>
        <v>-7.3718974168996157E-2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6195.25</v>
      </c>
      <c r="E34" s="2"/>
      <c r="F34" s="6">
        <f t="shared" si="20"/>
        <v>0.13122846706128941</v>
      </c>
      <c r="G34" s="2"/>
      <c r="H34" s="7">
        <v>8296.4</v>
      </c>
      <c r="I34" s="2"/>
      <c r="J34" s="6">
        <f t="shared" si="21"/>
        <v>8.4319863403528733E-2</v>
      </c>
      <c r="K34" s="2"/>
      <c r="L34" s="7">
        <f t="shared" si="22"/>
        <v>-2101.1499999999996</v>
      </c>
      <c r="M34" s="2"/>
      <c r="N34" s="6">
        <f t="shared" si="23"/>
        <v>-0.25326045031579958</v>
      </c>
      <c r="O34" s="11"/>
      <c r="P34" s="7">
        <v>6195.25</v>
      </c>
      <c r="Q34" s="2"/>
      <c r="R34" s="6">
        <f t="shared" si="24"/>
        <v>0.13122846706128941</v>
      </c>
      <c r="S34" s="2"/>
      <c r="T34" s="7">
        <v>8296.4</v>
      </c>
      <c r="U34" s="2"/>
      <c r="V34" s="6">
        <f t="shared" si="25"/>
        <v>8.4319863403528733E-2</v>
      </c>
      <c r="W34" s="2"/>
      <c r="X34" s="7">
        <f t="shared" si="26"/>
        <v>-2101.1499999999996</v>
      </c>
      <c r="Y34" s="2"/>
      <c r="Z34" s="6">
        <f t="shared" si="27"/>
        <v>-0.25326045031579958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329.88</v>
      </c>
      <c r="E35" s="2"/>
      <c r="F35" s="6">
        <f t="shared" si="20"/>
        <v>6.9875544512615542E-3</v>
      </c>
      <c r="G35" s="2"/>
      <c r="H35" s="7"/>
      <c r="I35" s="2"/>
      <c r="J35" s="6">
        <f t="shared" si="21"/>
        <v>0</v>
      </c>
      <c r="K35" s="2"/>
      <c r="L35" s="7">
        <f t="shared" si="22"/>
        <v>329.88</v>
      </c>
      <c r="M35" s="2"/>
      <c r="N35" s="6">
        <f t="shared" si="23"/>
        <v>0</v>
      </c>
      <c r="O35" s="11"/>
      <c r="P35" s="7">
        <v>329.88</v>
      </c>
      <c r="Q35" s="2"/>
      <c r="R35" s="6">
        <f t="shared" si="24"/>
        <v>6.9875544512615542E-3</v>
      </c>
      <c r="S35" s="2"/>
      <c r="T35" s="7"/>
      <c r="U35" s="2"/>
      <c r="V35" s="6">
        <f t="shared" si="25"/>
        <v>0</v>
      </c>
      <c r="W35" s="2"/>
      <c r="X35" s="7">
        <f t="shared" si="26"/>
        <v>329.88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7424.89</v>
      </c>
      <c r="E36" s="2"/>
      <c r="F36" s="6">
        <f t="shared" si="20"/>
        <v>0.15727483681832</v>
      </c>
      <c r="G36" s="2"/>
      <c r="H36" s="7">
        <v>10070.379999999999</v>
      </c>
      <c r="I36" s="2"/>
      <c r="J36" s="6">
        <f t="shared" si="21"/>
        <v>0.10234958126676964</v>
      </c>
      <c r="K36" s="2"/>
      <c r="L36" s="7">
        <f t="shared" si="22"/>
        <v>-2645.4899999999989</v>
      </c>
      <c r="M36" s="2"/>
      <c r="N36" s="6">
        <f t="shared" si="23"/>
        <v>-0.26270011657951331</v>
      </c>
      <c r="O36" s="11"/>
      <c r="P36" s="7">
        <v>7424.89</v>
      </c>
      <c r="Q36" s="2"/>
      <c r="R36" s="6">
        <f t="shared" si="24"/>
        <v>0.15727483681832</v>
      </c>
      <c r="S36" s="2"/>
      <c r="T36" s="7">
        <v>10070.379999999999</v>
      </c>
      <c r="U36" s="2"/>
      <c r="V36" s="6">
        <f t="shared" si="25"/>
        <v>0.10234958126676964</v>
      </c>
      <c r="W36" s="2"/>
      <c r="X36" s="7">
        <f t="shared" si="26"/>
        <v>-2645.4899999999989</v>
      </c>
      <c r="Y36" s="2"/>
      <c r="Z36" s="6">
        <f t="shared" si="27"/>
        <v>-0.26270011657951331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685.42</v>
      </c>
      <c r="E37" s="2"/>
      <c r="F37" s="6">
        <f t="shared" si="20"/>
        <v>1.4518641845470154E-2</v>
      </c>
      <c r="G37" s="2"/>
      <c r="H37" s="7">
        <v>1360.14</v>
      </c>
      <c r="I37" s="2"/>
      <c r="J37" s="6">
        <f t="shared" si="21"/>
        <v>1.3823684852427028E-2</v>
      </c>
      <c r="K37" s="2"/>
      <c r="L37" s="7">
        <f t="shared" si="22"/>
        <v>-674.72000000000014</v>
      </c>
      <c r="M37" s="2"/>
      <c r="N37" s="6">
        <f t="shared" si="23"/>
        <v>-0.49606658138132848</v>
      </c>
      <c r="O37" s="11"/>
      <c r="P37" s="7">
        <v>685.42</v>
      </c>
      <c r="Q37" s="2"/>
      <c r="R37" s="6">
        <f t="shared" si="24"/>
        <v>1.4518641845470154E-2</v>
      </c>
      <c r="S37" s="2"/>
      <c r="T37" s="7">
        <v>1360.14</v>
      </c>
      <c r="U37" s="2"/>
      <c r="V37" s="6">
        <f t="shared" si="25"/>
        <v>1.3823684852427028E-2</v>
      </c>
      <c r="W37" s="2"/>
      <c r="X37" s="7">
        <f t="shared" si="26"/>
        <v>-674.72000000000014</v>
      </c>
      <c r="Y37" s="2"/>
      <c r="Z37" s="6">
        <f t="shared" si="27"/>
        <v>-0.49606658138132848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12.52</v>
      </c>
      <c r="E38" s="1"/>
      <c r="F38" s="5">
        <f t="shared" ref="F38:F54" si="28">IF(D$12=0,0,D38/D$12)</f>
        <v>2.6520001736933025E-4</v>
      </c>
      <c r="G38" s="1"/>
      <c r="H38" s="1">
        <f>SUM(OSRRefH22_2x_0)</f>
        <v>392.5</v>
      </c>
      <c r="I38" s="1"/>
      <c r="J38" s="5">
        <f t="shared" ref="J38:J54" si="29">IF(H$12=0,0,H38/H$12)</f>
        <v>3.9891454589804053E-3</v>
      </c>
      <c r="K38" s="1"/>
      <c r="L38" s="1">
        <f t="shared" ref="L38:L54" si="30">+D38-H38</f>
        <v>-379.98</v>
      </c>
      <c r="M38" s="1"/>
      <c r="N38" s="5">
        <f t="shared" ref="N38:N54" si="31">IF(H38=0,0,L38/H38)</f>
        <v>-0.96810191082802555</v>
      </c>
      <c r="O38" s="14"/>
      <c r="P38" s="1">
        <f>SUM(OSRRefP22_2x_0)</f>
        <v>12.52</v>
      </c>
      <c r="Q38" s="1"/>
      <c r="R38" s="5">
        <f t="shared" ref="R38:R54" si="32">IF(P$12=0,0,P38/P$12)</f>
        <v>2.6520001736933025E-4</v>
      </c>
      <c r="S38" s="1"/>
      <c r="T38" s="1">
        <f>SUM(OSRRefT22_2x_0)</f>
        <v>392.5</v>
      </c>
      <c r="U38" s="1"/>
      <c r="V38" s="5">
        <f t="shared" ref="V38:V54" si="33">IF(T$12=0,0,T38/T$12)</f>
        <v>3.9891454589804053E-3</v>
      </c>
      <c r="W38" s="1"/>
      <c r="X38" s="1">
        <f t="shared" ref="X38:X54" si="34">+P38-T38</f>
        <v>-379.98</v>
      </c>
      <c r="Y38" s="1"/>
      <c r="Z38" s="5">
        <f t="shared" ref="Z38:Z54" si="35">IF(T38=0,0,X38/T38)</f>
        <v>-0.96810191082802555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12.52</v>
      </c>
      <c r="E39" s="2"/>
      <c r="F39" s="6">
        <f t="shared" si="28"/>
        <v>2.6520001736933025E-4</v>
      </c>
      <c r="G39" s="2"/>
      <c r="H39" s="7">
        <v>392.5</v>
      </c>
      <c r="I39" s="2"/>
      <c r="J39" s="6">
        <f t="shared" si="29"/>
        <v>3.9891454589804053E-3</v>
      </c>
      <c r="K39" s="2"/>
      <c r="L39" s="7">
        <f t="shared" si="30"/>
        <v>-379.98</v>
      </c>
      <c r="M39" s="2"/>
      <c r="N39" s="6">
        <f t="shared" si="31"/>
        <v>-0.96810191082802555</v>
      </c>
      <c r="O39" s="11"/>
      <c r="P39" s="7">
        <v>12.52</v>
      </c>
      <c r="Q39" s="2"/>
      <c r="R39" s="6">
        <f t="shared" si="32"/>
        <v>2.6520001736933025E-4</v>
      </c>
      <c r="S39" s="2"/>
      <c r="T39" s="7">
        <v>392.5</v>
      </c>
      <c r="U39" s="2"/>
      <c r="V39" s="6">
        <f t="shared" si="33"/>
        <v>3.9891454589804053E-3</v>
      </c>
      <c r="W39" s="2"/>
      <c r="X39" s="7">
        <f t="shared" si="34"/>
        <v>-379.98</v>
      </c>
      <c r="Y39" s="2"/>
      <c r="Z39" s="6">
        <f t="shared" si="35"/>
        <v>-0.96810191082802555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0.49</v>
      </c>
      <c r="E40" s="1"/>
      <c r="F40" s="5">
        <f t="shared" si="28"/>
        <v>1.0379233906627142E-5</v>
      </c>
      <c r="G40" s="1"/>
      <c r="H40" s="1">
        <f>SUM(OSRRefH22_3x_0)</f>
        <v>-3.96</v>
      </c>
      <c r="I40" s="1"/>
      <c r="J40" s="5">
        <f t="shared" si="29"/>
        <v>-4.0247174567037972E-5</v>
      </c>
      <c r="K40" s="1"/>
      <c r="L40" s="1">
        <f t="shared" si="30"/>
        <v>4.45</v>
      </c>
      <c r="M40" s="1"/>
      <c r="N40" s="5">
        <f t="shared" si="31"/>
        <v>-1.1237373737373737</v>
      </c>
      <c r="O40" s="14"/>
      <c r="P40" s="1">
        <f>SUM(OSRRefP22_3x_0)</f>
        <v>0.49</v>
      </c>
      <c r="Q40" s="1"/>
      <c r="R40" s="5">
        <f t="shared" si="32"/>
        <v>1.0379233906627142E-5</v>
      </c>
      <c r="S40" s="1"/>
      <c r="T40" s="1">
        <f>SUM(OSRRefT22_3x_0)</f>
        <v>-3.96</v>
      </c>
      <c r="U40" s="1"/>
      <c r="V40" s="5">
        <f t="shared" si="33"/>
        <v>-4.0247174567037972E-5</v>
      </c>
      <c r="W40" s="1"/>
      <c r="X40" s="1">
        <f t="shared" si="34"/>
        <v>4.45</v>
      </c>
      <c r="Y40" s="1"/>
      <c r="Z40" s="5">
        <f t="shared" si="35"/>
        <v>-1.1237373737373737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0.49</v>
      </c>
      <c r="E41" s="2"/>
      <c r="F41" s="6">
        <f t="shared" si="28"/>
        <v>1.0379233906627142E-5</v>
      </c>
      <c r="G41" s="2"/>
      <c r="H41" s="7">
        <v>-3.96</v>
      </c>
      <c r="I41" s="2"/>
      <c r="J41" s="6">
        <f t="shared" si="29"/>
        <v>-4.0247174567037972E-5</v>
      </c>
      <c r="K41" s="2"/>
      <c r="L41" s="7">
        <f t="shared" si="30"/>
        <v>4.45</v>
      </c>
      <c r="M41" s="2"/>
      <c r="N41" s="6">
        <f t="shared" si="31"/>
        <v>-1.1237373737373737</v>
      </c>
      <c r="O41" s="11"/>
      <c r="P41" s="7">
        <v>0.49</v>
      </c>
      <c r="Q41" s="2"/>
      <c r="R41" s="6">
        <f t="shared" si="32"/>
        <v>1.0379233906627142E-5</v>
      </c>
      <c r="S41" s="2"/>
      <c r="T41" s="7">
        <v>-3.96</v>
      </c>
      <c r="U41" s="2"/>
      <c r="V41" s="6">
        <f t="shared" si="33"/>
        <v>-4.0247174567037972E-5</v>
      </c>
      <c r="W41" s="2"/>
      <c r="X41" s="7">
        <f t="shared" si="34"/>
        <v>4.45</v>
      </c>
      <c r="Y41" s="2"/>
      <c r="Z41" s="6">
        <f t="shared" si="35"/>
        <v>-1.1237373737373737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529.75</v>
      </c>
      <c r="E42" s="1"/>
      <c r="F42" s="5">
        <f t="shared" si="28"/>
        <v>1.1221222779664752E-2</v>
      </c>
      <c r="G42" s="1"/>
      <c r="H42" s="1">
        <f>SUM(OSRRefH22_4x_0)</f>
        <v>812.31</v>
      </c>
      <c r="I42" s="1"/>
      <c r="J42" s="5">
        <f t="shared" si="29"/>
        <v>8.2558541344824772E-3</v>
      </c>
      <c r="K42" s="1"/>
      <c r="L42" s="1">
        <f t="shared" si="30"/>
        <v>-282.55999999999995</v>
      </c>
      <c r="M42" s="1"/>
      <c r="N42" s="5">
        <f t="shared" si="31"/>
        <v>-0.34784749664536935</v>
      </c>
      <c r="O42" s="14"/>
      <c r="P42" s="1">
        <f>SUM(OSRRefP22_4x_0)</f>
        <v>529.75</v>
      </c>
      <c r="Q42" s="1"/>
      <c r="R42" s="5">
        <f t="shared" si="32"/>
        <v>1.1221222779664752E-2</v>
      </c>
      <c r="S42" s="1"/>
      <c r="T42" s="1">
        <f>SUM(OSRRefT22_4x_0)</f>
        <v>812.31</v>
      </c>
      <c r="U42" s="1"/>
      <c r="V42" s="5">
        <f t="shared" si="33"/>
        <v>8.2558541344824772E-3</v>
      </c>
      <c r="W42" s="1"/>
      <c r="X42" s="1">
        <f t="shared" si="34"/>
        <v>-282.55999999999995</v>
      </c>
      <c r="Y42" s="1"/>
      <c r="Z42" s="5">
        <f t="shared" si="35"/>
        <v>-0.34784749664536935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529.75</v>
      </c>
      <c r="E43" s="2"/>
      <c r="F43" s="6">
        <f t="shared" si="28"/>
        <v>1.1221222779664752E-2</v>
      </c>
      <c r="G43" s="2"/>
      <c r="H43" s="7">
        <v>812.31</v>
      </c>
      <c r="I43" s="2"/>
      <c r="J43" s="6">
        <f t="shared" si="29"/>
        <v>8.2558541344824772E-3</v>
      </c>
      <c r="K43" s="2"/>
      <c r="L43" s="7">
        <f t="shared" si="30"/>
        <v>-282.55999999999995</v>
      </c>
      <c r="M43" s="2"/>
      <c r="N43" s="6">
        <f t="shared" si="31"/>
        <v>-0.34784749664536935</v>
      </c>
      <c r="O43" s="11"/>
      <c r="P43" s="7">
        <v>529.75</v>
      </c>
      <c r="Q43" s="2"/>
      <c r="R43" s="6">
        <f t="shared" si="32"/>
        <v>1.1221222779664752E-2</v>
      </c>
      <c r="S43" s="2"/>
      <c r="T43" s="7">
        <v>812.31</v>
      </c>
      <c r="U43" s="2"/>
      <c r="V43" s="6">
        <f t="shared" si="33"/>
        <v>8.2558541344824772E-3</v>
      </c>
      <c r="W43" s="2"/>
      <c r="X43" s="7">
        <f t="shared" si="34"/>
        <v>-282.55999999999995</v>
      </c>
      <c r="Y43" s="2"/>
      <c r="Z43" s="6">
        <f t="shared" si="35"/>
        <v>-0.34784749664536935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297.99</v>
      </c>
      <c r="E44" s="1"/>
      <c r="F44" s="5">
        <f t="shared" si="28"/>
        <v>6.3120569629302493E-3</v>
      </c>
      <c r="G44" s="1"/>
      <c r="H44" s="1">
        <f>SUM(OSRRefH22_5x_0)</f>
        <v>696.82</v>
      </c>
      <c r="I44" s="1"/>
      <c r="J44" s="5">
        <f t="shared" si="29"/>
        <v>7.0820798438897478E-3</v>
      </c>
      <c r="K44" s="1"/>
      <c r="L44" s="1">
        <f t="shared" si="30"/>
        <v>-398.83000000000004</v>
      </c>
      <c r="M44" s="1"/>
      <c r="N44" s="5">
        <f t="shared" si="31"/>
        <v>-0.57235728021583765</v>
      </c>
      <c r="O44" s="14"/>
      <c r="P44" s="1">
        <f>SUM(OSRRefP22_5x_0)</f>
        <v>297.99</v>
      </c>
      <c r="Q44" s="1"/>
      <c r="R44" s="5">
        <f t="shared" si="32"/>
        <v>6.3120569629302493E-3</v>
      </c>
      <c r="S44" s="1"/>
      <c r="T44" s="1">
        <f>SUM(OSRRefT22_5x_0)</f>
        <v>696.82</v>
      </c>
      <c r="U44" s="1"/>
      <c r="V44" s="5">
        <f t="shared" si="33"/>
        <v>7.0820798438897478E-3</v>
      </c>
      <c r="W44" s="1"/>
      <c r="X44" s="1">
        <f t="shared" si="34"/>
        <v>-398.83000000000004</v>
      </c>
      <c r="Y44" s="1"/>
      <c r="Z44" s="5">
        <f t="shared" si="35"/>
        <v>-0.57235728021583765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297.99</v>
      </c>
      <c r="E45" s="2"/>
      <c r="F45" s="6">
        <f t="shared" si="28"/>
        <v>6.3120569629302493E-3</v>
      </c>
      <c r="G45" s="2"/>
      <c r="H45" s="7">
        <v>696.82</v>
      </c>
      <c r="I45" s="2"/>
      <c r="J45" s="6">
        <f t="shared" si="29"/>
        <v>7.0820798438897478E-3</v>
      </c>
      <c r="K45" s="2"/>
      <c r="L45" s="7">
        <f t="shared" si="30"/>
        <v>-398.83000000000004</v>
      </c>
      <c r="M45" s="2"/>
      <c r="N45" s="6">
        <f t="shared" si="31"/>
        <v>-0.57235728021583765</v>
      </c>
      <c r="O45" s="11"/>
      <c r="P45" s="7">
        <v>297.99</v>
      </c>
      <c r="Q45" s="2"/>
      <c r="R45" s="6">
        <f t="shared" si="32"/>
        <v>6.3120569629302493E-3</v>
      </c>
      <c r="S45" s="2"/>
      <c r="T45" s="7">
        <v>696.82</v>
      </c>
      <c r="U45" s="2"/>
      <c r="V45" s="6">
        <f t="shared" si="33"/>
        <v>7.0820798438897478E-3</v>
      </c>
      <c r="W45" s="2"/>
      <c r="X45" s="7">
        <f t="shared" si="34"/>
        <v>-398.83000000000004</v>
      </c>
      <c r="Y45" s="2"/>
      <c r="Z45" s="6">
        <f t="shared" si="35"/>
        <v>-0.57235728021583765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1794.55</v>
      </c>
      <c r="E46" s="1"/>
      <c r="F46" s="5">
        <f t="shared" si="28"/>
        <v>3.8012355524770891E-2</v>
      </c>
      <c r="G46" s="1"/>
      <c r="H46" s="1">
        <f>SUM(OSRRefH22_6x_0)</f>
        <v>1309.2</v>
      </c>
      <c r="I46" s="1"/>
      <c r="J46" s="5">
        <f t="shared" si="29"/>
        <v>1.3305959834132857E-2</v>
      </c>
      <c r="K46" s="1"/>
      <c r="L46" s="1">
        <f t="shared" si="30"/>
        <v>485.34999999999991</v>
      </c>
      <c r="M46" s="1"/>
      <c r="N46" s="5">
        <f t="shared" si="31"/>
        <v>0.37072257867399933</v>
      </c>
      <c r="O46" s="14"/>
      <c r="P46" s="1">
        <f>SUM(OSRRefP22_6x_0)</f>
        <v>1794.55</v>
      </c>
      <c r="Q46" s="1"/>
      <c r="R46" s="5">
        <f t="shared" si="32"/>
        <v>3.8012355524770891E-2</v>
      </c>
      <c r="S46" s="1"/>
      <c r="T46" s="1">
        <f>SUM(OSRRefT22_6x_0)</f>
        <v>1309.2</v>
      </c>
      <c r="U46" s="1"/>
      <c r="V46" s="5">
        <f t="shared" si="33"/>
        <v>1.3305959834132857E-2</v>
      </c>
      <c r="W46" s="1"/>
      <c r="X46" s="1">
        <f t="shared" si="34"/>
        <v>485.34999999999991</v>
      </c>
      <c r="Y46" s="1"/>
      <c r="Z46" s="5">
        <f t="shared" si="35"/>
        <v>0.37072257867399933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1794.55</v>
      </c>
      <c r="E47" s="2"/>
      <c r="F47" s="6">
        <f t="shared" si="28"/>
        <v>3.8012355524770891E-2</v>
      </c>
      <c r="G47" s="2"/>
      <c r="H47" s="7">
        <v>1309.2</v>
      </c>
      <c r="I47" s="2"/>
      <c r="J47" s="6">
        <f t="shared" si="29"/>
        <v>1.3305959834132857E-2</v>
      </c>
      <c r="K47" s="2"/>
      <c r="L47" s="7">
        <f t="shared" si="30"/>
        <v>485.34999999999991</v>
      </c>
      <c r="M47" s="2"/>
      <c r="N47" s="6">
        <f t="shared" si="31"/>
        <v>0.37072257867399933</v>
      </c>
      <c r="O47" s="11"/>
      <c r="P47" s="7">
        <v>1794.55</v>
      </c>
      <c r="Q47" s="2"/>
      <c r="R47" s="6">
        <f t="shared" si="32"/>
        <v>3.8012355524770891E-2</v>
      </c>
      <c r="S47" s="2"/>
      <c r="T47" s="7">
        <v>1309.2</v>
      </c>
      <c r="U47" s="2"/>
      <c r="V47" s="6">
        <f t="shared" si="33"/>
        <v>1.3305959834132857E-2</v>
      </c>
      <c r="W47" s="2"/>
      <c r="X47" s="7">
        <f t="shared" si="34"/>
        <v>485.34999999999991</v>
      </c>
      <c r="Y47" s="2"/>
      <c r="Z47" s="6">
        <f t="shared" si="35"/>
        <v>0.37072257867399933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265.87</v>
      </c>
      <c r="E48" s="1"/>
      <c r="F48" s="5">
        <f t="shared" si="28"/>
        <v>5.6316875892958333E-3</v>
      </c>
      <c r="G48" s="1"/>
      <c r="H48" s="1">
        <f>SUM(OSRRefH22_7x_0)</f>
        <v>7431.82</v>
      </c>
      <c r="I48" s="1"/>
      <c r="J48" s="5">
        <f t="shared" si="29"/>
        <v>7.5532766891617198E-2</v>
      </c>
      <c r="K48" s="1"/>
      <c r="L48" s="1">
        <f t="shared" si="30"/>
        <v>-7165.95</v>
      </c>
      <c r="M48" s="1"/>
      <c r="N48" s="5">
        <f t="shared" si="31"/>
        <v>-0.96422545217725941</v>
      </c>
      <c r="O48" s="14"/>
      <c r="P48" s="1">
        <f>SUM(OSRRefP22_7x_0)</f>
        <v>265.87</v>
      </c>
      <c r="Q48" s="1"/>
      <c r="R48" s="5">
        <f t="shared" si="32"/>
        <v>5.6316875892958333E-3</v>
      </c>
      <c r="S48" s="1"/>
      <c r="T48" s="1">
        <f>SUM(OSRRefT22_7x_0)</f>
        <v>7431.82</v>
      </c>
      <c r="U48" s="1"/>
      <c r="V48" s="5">
        <f t="shared" si="33"/>
        <v>7.5532766891617198E-2</v>
      </c>
      <c r="W48" s="1"/>
      <c r="X48" s="1">
        <f t="shared" si="34"/>
        <v>-7165.95</v>
      </c>
      <c r="Y48" s="1"/>
      <c r="Z48" s="5">
        <f t="shared" si="35"/>
        <v>-0.96422545217725941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265.87</v>
      </c>
      <c r="E49" s="2"/>
      <c r="F49" s="6">
        <f t="shared" si="28"/>
        <v>5.6316875892958333E-3</v>
      </c>
      <c r="G49" s="2"/>
      <c r="H49" s="7">
        <v>7431.82</v>
      </c>
      <c r="I49" s="2"/>
      <c r="J49" s="6">
        <f t="shared" si="29"/>
        <v>7.5532766891617198E-2</v>
      </c>
      <c r="K49" s="2"/>
      <c r="L49" s="7">
        <f t="shared" si="30"/>
        <v>-7165.95</v>
      </c>
      <c r="M49" s="2"/>
      <c r="N49" s="6">
        <f t="shared" si="31"/>
        <v>-0.96422545217725941</v>
      </c>
      <c r="O49" s="11"/>
      <c r="P49" s="7">
        <v>265.87</v>
      </c>
      <c r="Q49" s="2"/>
      <c r="R49" s="6">
        <f t="shared" si="32"/>
        <v>5.6316875892958333E-3</v>
      </c>
      <c r="S49" s="2"/>
      <c r="T49" s="7">
        <v>7431.82</v>
      </c>
      <c r="U49" s="2"/>
      <c r="V49" s="6">
        <f t="shared" si="33"/>
        <v>7.5532766891617198E-2</v>
      </c>
      <c r="W49" s="2"/>
      <c r="X49" s="7">
        <f t="shared" si="34"/>
        <v>-7165.95</v>
      </c>
      <c r="Y49" s="2"/>
      <c r="Z49" s="6">
        <f t="shared" si="35"/>
        <v>-0.96422545217725941</v>
      </c>
    </row>
    <row r="50" spans="1:26" s="28" customFormat="1" outlineLevel="1" collapsed="1" x14ac:dyDescent="0.25">
      <c r="A50" s="27"/>
      <c r="B50" s="14" t="str">
        <f>CONCATENATE("     ","Royalty &amp; Commissions                             ")</f>
        <v xml:space="preserve">     Royalty &amp; Commissions                             </v>
      </c>
      <c r="C50" s="14"/>
      <c r="D50" s="1">
        <f>SUM(OSRRefD22_8x_0)</f>
        <v>0</v>
      </c>
      <c r="E50" s="1"/>
      <c r="F50" s="5">
        <f t="shared" si="28"/>
        <v>0</v>
      </c>
      <c r="G50" s="1"/>
      <c r="H50" s="1">
        <f>SUM(OSRRefH22_8x_0)</f>
        <v>2954.27</v>
      </c>
      <c r="I50" s="1"/>
      <c r="J50" s="5">
        <f t="shared" si="29"/>
        <v>3.0025510204081632E-2</v>
      </c>
      <c r="K50" s="1"/>
      <c r="L50" s="1">
        <f t="shared" si="30"/>
        <v>-2954.27</v>
      </c>
      <c r="M50" s="1"/>
      <c r="N50" s="5">
        <f t="shared" si="31"/>
        <v>-1</v>
      </c>
      <c r="O50" s="14"/>
      <c r="P50" s="1">
        <f>SUM(OSRRefP22_8x_0)</f>
        <v>0</v>
      </c>
      <c r="Q50" s="1"/>
      <c r="R50" s="5">
        <f t="shared" si="32"/>
        <v>0</v>
      </c>
      <c r="S50" s="1"/>
      <c r="T50" s="1">
        <f>SUM(OSRRefT22_8x_0)</f>
        <v>2954.27</v>
      </c>
      <c r="U50" s="1"/>
      <c r="V50" s="5">
        <f t="shared" si="33"/>
        <v>3.0025510204081632E-2</v>
      </c>
      <c r="W50" s="1"/>
      <c r="X50" s="1">
        <f t="shared" si="34"/>
        <v>-2954.27</v>
      </c>
      <c r="Y50" s="1"/>
      <c r="Z50" s="5">
        <f t="shared" si="35"/>
        <v>-1</v>
      </c>
    </row>
    <row r="51" spans="1:26" s="24" customFormat="1" hidden="1" outlineLevel="2" x14ac:dyDescent="0.25">
      <c r="A51" s="29"/>
      <c r="B51" s="11" t="str">
        <f>CONCATENATE("          ", "6254", " - ", "ROYALTY &amp; COMMISSIONS")</f>
        <v xml:space="preserve">          6254 - ROYALTY &amp; COMMISSIONS</v>
      </c>
      <c r="C51" s="11"/>
      <c r="D51" s="7"/>
      <c r="E51" s="2"/>
      <c r="F51" s="6">
        <f t="shared" si="28"/>
        <v>0</v>
      </c>
      <c r="G51" s="2"/>
      <c r="H51" s="7">
        <v>2954.27</v>
      </c>
      <c r="I51" s="2"/>
      <c r="J51" s="6">
        <f t="shared" si="29"/>
        <v>3.0025510204081632E-2</v>
      </c>
      <c r="K51" s="2"/>
      <c r="L51" s="7">
        <f t="shared" si="30"/>
        <v>-2954.27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2954.27</v>
      </c>
      <c r="U51" s="2"/>
      <c r="V51" s="6">
        <f t="shared" si="33"/>
        <v>3.0025510204081632E-2</v>
      </c>
      <c r="W51" s="2"/>
      <c r="X51" s="7">
        <f t="shared" si="34"/>
        <v>-2954.27</v>
      </c>
      <c r="Y51" s="2"/>
      <c r="Z51" s="6">
        <f t="shared" si="35"/>
        <v>-1</v>
      </c>
    </row>
    <row r="52" spans="1:26" s="28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2434.0499999999997</v>
      </c>
      <c r="E52" s="1"/>
      <c r="F52" s="5">
        <f t="shared" si="28"/>
        <v>5.1558314878419984E-2</v>
      </c>
      <c r="G52" s="1"/>
      <c r="H52" s="1">
        <f>SUM(OSRRefH22_9x_0)</f>
        <v>2893.23</v>
      </c>
      <c r="I52" s="1"/>
      <c r="J52" s="5">
        <f t="shared" si="29"/>
        <v>2.9405134563785674E-2</v>
      </c>
      <c r="K52" s="1"/>
      <c r="L52" s="1">
        <f t="shared" si="30"/>
        <v>-459.18000000000029</v>
      </c>
      <c r="M52" s="1"/>
      <c r="N52" s="5">
        <f t="shared" si="31"/>
        <v>-0.15870843313528488</v>
      </c>
      <c r="O52" s="14"/>
      <c r="P52" s="1">
        <f>SUM(OSRRefP22_9x_0)</f>
        <v>2434.0499999999997</v>
      </c>
      <c r="Q52" s="1"/>
      <c r="R52" s="5">
        <f t="shared" si="32"/>
        <v>5.1558314878419984E-2</v>
      </c>
      <c r="S52" s="1"/>
      <c r="T52" s="1">
        <f>SUM(OSRRefT22_9x_0)</f>
        <v>2893.23</v>
      </c>
      <c r="U52" s="1"/>
      <c r="V52" s="5">
        <f t="shared" si="33"/>
        <v>2.9405134563785674E-2</v>
      </c>
      <c r="W52" s="1"/>
      <c r="X52" s="1">
        <f t="shared" si="34"/>
        <v>-459.18000000000029</v>
      </c>
      <c r="Y52" s="1"/>
      <c r="Z52" s="5">
        <f t="shared" si="35"/>
        <v>-0.15870843313528488</v>
      </c>
    </row>
    <row r="53" spans="1:26" s="24" customFormat="1" hidden="1" outlineLevel="2" x14ac:dyDescent="0.25">
      <c r="A53" s="29"/>
      <c r="B53" s="11" t="str">
        <f>CONCATENATE("          ", "6283", " - ", "PLANT SERVICE")</f>
        <v xml:space="preserve">          6283 - PLANT SERVICE</v>
      </c>
      <c r="C53" s="11"/>
      <c r="D53" s="7">
        <v>62.95</v>
      </c>
      <c r="E53" s="2"/>
      <c r="F53" s="6">
        <f t="shared" si="28"/>
        <v>1.333413825351385E-3</v>
      </c>
      <c r="G53" s="2"/>
      <c r="H53" s="7">
        <v>57</v>
      </c>
      <c r="I53" s="2"/>
      <c r="J53" s="6">
        <f t="shared" si="29"/>
        <v>5.7931539149524351E-4</v>
      </c>
      <c r="K53" s="2"/>
      <c r="L53" s="7">
        <f t="shared" si="30"/>
        <v>5.9500000000000028</v>
      </c>
      <c r="M53" s="2"/>
      <c r="N53" s="6">
        <f t="shared" si="31"/>
        <v>0.10438596491228075</v>
      </c>
      <c r="O53" s="11"/>
      <c r="P53" s="7">
        <v>62.95</v>
      </c>
      <c r="Q53" s="2"/>
      <c r="R53" s="6">
        <f t="shared" si="32"/>
        <v>1.333413825351385E-3</v>
      </c>
      <c r="S53" s="2"/>
      <c r="T53" s="7">
        <v>57</v>
      </c>
      <c r="U53" s="2"/>
      <c r="V53" s="6">
        <f t="shared" si="33"/>
        <v>5.7931539149524351E-4</v>
      </c>
      <c r="W53" s="2"/>
      <c r="X53" s="7">
        <f t="shared" si="34"/>
        <v>5.9500000000000028</v>
      </c>
      <c r="Y53" s="2"/>
      <c r="Z53" s="6">
        <f t="shared" si="35"/>
        <v>0.10438596491228075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>
        <v>2371.1</v>
      </c>
      <c r="E54" s="2"/>
      <c r="F54" s="6">
        <f t="shared" si="28"/>
        <v>5.02249010530686E-2</v>
      </c>
      <c r="G54" s="2"/>
      <c r="H54" s="7">
        <v>2836.23</v>
      </c>
      <c r="I54" s="2"/>
      <c r="J54" s="6">
        <f t="shared" si="29"/>
        <v>2.8825819172290431E-2</v>
      </c>
      <c r="K54" s="2"/>
      <c r="L54" s="7">
        <f t="shared" si="30"/>
        <v>-465.13000000000011</v>
      </c>
      <c r="M54" s="2"/>
      <c r="N54" s="6">
        <f t="shared" si="31"/>
        <v>-0.16399586775402564</v>
      </c>
      <c r="O54" s="11"/>
      <c r="P54" s="7">
        <v>2371.1</v>
      </c>
      <c r="Q54" s="2"/>
      <c r="R54" s="6">
        <f t="shared" si="32"/>
        <v>5.02249010530686E-2</v>
      </c>
      <c r="S54" s="2"/>
      <c r="T54" s="7">
        <v>2836.23</v>
      </c>
      <c r="U54" s="2"/>
      <c r="V54" s="6">
        <f t="shared" si="33"/>
        <v>2.8825819172290431E-2</v>
      </c>
      <c r="W54" s="2"/>
      <c r="X54" s="7">
        <f t="shared" si="34"/>
        <v>-465.13000000000011</v>
      </c>
      <c r="Y54" s="2"/>
      <c r="Z54" s="6">
        <f t="shared" si="35"/>
        <v>-0.16399586775402564</v>
      </c>
    </row>
    <row r="55" spans="1:26" s="28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945.75</v>
      </c>
      <c r="E55" s="1"/>
      <c r="F55" s="5">
        <f t="shared" ref="F55:F62" si="36">IF(D$12=0,0,D55/D$12)</f>
        <v>2.0032980545291061E-2</v>
      </c>
      <c r="G55" s="1"/>
      <c r="H55" s="1">
        <f>SUM(OSRRefH22_10x_0)</f>
        <v>4133.66</v>
      </c>
      <c r="I55" s="1"/>
      <c r="J55" s="5">
        <f t="shared" ref="J55:J62" si="37">IF(H$12=0,0,H55/H$12)</f>
        <v>4.2012155459793477E-2</v>
      </c>
      <c r="K55" s="1"/>
      <c r="L55" s="1">
        <f t="shared" ref="L55:L62" si="38">+D55-H55</f>
        <v>-3187.91</v>
      </c>
      <c r="M55" s="1"/>
      <c r="N55" s="5">
        <f t="shared" ref="N55:N62" si="39">IF(H55=0,0,L55/H55)</f>
        <v>-0.77120759810918171</v>
      </c>
      <c r="O55" s="14"/>
      <c r="P55" s="1">
        <f>SUM(OSRRefP22_10x_0)</f>
        <v>945.75</v>
      </c>
      <c r="Q55" s="1"/>
      <c r="R55" s="5">
        <f t="shared" ref="R55:R62" si="40">IF(P$12=0,0,P55/P$12)</f>
        <v>2.0032980545291061E-2</v>
      </c>
      <c r="S55" s="1"/>
      <c r="T55" s="1">
        <f>SUM(OSRRefT22_10x_0)</f>
        <v>4133.66</v>
      </c>
      <c r="U55" s="1"/>
      <c r="V55" s="5">
        <f t="shared" ref="V55:V62" si="41">IF(T$12=0,0,T55/T$12)</f>
        <v>4.2012155459793477E-2</v>
      </c>
      <c r="W55" s="1"/>
      <c r="X55" s="1">
        <f t="shared" ref="X55:X62" si="42">+P55-T55</f>
        <v>-3187.91</v>
      </c>
      <c r="Y55" s="1"/>
      <c r="Z55" s="5">
        <f t="shared" ref="Z55:Z62" si="43">IF(T55=0,0,X55/T55)</f>
        <v>-0.77120759810918171</v>
      </c>
    </row>
    <row r="56" spans="1:26" s="24" customFormat="1" hidden="1" outlineLevel="2" x14ac:dyDescent="0.25">
      <c r="A56" s="29"/>
      <c r="B56" s="11" t="str">
        <f>CONCATENATE("          ", "6234", " - ", "EXPENDABLE SUPPLIES &amp; EQUIPMEN")</f>
        <v xml:space="preserve">          6234 - EXPENDABLE SUPPLIES &amp; EQUIPMEN</v>
      </c>
      <c r="C56" s="11"/>
      <c r="D56" s="7"/>
      <c r="E56" s="2"/>
      <c r="F56" s="6">
        <f t="shared" si="36"/>
        <v>0</v>
      </c>
      <c r="G56" s="2"/>
      <c r="H56" s="7">
        <v>2432.98</v>
      </c>
      <c r="I56" s="2"/>
      <c r="J56" s="6">
        <f t="shared" si="37"/>
        <v>2.4727416863159608E-2</v>
      </c>
      <c r="K56" s="2"/>
      <c r="L56" s="7">
        <f t="shared" si="38"/>
        <v>-2432.98</v>
      </c>
      <c r="M56" s="2"/>
      <c r="N56" s="6">
        <f t="shared" si="39"/>
        <v>-1</v>
      </c>
      <c r="O56" s="11"/>
      <c r="P56" s="7"/>
      <c r="Q56" s="2"/>
      <c r="R56" s="6">
        <f t="shared" si="40"/>
        <v>0</v>
      </c>
      <c r="S56" s="2"/>
      <c r="T56" s="7">
        <v>2432.98</v>
      </c>
      <c r="U56" s="2"/>
      <c r="V56" s="6">
        <f t="shared" si="41"/>
        <v>2.4727416863159608E-2</v>
      </c>
      <c r="W56" s="2"/>
      <c r="X56" s="7">
        <f t="shared" si="42"/>
        <v>-2432.98</v>
      </c>
      <c r="Y56" s="2"/>
      <c r="Z56" s="6">
        <f t="shared" si="43"/>
        <v>-1</v>
      </c>
    </row>
    <row r="57" spans="1:26" s="24" customFormat="1" hidden="1" outlineLevel="2" x14ac:dyDescent="0.25">
      <c r="A57" s="29"/>
      <c r="B57" s="11" t="str">
        <f>CONCATENATE("          ", "6237", " - ", "JANITORIAL SUPPLIES")</f>
        <v xml:space="preserve">          6237 - JANITORIAL SUPPLIES</v>
      </c>
      <c r="C57" s="11"/>
      <c r="D57" s="7"/>
      <c r="E57" s="2"/>
      <c r="F57" s="6">
        <f t="shared" si="36"/>
        <v>0</v>
      </c>
      <c r="G57" s="2"/>
      <c r="H57" s="7">
        <v>173.01</v>
      </c>
      <c r="I57" s="2"/>
      <c r="J57" s="6">
        <f t="shared" si="37"/>
        <v>1.7583746646068785E-3</v>
      </c>
      <c r="K57" s="2"/>
      <c r="L57" s="7">
        <f t="shared" si="38"/>
        <v>-173.01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173.01</v>
      </c>
      <c r="U57" s="2"/>
      <c r="V57" s="6">
        <f t="shared" si="41"/>
        <v>1.7583746646068785E-3</v>
      </c>
      <c r="W57" s="2"/>
      <c r="X57" s="7">
        <f t="shared" si="42"/>
        <v>-173.01</v>
      </c>
      <c r="Y57" s="2"/>
      <c r="Z57" s="6">
        <f t="shared" si="43"/>
        <v>-1</v>
      </c>
    </row>
    <row r="58" spans="1:26" s="24" customFormat="1" hidden="1" outlineLevel="2" x14ac:dyDescent="0.25">
      <c r="A58" s="29"/>
      <c r="B58" s="11" t="str">
        <f>CONCATENATE("          ", "6239", " - ", "KITCHEN SUPPLIES")</f>
        <v xml:space="preserve">          6239 - KITCHEN SUPPLIES</v>
      </c>
      <c r="C58" s="11"/>
      <c r="D58" s="7">
        <v>116.54</v>
      </c>
      <c r="E58" s="2"/>
      <c r="F58" s="6">
        <f t="shared" si="36"/>
        <v>2.4685631009761779E-3</v>
      </c>
      <c r="G58" s="2"/>
      <c r="H58" s="7"/>
      <c r="I58" s="2"/>
      <c r="J58" s="6">
        <f t="shared" si="37"/>
        <v>0</v>
      </c>
      <c r="K58" s="2"/>
      <c r="L58" s="7">
        <f t="shared" si="38"/>
        <v>116.54</v>
      </c>
      <c r="M58" s="2"/>
      <c r="N58" s="6">
        <f t="shared" si="39"/>
        <v>0</v>
      </c>
      <c r="O58" s="11"/>
      <c r="P58" s="7">
        <v>116.54</v>
      </c>
      <c r="Q58" s="2"/>
      <c r="R58" s="6">
        <f t="shared" si="40"/>
        <v>2.4685631009761779E-3</v>
      </c>
      <c r="S58" s="2"/>
      <c r="T58" s="7"/>
      <c r="U58" s="2"/>
      <c r="V58" s="6">
        <f t="shared" si="41"/>
        <v>0</v>
      </c>
      <c r="W58" s="2"/>
      <c r="X58" s="7">
        <f t="shared" si="42"/>
        <v>116.54</v>
      </c>
      <c r="Y58" s="2"/>
      <c r="Z58" s="6">
        <f t="shared" si="43"/>
        <v>0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7">
        <v>104.92</v>
      </c>
      <c r="E59" s="2"/>
      <c r="F59" s="6">
        <f t="shared" si="36"/>
        <v>2.22242698261902E-3</v>
      </c>
      <c r="G59" s="2"/>
      <c r="H59" s="7">
        <v>306.25</v>
      </c>
      <c r="I59" s="2"/>
      <c r="J59" s="6">
        <f t="shared" si="37"/>
        <v>3.1125498007968126E-3</v>
      </c>
      <c r="K59" s="2"/>
      <c r="L59" s="7">
        <f t="shared" si="38"/>
        <v>-201.32999999999998</v>
      </c>
      <c r="M59" s="2"/>
      <c r="N59" s="6">
        <f t="shared" si="39"/>
        <v>-0.65740408163265296</v>
      </c>
      <c r="O59" s="11"/>
      <c r="P59" s="7">
        <v>104.92</v>
      </c>
      <c r="Q59" s="2"/>
      <c r="R59" s="6">
        <f t="shared" si="40"/>
        <v>2.22242698261902E-3</v>
      </c>
      <c r="S59" s="2"/>
      <c r="T59" s="7">
        <v>306.25</v>
      </c>
      <c r="U59" s="2"/>
      <c r="V59" s="6">
        <f t="shared" si="41"/>
        <v>3.1125498007968126E-3</v>
      </c>
      <c r="W59" s="2"/>
      <c r="X59" s="7">
        <f t="shared" si="42"/>
        <v>-201.32999999999998</v>
      </c>
      <c r="Y59" s="2"/>
      <c r="Z59" s="6">
        <f t="shared" si="43"/>
        <v>-0.65740408163265296</v>
      </c>
    </row>
    <row r="60" spans="1:26" s="24" customFormat="1" hidden="1" outlineLevel="2" x14ac:dyDescent="0.25">
      <c r="A60" s="29"/>
      <c r="B60" s="11" t="str">
        <f>CONCATENATE("          ", "6243", " - ", "PAPER SUPPLIES")</f>
        <v xml:space="preserve">          6243 - PAPER SUPPLIES</v>
      </c>
      <c r="C60" s="11"/>
      <c r="D60" s="7">
        <v>513.75</v>
      </c>
      <c r="E60" s="2"/>
      <c r="F60" s="6">
        <f t="shared" si="36"/>
        <v>1.0882309019448356E-2</v>
      </c>
      <c r="G60" s="2"/>
      <c r="H60" s="7">
        <v>868.24</v>
      </c>
      <c r="I60" s="2"/>
      <c r="J60" s="6">
        <f t="shared" si="37"/>
        <v>8.8242946581022844E-3</v>
      </c>
      <c r="K60" s="2"/>
      <c r="L60" s="7">
        <f t="shared" si="38"/>
        <v>-354.49</v>
      </c>
      <c r="M60" s="2"/>
      <c r="N60" s="6">
        <f t="shared" si="39"/>
        <v>-0.40828572744863173</v>
      </c>
      <c r="O60" s="11"/>
      <c r="P60" s="7">
        <v>513.75</v>
      </c>
      <c r="Q60" s="2"/>
      <c r="R60" s="6">
        <f t="shared" si="40"/>
        <v>1.0882309019448356E-2</v>
      </c>
      <c r="S60" s="2"/>
      <c r="T60" s="7">
        <v>868.24</v>
      </c>
      <c r="U60" s="2"/>
      <c r="V60" s="6">
        <f t="shared" si="41"/>
        <v>8.8242946581022844E-3</v>
      </c>
      <c r="W60" s="2"/>
      <c r="X60" s="7">
        <f t="shared" si="42"/>
        <v>-354.49</v>
      </c>
      <c r="Y60" s="2"/>
      <c r="Z60" s="6">
        <f t="shared" si="43"/>
        <v>-0.40828572744863173</v>
      </c>
    </row>
    <row r="61" spans="1:26" s="24" customFormat="1" hidden="1" outlineLevel="2" x14ac:dyDescent="0.25">
      <c r="A61" s="29"/>
      <c r="B61" s="11" t="str">
        <f>CONCATENATE("          ", "6247", " - ", "STORE SUPPLIES")</f>
        <v xml:space="preserve">          6247 - STORE SUPPLIES</v>
      </c>
      <c r="C61" s="11"/>
      <c r="D61" s="7">
        <v>210.54</v>
      </c>
      <c r="E61" s="2"/>
      <c r="F61" s="6">
        <f t="shared" si="36"/>
        <v>4.4596814422475069E-3</v>
      </c>
      <c r="G61" s="2"/>
      <c r="H61" s="7">
        <v>76.650000000000006</v>
      </c>
      <c r="I61" s="2"/>
      <c r="J61" s="6">
        <f t="shared" si="37"/>
        <v>7.7902675014228807E-4</v>
      </c>
      <c r="K61" s="2"/>
      <c r="L61" s="7">
        <f t="shared" si="38"/>
        <v>133.88999999999999</v>
      </c>
      <c r="M61" s="2"/>
      <c r="N61" s="6">
        <f t="shared" si="39"/>
        <v>1.7467710371819958</v>
      </c>
      <c r="O61" s="11"/>
      <c r="P61" s="7">
        <v>210.54</v>
      </c>
      <c r="Q61" s="2"/>
      <c r="R61" s="6">
        <f t="shared" si="40"/>
        <v>4.4596814422475069E-3</v>
      </c>
      <c r="S61" s="2"/>
      <c r="T61" s="7">
        <v>76.650000000000006</v>
      </c>
      <c r="U61" s="2"/>
      <c r="V61" s="6">
        <f t="shared" si="41"/>
        <v>7.7902675014228807E-4</v>
      </c>
      <c r="W61" s="2"/>
      <c r="X61" s="7">
        <f t="shared" si="42"/>
        <v>133.88999999999999</v>
      </c>
      <c r="Y61" s="2"/>
      <c r="Z61" s="6">
        <f t="shared" si="43"/>
        <v>1.7467710371819958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36"/>
        <v>0</v>
      </c>
      <c r="G62" s="2"/>
      <c r="H62" s="7">
        <v>276.52999999999997</v>
      </c>
      <c r="I62" s="2"/>
      <c r="J62" s="6">
        <f t="shared" si="37"/>
        <v>2.8104927229856084E-3</v>
      </c>
      <c r="K62" s="2"/>
      <c r="L62" s="7">
        <f t="shared" si="38"/>
        <v>-276.52999999999997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276.52999999999997</v>
      </c>
      <c r="U62" s="2"/>
      <c r="V62" s="6">
        <f t="shared" si="41"/>
        <v>2.8104927229856084E-3</v>
      </c>
      <c r="W62" s="2"/>
      <c r="X62" s="7">
        <f t="shared" si="42"/>
        <v>-276.52999999999997</v>
      </c>
      <c r="Y62" s="2"/>
      <c r="Z62" s="6">
        <f t="shared" si="43"/>
        <v>-1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30.25</v>
      </c>
      <c r="E63" s="1"/>
      <c r="F63" s="5">
        <f t="shared" ref="F63:F64" si="44">IF(D$12=0,0,D63/D$12)</f>
        <v>6.4075882790912456E-4</v>
      </c>
      <c r="G63" s="1"/>
      <c r="H63" s="1">
        <f>SUM(OSRRefH22_11x_0)</f>
        <v>129.66</v>
      </c>
      <c r="I63" s="1"/>
      <c r="J63" s="5">
        <f t="shared" ref="J63:J64" si="45">IF(H$12=0,0,H63/H$12)</f>
        <v>1.3177900642328644E-3</v>
      </c>
      <c r="K63" s="1"/>
      <c r="L63" s="1">
        <f t="shared" ref="L63:L64" si="46">+D63-H63</f>
        <v>-99.41</v>
      </c>
      <c r="M63" s="1"/>
      <c r="N63" s="5">
        <f t="shared" ref="N63:N64" si="47">IF(H63=0,0,L63/H63)</f>
        <v>-0.76669751658182939</v>
      </c>
      <c r="O63" s="14"/>
      <c r="P63" s="1">
        <f>SUM(OSRRefP22_11x_0)</f>
        <v>30.25</v>
      </c>
      <c r="Q63" s="1"/>
      <c r="R63" s="5">
        <f t="shared" ref="R63:R64" si="48">IF(P$12=0,0,P63/P$12)</f>
        <v>6.4075882790912456E-4</v>
      </c>
      <c r="S63" s="1"/>
      <c r="T63" s="1">
        <f>SUM(OSRRefT22_11x_0)</f>
        <v>129.66</v>
      </c>
      <c r="U63" s="1"/>
      <c r="V63" s="5">
        <f t="shared" ref="V63:V64" si="49">IF(T$12=0,0,T63/T$12)</f>
        <v>1.3177900642328644E-3</v>
      </c>
      <c r="W63" s="1"/>
      <c r="X63" s="1">
        <f t="shared" ref="X63:X64" si="50">+P63-T63</f>
        <v>-99.41</v>
      </c>
      <c r="Y63" s="1"/>
      <c r="Z63" s="5">
        <f t="shared" ref="Z63:Z64" si="51">IF(T63=0,0,X63/T63)</f>
        <v>-0.76669751658182939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30.25</v>
      </c>
      <c r="E64" s="2"/>
      <c r="F64" s="6">
        <f t="shared" si="44"/>
        <v>6.4075882790912456E-4</v>
      </c>
      <c r="G64" s="2"/>
      <c r="H64" s="7">
        <v>129.66</v>
      </c>
      <c r="I64" s="2"/>
      <c r="J64" s="6">
        <f t="shared" si="45"/>
        <v>1.3177900642328644E-3</v>
      </c>
      <c r="K64" s="2"/>
      <c r="L64" s="7">
        <f t="shared" si="46"/>
        <v>-99.41</v>
      </c>
      <c r="M64" s="2"/>
      <c r="N64" s="6">
        <f t="shared" si="47"/>
        <v>-0.76669751658182939</v>
      </c>
      <c r="O64" s="11"/>
      <c r="P64" s="7">
        <v>30.25</v>
      </c>
      <c r="Q64" s="2"/>
      <c r="R64" s="6">
        <f t="shared" si="48"/>
        <v>6.4075882790912456E-4</v>
      </c>
      <c r="S64" s="2"/>
      <c r="T64" s="7">
        <v>129.66</v>
      </c>
      <c r="U64" s="2"/>
      <c r="V64" s="6">
        <f t="shared" si="49"/>
        <v>1.3177900642328644E-3</v>
      </c>
      <c r="W64" s="2"/>
      <c r="X64" s="7">
        <f t="shared" si="50"/>
        <v>-99.41</v>
      </c>
      <c r="Y64" s="2"/>
      <c r="Z64" s="6">
        <f t="shared" si="51"/>
        <v>-0.76669751658182939</v>
      </c>
    </row>
    <row r="65" spans="1:26" s="54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5" t="s">
        <v>3</v>
      </c>
      <c r="C68" s="25"/>
      <c r="D68" s="21">
        <f>+D19-D21+D66</f>
        <v>-27604.779999999992</v>
      </c>
      <c r="E68" s="13"/>
      <c r="F68" s="20">
        <f>IF(D$12=0,0,D68/D$12)</f>
        <v>-0.58472748685914844</v>
      </c>
      <c r="G68" s="13"/>
      <c r="H68" s="21">
        <f>+H19-H21+H66</f>
        <v>-1554.8299999999872</v>
      </c>
      <c r="I68" s="13"/>
      <c r="J68" s="20">
        <f>IF(H$12=0,0,H68/H$12)</f>
        <v>-1.5802402634360387E-2</v>
      </c>
      <c r="K68" s="16"/>
      <c r="L68" s="21">
        <f>+D68-H68</f>
        <v>-26049.950000000004</v>
      </c>
      <c r="M68" s="16"/>
      <c r="N68" s="20">
        <f>IF(H68=0,0,L68/H68)</f>
        <v>16.754211071306973</v>
      </c>
      <c r="O68" s="26"/>
      <c r="P68" s="21">
        <f>+P19-P21+P66</f>
        <v>-27604.779999999992</v>
      </c>
      <c r="Q68" s="13"/>
      <c r="R68" s="20">
        <f>IF(P$12=0,0,P68/P$12)</f>
        <v>-0.58472748685914844</v>
      </c>
      <c r="S68" s="13"/>
      <c r="T68" s="21">
        <f>+T19-T21+T66</f>
        <v>-1554.8299999999872</v>
      </c>
      <c r="U68" s="13"/>
      <c r="V68" s="20">
        <f>IF(T$12=0,0,T68/T$12)</f>
        <v>-1.5802402634360387E-2</v>
      </c>
      <c r="W68" s="16"/>
      <c r="X68" s="21">
        <f>+P68-T68</f>
        <v>-26049.950000000004</v>
      </c>
      <c r="Y68" s="16"/>
      <c r="Z68" s="20">
        <f>IF(T68=0,0,X68/T68)</f>
        <v>16.754211071306973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9816.2800000000007</v>
      </c>
      <c r="E70" s="4"/>
      <c r="F70" s="12">
        <f>IF(D$12=0,0,D70/D$12)</f>
        <v>0.20792952288356303</v>
      </c>
      <c r="G70" s="4"/>
      <c r="H70" s="4">
        <v>20199.939999999999</v>
      </c>
      <c r="I70" s="4"/>
      <c r="J70" s="12">
        <f>IF(H$12=0,0,H70/H$12)</f>
        <v>0.20530063419790226</v>
      </c>
      <c r="K70" s="4"/>
      <c r="L70" s="4">
        <f>+D70-H70</f>
        <v>-10383.659999999998</v>
      </c>
      <c r="M70" s="4"/>
      <c r="N70" s="12">
        <f>IF(H70=0,0,L70/H70)</f>
        <v>-0.51404410112109233</v>
      </c>
      <c r="O70" s="10"/>
      <c r="P70" s="4">
        <v>9816.2800000000007</v>
      </c>
      <c r="Q70" s="4"/>
      <c r="R70" s="12">
        <f>IF(P$12=0,0,P70/P$12)</f>
        <v>0.20792952288356303</v>
      </c>
      <c r="S70" s="4"/>
      <c r="T70" s="4">
        <v>20199.939999999999</v>
      </c>
      <c r="U70" s="4"/>
      <c r="V70" s="12">
        <f>IF(T$12=0,0,T70/T$12)</f>
        <v>0.20530063419790226</v>
      </c>
      <c r="W70" s="4"/>
      <c r="X70" s="4">
        <f>+P70-T70</f>
        <v>-10383.659999999998</v>
      </c>
      <c r="Y70" s="4"/>
      <c r="Z70" s="12">
        <f>IF(T70=0,0,X70/T70)</f>
        <v>-0.51404410112109233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4</v>
      </c>
      <c r="C72" s="25"/>
      <c r="D72" s="33">
        <f>+D68-D70</f>
        <v>-37421.05999999999</v>
      </c>
      <c r="E72" s="13"/>
      <c r="F72" s="34">
        <f>IF(D$12=0,0,D72/D$12)</f>
        <v>-0.79265700974271136</v>
      </c>
      <c r="G72" s="13"/>
      <c r="H72" s="33">
        <f>+H68-H70</f>
        <v>-21754.769999999986</v>
      </c>
      <c r="I72" s="13"/>
      <c r="J72" s="34">
        <f>IF(H$12=0,0,H72/H$12)</f>
        <v>-0.22110303683226265</v>
      </c>
      <c r="K72" s="16"/>
      <c r="L72" s="33">
        <f>D72-H72</f>
        <v>-15666.290000000005</v>
      </c>
      <c r="M72" s="16"/>
      <c r="N72" s="34">
        <f>IF(H72=0,0,L72/H72)</f>
        <v>0.72013126316665332</v>
      </c>
      <c r="O72" s="26"/>
      <c r="P72" s="33">
        <f>+P68-P70</f>
        <v>-37421.05999999999</v>
      </c>
      <c r="Q72" s="13"/>
      <c r="R72" s="34">
        <f>IF(P$12=0,0,P72/P$12)</f>
        <v>-0.79265700974271136</v>
      </c>
      <c r="S72" s="13"/>
      <c r="T72" s="33">
        <f>+T68-T70</f>
        <v>-21754.769999999986</v>
      </c>
      <c r="U72" s="13"/>
      <c r="V72" s="34">
        <f>IF(T$12=0,0,T72/T$12)</f>
        <v>-0.22110303683226265</v>
      </c>
      <c r="W72" s="16"/>
      <c r="X72" s="33">
        <f>P72-T72</f>
        <v>-15666.290000000005</v>
      </c>
      <c r="Y72" s="16"/>
      <c r="Z72" s="34">
        <f>IF(T72=0,0,X72/T72)</f>
        <v>0.72013126316665332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5</v>
      </c>
      <c r="C75" s="25"/>
      <c r="D75" s="31">
        <f>SUM(D72:D74)</f>
        <v>-37421.05999999999</v>
      </c>
      <c r="E75" s="13"/>
      <c r="F75" s="30">
        <f>IF(D$12=0,0,D75/D$12)</f>
        <v>-0.79265700974271136</v>
      </c>
      <c r="G75" s="13"/>
      <c r="H75" s="31">
        <f>SUM(H72:H74)</f>
        <v>-21754.769999999986</v>
      </c>
      <c r="I75" s="13"/>
      <c r="J75" s="30">
        <f>IF(H$12=0,0,H75/H$12)</f>
        <v>-0.22110303683226265</v>
      </c>
      <c r="K75" s="16"/>
      <c r="L75" s="31">
        <f>+D75-H75</f>
        <v>-15666.290000000005</v>
      </c>
      <c r="M75" s="16"/>
      <c r="N75" s="30">
        <f>IF(H75=0,0,L75/H75)</f>
        <v>0.72013126316665332</v>
      </c>
      <c r="O75" s="26"/>
      <c r="P75" s="31">
        <f>SUM(P72:P74)</f>
        <v>-37421.05999999999</v>
      </c>
      <c r="Q75" s="13"/>
      <c r="R75" s="30">
        <f>IF(P$12=0,0,P75/P$12)</f>
        <v>-0.79265700974271136</v>
      </c>
      <c r="S75" s="13"/>
      <c r="T75" s="31">
        <f>SUM(T72:T74)</f>
        <v>-21754.769999999986</v>
      </c>
      <c r="U75" s="13"/>
      <c r="V75" s="30">
        <f>IF(T$12=0,0,T75/T$12)</f>
        <v>-0.22110303683226265</v>
      </c>
      <c r="W75" s="16"/>
      <c r="X75" s="31">
        <f>+P75-T75</f>
        <v>-15666.290000000005</v>
      </c>
      <c r="Y75" s="16"/>
      <c r="Z75" s="30">
        <f>IF(T75=0,0,X75/T75)</f>
        <v>0.72013126316665332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43726.682215196757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3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5827.59</v>
      </c>
      <c r="E12" s="4"/>
      <c r="F12" s="12"/>
      <c r="G12" s="4"/>
      <c r="H12" s="4">
        <f>SUM(OSRRefH13x_0)</f>
        <v>9055.4700000000012</v>
      </c>
      <c r="I12" s="4"/>
      <c r="J12" s="12"/>
      <c r="K12" s="4"/>
      <c r="L12" s="4">
        <f t="shared" ref="L12:L14" si="0">+D12-H12</f>
        <v>-3227.880000000001</v>
      </c>
      <c r="M12" s="4"/>
      <c r="N12" s="12">
        <f t="shared" ref="N12:N14" si="1">IF(H12=0,0,L12/H12)</f>
        <v>-0.35645637388230544</v>
      </c>
      <c r="O12" s="10"/>
      <c r="P12" s="4">
        <f>SUM(OSRRefP13x_0)</f>
        <v>5827.59</v>
      </c>
      <c r="Q12" s="4"/>
      <c r="R12" s="12"/>
      <c r="S12" s="4"/>
      <c r="T12" s="4">
        <f>SUM(OSRRefT13x_0)</f>
        <v>9055.4700000000012</v>
      </c>
      <c r="U12" s="4"/>
      <c r="V12" s="12"/>
      <c r="W12" s="4"/>
      <c r="X12" s="4">
        <f t="shared" ref="X12:X14" si="2">+P12-T12</f>
        <v>-3227.880000000001</v>
      </c>
      <c r="Y12" s="4"/>
      <c r="Z12" s="12">
        <f t="shared" ref="Z12:Z14" si="3">IF(T12=0,0,X12/T12)</f>
        <v>-0.35645637388230544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--3505.45</f>
        <v>3505.45</v>
      </c>
      <c r="E13" s="2"/>
      <c r="F13" s="22"/>
      <c r="G13" s="2"/>
      <c r="H13" s="2">
        <f>--4891.51</f>
        <v>4891.51</v>
      </c>
      <c r="I13" s="2"/>
      <c r="J13" s="22"/>
      <c r="K13" s="2"/>
      <c r="L13" s="2">
        <f t="shared" si="0"/>
        <v>-1386.0600000000004</v>
      </c>
      <c r="M13" s="2"/>
      <c r="N13" s="22">
        <f t="shared" si="1"/>
        <v>-0.2833603529380499</v>
      </c>
      <c r="O13" s="11"/>
      <c r="P13" s="2">
        <f>--3505.45</f>
        <v>3505.45</v>
      </c>
      <c r="Q13" s="2"/>
      <c r="R13" s="22"/>
      <c r="S13" s="2"/>
      <c r="T13" s="2">
        <f>--4891.51</f>
        <v>4891.51</v>
      </c>
      <c r="U13" s="2"/>
      <c r="V13" s="22"/>
      <c r="W13" s="2"/>
      <c r="X13" s="2">
        <f t="shared" si="2"/>
        <v>-1386.0600000000004</v>
      </c>
      <c r="Y13" s="2"/>
      <c r="Z13" s="22">
        <f t="shared" si="3"/>
        <v>-0.2833603529380499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--2322.14</f>
        <v>2322.14</v>
      </c>
      <c r="E14" s="2"/>
      <c r="F14" s="22"/>
      <c r="G14" s="2"/>
      <c r="H14" s="2">
        <f>--4163.96</f>
        <v>4163.96</v>
      </c>
      <c r="I14" s="2"/>
      <c r="J14" s="22"/>
      <c r="K14" s="2"/>
      <c r="L14" s="2">
        <f t="shared" si="0"/>
        <v>-1841.8200000000002</v>
      </c>
      <c r="M14" s="2"/>
      <c r="N14" s="22">
        <f t="shared" si="1"/>
        <v>-0.4423241337572888</v>
      </c>
      <c r="O14" s="11"/>
      <c r="P14" s="2">
        <f>--2322.14</f>
        <v>2322.14</v>
      </c>
      <c r="Q14" s="2"/>
      <c r="R14" s="22"/>
      <c r="S14" s="2"/>
      <c r="T14" s="2">
        <f>--4163.96</f>
        <v>4163.96</v>
      </c>
      <c r="U14" s="2"/>
      <c r="V14" s="22"/>
      <c r="W14" s="2"/>
      <c r="X14" s="2">
        <f t="shared" si="2"/>
        <v>-1841.8200000000002</v>
      </c>
      <c r="Y14" s="2"/>
      <c r="Z14" s="22">
        <f t="shared" si="3"/>
        <v>-0.4423241337572888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2649.85</v>
      </c>
      <c r="E16" s="4"/>
      <c r="F16" s="12">
        <f t="shared" ref="F16:F18" si="4">IF(D$12=0,0,D16/D$12)</f>
        <v>0.45470769220209378</v>
      </c>
      <c r="G16" s="4"/>
      <c r="H16" s="4">
        <f>SUM(OSRRefH16x_0)</f>
        <v>2626.05</v>
      </c>
      <c r="I16" s="4"/>
      <c r="J16" s="12">
        <f t="shared" ref="J16:J18" si="5">IF(H$12=0,0,H16/H$12)</f>
        <v>0.28999599137317</v>
      </c>
      <c r="K16" s="4"/>
      <c r="L16" s="4">
        <f t="shared" ref="L16:L18" si="6">+D16-H16</f>
        <v>23.799999999999727</v>
      </c>
      <c r="M16" s="4"/>
      <c r="N16" s="12">
        <f t="shared" ref="N16:N18" si="7">IF(H16=0,0,L16/H16)</f>
        <v>9.0630414500865279E-3</v>
      </c>
      <c r="O16" s="10"/>
      <c r="P16" s="4">
        <f>SUM(OSRRefP16x_0)</f>
        <v>2649.85</v>
      </c>
      <c r="Q16" s="4"/>
      <c r="R16" s="12">
        <f t="shared" ref="R16:R18" si="8">IF(P$12=0,0,P16/P$12)</f>
        <v>0.45470769220209378</v>
      </c>
      <c r="S16" s="4"/>
      <c r="T16" s="4">
        <f>SUM(OSRRefT16x_0)</f>
        <v>2626.05</v>
      </c>
      <c r="U16" s="4"/>
      <c r="V16" s="12">
        <f t="shared" ref="V16:V18" si="9">IF(T$12=0,0,T16/T$12)</f>
        <v>0.28999599137317</v>
      </c>
      <c r="W16" s="4"/>
      <c r="X16" s="4">
        <f t="shared" ref="X16:X18" si="10">+P16-T16</f>
        <v>23.799999999999727</v>
      </c>
      <c r="Y16" s="4"/>
      <c r="Z16" s="12">
        <f t="shared" ref="Z16:Z18" si="11">IF(T16=0,0,X16/T16)</f>
        <v>9.0630414500865279E-3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3361.85</v>
      </c>
      <c r="E17" s="2"/>
      <c r="F17" s="22">
        <f t="shared" si="4"/>
        <v>0.57688512747121878</v>
      </c>
      <c r="G17" s="2"/>
      <c r="H17" s="2">
        <v>3470.19</v>
      </c>
      <c r="I17" s="2"/>
      <c r="J17" s="22">
        <f t="shared" si="5"/>
        <v>0.38321478620104749</v>
      </c>
      <c r="K17" s="2"/>
      <c r="L17" s="2">
        <f t="shared" si="6"/>
        <v>-108.34000000000015</v>
      </c>
      <c r="M17" s="2"/>
      <c r="N17" s="22">
        <f t="shared" si="7"/>
        <v>-3.1220192554298223E-2</v>
      </c>
      <c r="O17" s="11"/>
      <c r="P17" s="2">
        <v>3361.85</v>
      </c>
      <c r="Q17" s="2"/>
      <c r="R17" s="22">
        <f t="shared" si="8"/>
        <v>0.57688512747121878</v>
      </c>
      <c r="S17" s="2"/>
      <c r="T17" s="2">
        <v>3470.19</v>
      </c>
      <c r="U17" s="2"/>
      <c r="V17" s="22">
        <f t="shared" si="9"/>
        <v>0.38321478620104749</v>
      </c>
      <c r="W17" s="2"/>
      <c r="X17" s="2">
        <f t="shared" si="10"/>
        <v>-108.34000000000015</v>
      </c>
      <c r="Y17" s="2"/>
      <c r="Z17" s="22">
        <f t="shared" si="11"/>
        <v>-3.1220192554298223E-2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-712</v>
      </c>
      <c r="E18" s="2"/>
      <c r="F18" s="22">
        <f t="shared" si="4"/>
        <v>-0.12217743526912497</v>
      </c>
      <c r="G18" s="2"/>
      <c r="H18" s="2">
        <v>-844.14</v>
      </c>
      <c r="I18" s="2"/>
      <c r="J18" s="22">
        <f t="shared" si="5"/>
        <v>-9.3218794827877496E-2</v>
      </c>
      <c r="K18" s="2"/>
      <c r="L18" s="2">
        <f t="shared" si="6"/>
        <v>132.13999999999999</v>
      </c>
      <c r="M18" s="2"/>
      <c r="N18" s="22">
        <f t="shared" si="7"/>
        <v>-0.15653801502120501</v>
      </c>
      <c r="O18" s="11"/>
      <c r="P18" s="2">
        <v>-712</v>
      </c>
      <c r="Q18" s="2"/>
      <c r="R18" s="22">
        <f t="shared" si="8"/>
        <v>-0.12217743526912497</v>
      </c>
      <c r="S18" s="2"/>
      <c r="T18" s="2">
        <v>-844.14</v>
      </c>
      <c r="U18" s="2"/>
      <c r="V18" s="22">
        <f t="shared" si="9"/>
        <v>-9.3218794827877496E-2</v>
      </c>
      <c r="W18" s="2"/>
      <c r="X18" s="2">
        <f t="shared" si="10"/>
        <v>132.13999999999999</v>
      </c>
      <c r="Y18" s="2"/>
      <c r="Z18" s="22">
        <f t="shared" si="11"/>
        <v>-0.15653801502120501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3177.7400000000002</v>
      </c>
      <c r="E20" s="13"/>
      <c r="F20" s="20">
        <f>IF(D$12=0,0,D20/D$12)</f>
        <v>0.54529230779790616</v>
      </c>
      <c r="G20" s="13"/>
      <c r="H20" s="21">
        <f>H12-H16</f>
        <v>6429.420000000001</v>
      </c>
      <c r="I20" s="13"/>
      <c r="J20" s="20">
        <f>IF(H$12=0,0,H20/H$12)</f>
        <v>0.71000400862683</v>
      </c>
      <c r="K20" s="16"/>
      <c r="L20" s="21">
        <f>+D20-H20</f>
        <v>-3251.6800000000007</v>
      </c>
      <c r="M20" s="16"/>
      <c r="N20" s="20">
        <f>IF(H20=0,0,L20/H20)</f>
        <v>-0.50575012987174583</v>
      </c>
      <c r="O20" s="26"/>
      <c r="P20" s="21">
        <f>P12-P16</f>
        <v>3177.7400000000002</v>
      </c>
      <c r="Q20" s="13"/>
      <c r="R20" s="20">
        <f>IF(P$12=0,0,P20/P$12)</f>
        <v>0.54529230779790616</v>
      </c>
      <c r="S20" s="13"/>
      <c r="T20" s="21">
        <f>T12-T16</f>
        <v>6429.420000000001</v>
      </c>
      <c r="U20" s="13"/>
      <c r="V20" s="20">
        <f>IF(T$12=0,0,T20/T$12)</f>
        <v>0.71000400862683</v>
      </c>
      <c r="W20" s="16"/>
      <c r="X20" s="21">
        <f>+P20-T20</f>
        <v>-3251.6800000000007</v>
      </c>
      <c r="Y20" s="16"/>
      <c r="Z20" s="20">
        <f>IF(T20=0,0,X20/T20)</f>
        <v>-0.50575012987174583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16723.29</v>
      </c>
      <c r="E22" s="19"/>
      <c r="F22" s="35">
        <f t="shared" ref="F22:F31" si="12">IF(D$12=0,0,D22/D$12)</f>
        <v>2.8696751144126473</v>
      </c>
      <c r="G22" s="19"/>
      <c r="H22" s="19">
        <f>SUM(OSRRefH22x_0)</f>
        <v>12695.730000000001</v>
      </c>
      <c r="I22" s="19"/>
      <c r="J22" s="35">
        <f t="shared" ref="J22:J31" si="13">IF(H$12=0,0,H22/H$12)</f>
        <v>1.4019956998366734</v>
      </c>
      <c r="K22" s="4"/>
      <c r="L22" s="19">
        <f t="shared" ref="L22:L31" si="14">+D22-H22</f>
        <v>4027.5599999999995</v>
      </c>
      <c r="M22" s="4"/>
      <c r="N22" s="35">
        <f t="shared" ref="N22:N31" si="15">IF(H22=0,0,L22/H22)</f>
        <v>0.31723737035995558</v>
      </c>
      <c r="O22" s="10"/>
      <c r="P22" s="19">
        <f>SUM(OSRRefP22x_0)</f>
        <v>16723.29</v>
      </c>
      <c r="Q22" s="19"/>
      <c r="R22" s="35">
        <f t="shared" ref="R22:R31" si="16">IF(P$12=0,0,P22/P$12)</f>
        <v>2.8696751144126473</v>
      </c>
      <c r="S22" s="19"/>
      <c r="T22" s="19">
        <f>SUM(OSRRefT22x_0)</f>
        <v>12695.730000000001</v>
      </c>
      <c r="U22" s="19"/>
      <c r="V22" s="35">
        <f t="shared" ref="V22:V31" si="17">IF(T$12=0,0,T22/T$12)</f>
        <v>1.4019956998366734</v>
      </c>
      <c r="W22" s="4"/>
      <c r="X22" s="19">
        <f t="shared" ref="X22:X31" si="18">+P22-T22</f>
        <v>4027.5599999999995</v>
      </c>
      <c r="Y22" s="4"/>
      <c r="Z22" s="35">
        <f t="shared" ref="Z22:Z31" si="19">IF(T22=0,0,X22/T22)</f>
        <v>0.31723737035995558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3433.8400000000006</v>
      </c>
      <c r="E23" s="1"/>
      <c r="F23" s="5">
        <f t="shared" si="12"/>
        <v>0.58923843304007328</v>
      </c>
      <c r="G23" s="1"/>
      <c r="H23" s="1">
        <f>SUM(OSRRefH22_0x_0)</f>
        <v>2678.7</v>
      </c>
      <c r="I23" s="1"/>
      <c r="J23" s="5">
        <f t="shared" si="13"/>
        <v>0.29581015673399608</v>
      </c>
      <c r="K23" s="1"/>
      <c r="L23" s="1">
        <f t="shared" si="14"/>
        <v>755.14000000000078</v>
      </c>
      <c r="M23" s="1"/>
      <c r="N23" s="5">
        <f t="shared" si="15"/>
        <v>0.28190540187404367</v>
      </c>
      <c r="O23" s="14"/>
      <c r="P23" s="1">
        <f>SUM(OSRRefP22_0x_0)</f>
        <v>3433.8400000000006</v>
      </c>
      <c r="Q23" s="1"/>
      <c r="R23" s="5">
        <f t="shared" si="16"/>
        <v>0.58923843304007328</v>
      </c>
      <c r="S23" s="1"/>
      <c r="T23" s="1">
        <f>SUM(OSRRefT22_0x_0)</f>
        <v>2678.7</v>
      </c>
      <c r="U23" s="1"/>
      <c r="V23" s="5">
        <f t="shared" si="17"/>
        <v>0.29581015673399608</v>
      </c>
      <c r="W23" s="1"/>
      <c r="X23" s="1">
        <f t="shared" si="18"/>
        <v>755.14000000000078</v>
      </c>
      <c r="Y23" s="1"/>
      <c r="Z23" s="5">
        <f t="shared" si="19"/>
        <v>0.28190540187404367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517.57000000000005</v>
      </c>
      <c r="E24" s="2"/>
      <c r="F24" s="6">
        <f t="shared" si="12"/>
        <v>8.8813729174495815E-2</v>
      </c>
      <c r="G24" s="2"/>
      <c r="H24" s="7">
        <v>542.79</v>
      </c>
      <c r="I24" s="2"/>
      <c r="J24" s="6">
        <f t="shared" si="13"/>
        <v>5.994056630964488E-2</v>
      </c>
      <c r="K24" s="2"/>
      <c r="L24" s="7">
        <f t="shared" si="14"/>
        <v>-25.219999999999914</v>
      </c>
      <c r="M24" s="2"/>
      <c r="N24" s="6">
        <f t="shared" si="15"/>
        <v>-4.6463641555665937E-2</v>
      </c>
      <c r="O24" s="11"/>
      <c r="P24" s="7">
        <v>517.57000000000005</v>
      </c>
      <c r="Q24" s="2"/>
      <c r="R24" s="6">
        <f t="shared" si="16"/>
        <v>8.8813729174495815E-2</v>
      </c>
      <c r="S24" s="2"/>
      <c r="T24" s="7">
        <v>542.79</v>
      </c>
      <c r="U24" s="2"/>
      <c r="V24" s="6">
        <f t="shared" si="17"/>
        <v>5.994056630964488E-2</v>
      </c>
      <c r="W24" s="2"/>
      <c r="X24" s="7">
        <f t="shared" si="18"/>
        <v>-25.219999999999914</v>
      </c>
      <c r="Y24" s="2"/>
      <c r="Z24" s="6">
        <f t="shared" si="19"/>
        <v>-4.6463641555665937E-2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284.23</v>
      </c>
      <c r="E25" s="2"/>
      <c r="F25" s="6">
        <f t="shared" si="12"/>
        <v>4.8773163520426113E-2</v>
      </c>
      <c r="G25" s="2"/>
      <c r="H25" s="7">
        <v>321.05</v>
      </c>
      <c r="I25" s="2"/>
      <c r="J25" s="6">
        <f t="shared" si="13"/>
        <v>3.5453709194553124E-2</v>
      </c>
      <c r="K25" s="2"/>
      <c r="L25" s="7">
        <f t="shared" si="14"/>
        <v>-36.819999999999993</v>
      </c>
      <c r="M25" s="2"/>
      <c r="N25" s="6">
        <f t="shared" si="15"/>
        <v>-0.11468618595234385</v>
      </c>
      <c r="O25" s="11"/>
      <c r="P25" s="7">
        <v>284.23</v>
      </c>
      <c r="Q25" s="2"/>
      <c r="R25" s="6">
        <f t="shared" si="16"/>
        <v>4.8773163520426113E-2</v>
      </c>
      <c r="S25" s="2"/>
      <c r="T25" s="7">
        <v>321.05</v>
      </c>
      <c r="U25" s="2"/>
      <c r="V25" s="6">
        <f t="shared" si="17"/>
        <v>3.5453709194553124E-2</v>
      </c>
      <c r="W25" s="2"/>
      <c r="X25" s="7">
        <f t="shared" si="18"/>
        <v>-36.819999999999993</v>
      </c>
      <c r="Y25" s="2"/>
      <c r="Z25" s="6">
        <f t="shared" si="19"/>
        <v>-0.11468618595234385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1286.5999999999999</v>
      </c>
      <c r="E26" s="2"/>
      <c r="F26" s="6">
        <f t="shared" si="12"/>
        <v>0.22077737109165194</v>
      </c>
      <c r="G26" s="2"/>
      <c r="H26" s="7">
        <v>527.02</v>
      </c>
      <c r="I26" s="2"/>
      <c r="J26" s="6">
        <f t="shared" si="13"/>
        <v>5.8199077463676641E-2</v>
      </c>
      <c r="K26" s="2"/>
      <c r="L26" s="7">
        <f t="shared" si="14"/>
        <v>759.57999999999993</v>
      </c>
      <c r="M26" s="2"/>
      <c r="N26" s="6">
        <f t="shared" si="15"/>
        <v>1.4412735759553716</v>
      </c>
      <c r="O26" s="11"/>
      <c r="P26" s="7">
        <v>1286.5999999999999</v>
      </c>
      <c r="Q26" s="2"/>
      <c r="R26" s="6">
        <f t="shared" si="16"/>
        <v>0.22077737109165194</v>
      </c>
      <c r="S26" s="2"/>
      <c r="T26" s="7">
        <v>527.02</v>
      </c>
      <c r="U26" s="2"/>
      <c r="V26" s="6">
        <f t="shared" si="17"/>
        <v>5.8199077463676641E-2</v>
      </c>
      <c r="W26" s="2"/>
      <c r="X26" s="7">
        <f t="shared" si="18"/>
        <v>759.57999999999993</v>
      </c>
      <c r="Y26" s="2"/>
      <c r="Z26" s="6">
        <f t="shared" si="19"/>
        <v>1.4412735759553716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19.05</v>
      </c>
      <c r="E27" s="2"/>
      <c r="F27" s="6">
        <f t="shared" si="12"/>
        <v>3.2689327835348746E-3</v>
      </c>
      <c r="G27" s="2"/>
      <c r="H27" s="7">
        <v>23.85</v>
      </c>
      <c r="I27" s="2"/>
      <c r="J27" s="6">
        <f t="shared" si="13"/>
        <v>2.6337672147331943E-3</v>
      </c>
      <c r="K27" s="2"/>
      <c r="L27" s="7">
        <f t="shared" si="14"/>
        <v>-4.8000000000000007</v>
      </c>
      <c r="M27" s="2"/>
      <c r="N27" s="6">
        <f t="shared" si="15"/>
        <v>-0.20125786163522014</v>
      </c>
      <c r="O27" s="11"/>
      <c r="P27" s="7">
        <v>19.05</v>
      </c>
      <c r="Q27" s="2"/>
      <c r="R27" s="6">
        <f t="shared" si="16"/>
        <v>3.2689327835348746E-3</v>
      </c>
      <c r="S27" s="2"/>
      <c r="T27" s="7">
        <v>23.85</v>
      </c>
      <c r="U27" s="2"/>
      <c r="V27" s="6">
        <f t="shared" si="17"/>
        <v>2.6337672147331943E-3</v>
      </c>
      <c r="W27" s="2"/>
      <c r="X27" s="7">
        <f t="shared" si="18"/>
        <v>-4.8000000000000007</v>
      </c>
      <c r="Y27" s="2"/>
      <c r="Z27" s="6">
        <f t="shared" si="19"/>
        <v>-0.20125786163522014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326.52</v>
      </c>
      <c r="E28" s="2"/>
      <c r="F28" s="6">
        <f t="shared" si="12"/>
        <v>5.6030022702352085E-2</v>
      </c>
      <c r="G28" s="2"/>
      <c r="H28" s="7">
        <v>427.11</v>
      </c>
      <c r="I28" s="2"/>
      <c r="J28" s="6">
        <f t="shared" si="13"/>
        <v>4.7165967089505011E-2</v>
      </c>
      <c r="K28" s="2"/>
      <c r="L28" s="7">
        <f t="shared" si="14"/>
        <v>-100.59000000000003</v>
      </c>
      <c r="M28" s="2"/>
      <c r="N28" s="6">
        <f t="shared" si="15"/>
        <v>-0.23551309966987433</v>
      </c>
      <c r="O28" s="11"/>
      <c r="P28" s="7">
        <v>326.52</v>
      </c>
      <c r="Q28" s="2"/>
      <c r="R28" s="6">
        <f t="shared" si="16"/>
        <v>5.6030022702352085E-2</v>
      </c>
      <c r="S28" s="2"/>
      <c r="T28" s="7">
        <v>427.11</v>
      </c>
      <c r="U28" s="2"/>
      <c r="V28" s="6">
        <f t="shared" si="17"/>
        <v>4.7165967089505011E-2</v>
      </c>
      <c r="W28" s="2"/>
      <c r="X28" s="7">
        <f t="shared" si="18"/>
        <v>-100.59000000000003</v>
      </c>
      <c r="Y28" s="2"/>
      <c r="Z28" s="6">
        <f t="shared" si="19"/>
        <v>-0.23551309966987433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353.47</v>
      </c>
      <c r="E29" s="2"/>
      <c r="F29" s="6">
        <f t="shared" si="12"/>
        <v>6.0654575905305624E-2</v>
      </c>
      <c r="G29" s="2"/>
      <c r="H29" s="7">
        <v>317.85000000000002</v>
      </c>
      <c r="I29" s="2"/>
      <c r="J29" s="6">
        <f t="shared" si="13"/>
        <v>3.5100331622765026E-2</v>
      </c>
      <c r="K29" s="2"/>
      <c r="L29" s="7">
        <f t="shared" si="14"/>
        <v>35.620000000000005</v>
      </c>
      <c r="M29" s="2"/>
      <c r="N29" s="6">
        <f t="shared" si="15"/>
        <v>0.11206543967280164</v>
      </c>
      <c r="O29" s="11"/>
      <c r="P29" s="7">
        <v>353.47</v>
      </c>
      <c r="Q29" s="2"/>
      <c r="R29" s="6">
        <f t="shared" si="16"/>
        <v>6.0654575905305624E-2</v>
      </c>
      <c r="S29" s="2"/>
      <c r="T29" s="7">
        <v>317.85000000000002</v>
      </c>
      <c r="U29" s="2"/>
      <c r="V29" s="6">
        <f t="shared" si="17"/>
        <v>3.5100331622765026E-2</v>
      </c>
      <c r="W29" s="2"/>
      <c r="X29" s="7">
        <f t="shared" si="18"/>
        <v>35.620000000000005</v>
      </c>
      <c r="Y29" s="2"/>
      <c r="Z29" s="6">
        <f t="shared" si="19"/>
        <v>0.11206543967280164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549.51</v>
      </c>
      <c r="E30" s="2"/>
      <c r="F30" s="6">
        <f t="shared" si="12"/>
        <v>9.4294554009461878E-2</v>
      </c>
      <c r="G30" s="2"/>
      <c r="H30" s="7">
        <v>426.71</v>
      </c>
      <c r="I30" s="2"/>
      <c r="J30" s="6">
        <f t="shared" si="13"/>
        <v>4.7121794893031498E-2</v>
      </c>
      <c r="K30" s="2"/>
      <c r="L30" s="7">
        <f t="shared" si="14"/>
        <v>122.80000000000001</v>
      </c>
      <c r="M30" s="2"/>
      <c r="N30" s="6">
        <f t="shared" si="15"/>
        <v>0.28778327201143639</v>
      </c>
      <c r="O30" s="11"/>
      <c r="P30" s="7">
        <v>549.51</v>
      </c>
      <c r="Q30" s="2"/>
      <c r="R30" s="6">
        <f t="shared" si="16"/>
        <v>9.4294554009461878E-2</v>
      </c>
      <c r="S30" s="2"/>
      <c r="T30" s="7">
        <v>426.71</v>
      </c>
      <c r="U30" s="2"/>
      <c r="V30" s="6">
        <f t="shared" si="17"/>
        <v>4.7121794893031498E-2</v>
      </c>
      <c r="W30" s="2"/>
      <c r="X30" s="7">
        <f t="shared" si="18"/>
        <v>122.80000000000001</v>
      </c>
      <c r="Y30" s="2"/>
      <c r="Z30" s="6">
        <f t="shared" si="19"/>
        <v>0.28778327201143639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96.89</v>
      </c>
      <c r="E31" s="2"/>
      <c r="F31" s="6">
        <f t="shared" si="12"/>
        <v>1.6626083852844829E-2</v>
      </c>
      <c r="G31" s="2"/>
      <c r="H31" s="7">
        <v>92.32</v>
      </c>
      <c r="I31" s="2"/>
      <c r="J31" s="6">
        <f t="shared" si="13"/>
        <v>1.0194942946086728E-2</v>
      </c>
      <c r="K31" s="2"/>
      <c r="L31" s="7">
        <f t="shared" si="14"/>
        <v>4.5700000000000074</v>
      </c>
      <c r="M31" s="2"/>
      <c r="N31" s="6">
        <f t="shared" si="15"/>
        <v>4.9501733102253115E-2</v>
      </c>
      <c r="O31" s="11"/>
      <c r="P31" s="7">
        <v>96.89</v>
      </c>
      <c r="Q31" s="2"/>
      <c r="R31" s="6">
        <f t="shared" si="16"/>
        <v>1.6626083852844829E-2</v>
      </c>
      <c r="S31" s="2"/>
      <c r="T31" s="7">
        <v>92.32</v>
      </c>
      <c r="U31" s="2"/>
      <c r="V31" s="6">
        <f t="shared" si="17"/>
        <v>1.0194942946086728E-2</v>
      </c>
      <c r="W31" s="2"/>
      <c r="X31" s="7">
        <f t="shared" si="18"/>
        <v>4.5700000000000074</v>
      </c>
      <c r="Y31" s="2"/>
      <c r="Z31" s="6">
        <f t="shared" si="19"/>
        <v>4.9501733102253115E-2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7913.7</v>
      </c>
      <c r="E32" s="1"/>
      <c r="F32" s="5">
        <f t="shared" ref="F32:F36" si="20">IF(D$12=0,0,D32/D$12)</f>
        <v>1.3579713054624638</v>
      </c>
      <c r="G32" s="1"/>
      <c r="H32" s="1">
        <f>SUM(OSRRefH22_1x_0)</f>
        <v>7599.55</v>
      </c>
      <c r="I32" s="1"/>
      <c r="J32" s="5">
        <f t="shared" ref="J32:J36" si="21">IF(H$12=0,0,H32/H$12)</f>
        <v>0.83922203927570838</v>
      </c>
      <c r="K32" s="1"/>
      <c r="L32" s="1">
        <f t="shared" ref="L32:L36" si="22">+D32-H32</f>
        <v>314.14999999999964</v>
      </c>
      <c r="M32" s="1"/>
      <c r="N32" s="5">
        <f t="shared" ref="N32:N36" si="23">IF(H32=0,0,L32/H32)</f>
        <v>4.1337973958984364E-2</v>
      </c>
      <c r="O32" s="14"/>
      <c r="P32" s="1">
        <f>SUM(OSRRefP22_1x_0)</f>
        <v>7913.7</v>
      </c>
      <c r="Q32" s="1"/>
      <c r="R32" s="5">
        <f t="shared" ref="R32:R36" si="24">IF(P$12=0,0,P32/P$12)</f>
        <v>1.3579713054624638</v>
      </c>
      <c r="S32" s="1"/>
      <c r="T32" s="1">
        <f>SUM(OSRRefT22_1x_0)</f>
        <v>7599.55</v>
      </c>
      <c r="U32" s="1"/>
      <c r="V32" s="5">
        <f t="shared" ref="V32:V36" si="25">IF(T$12=0,0,T32/T$12)</f>
        <v>0.83922203927570838</v>
      </c>
      <c r="W32" s="1"/>
      <c r="X32" s="1">
        <f t="shared" ref="X32:X36" si="26">+P32-T32</f>
        <v>314.14999999999964</v>
      </c>
      <c r="Y32" s="1"/>
      <c r="Z32" s="5">
        <f t="shared" ref="Z32:Z36" si="27">IF(T32=0,0,X32/T32)</f>
        <v>4.1337973958984364E-2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4908.7</v>
      </c>
      <c r="E33" s="2"/>
      <c r="F33" s="6">
        <f t="shared" si="20"/>
        <v>0.84232075351903613</v>
      </c>
      <c r="G33" s="2"/>
      <c r="H33" s="7">
        <v>3782.56</v>
      </c>
      <c r="I33" s="2"/>
      <c r="J33" s="6">
        <f t="shared" si="21"/>
        <v>0.41770995873212541</v>
      </c>
      <c r="K33" s="2"/>
      <c r="L33" s="7">
        <f t="shared" si="22"/>
        <v>1126.1399999999999</v>
      </c>
      <c r="M33" s="2"/>
      <c r="N33" s="6">
        <f t="shared" si="23"/>
        <v>0.2977190051182268</v>
      </c>
      <c r="O33" s="11"/>
      <c r="P33" s="7">
        <v>4908.7</v>
      </c>
      <c r="Q33" s="2"/>
      <c r="R33" s="6">
        <f t="shared" si="24"/>
        <v>0.84232075351903613</v>
      </c>
      <c r="S33" s="2"/>
      <c r="T33" s="7">
        <v>3782.56</v>
      </c>
      <c r="U33" s="2"/>
      <c r="V33" s="6">
        <f t="shared" si="25"/>
        <v>0.41770995873212541</v>
      </c>
      <c r="W33" s="2"/>
      <c r="X33" s="7">
        <f t="shared" si="26"/>
        <v>1126.1399999999999</v>
      </c>
      <c r="Y33" s="2"/>
      <c r="Z33" s="6">
        <f t="shared" si="27"/>
        <v>0.2977190051182268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1008</v>
      </c>
      <c r="E34" s="2"/>
      <c r="F34" s="6">
        <f t="shared" si="20"/>
        <v>0.17297030161696345</v>
      </c>
      <c r="G34" s="2"/>
      <c r="H34" s="7">
        <v>1355.74</v>
      </c>
      <c r="I34" s="2"/>
      <c r="J34" s="6">
        <f t="shared" si="21"/>
        <v>0.14971503411750023</v>
      </c>
      <c r="K34" s="2"/>
      <c r="L34" s="7">
        <f t="shared" si="22"/>
        <v>-347.74</v>
      </c>
      <c r="M34" s="2"/>
      <c r="N34" s="6">
        <f t="shared" si="23"/>
        <v>-0.25649460811069968</v>
      </c>
      <c r="O34" s="11"/>
      <c r="P34" s="7">
        <v>1008</v>
      </c>
      <c r="Q34" s="2"/>
      <c r="R34" s="6">
        <f t="shared" si="24"/>
        <v>0.17297030161696345</v>
      </c>
      <c r="S34" s="2"/>
      <c r="T34" s="7">
        <v>1355.74</v>
      </c>
      <c r="U34" s="2"/>
      <c r="V34" s="6">
        <f t="shared" si="25"/>
        <v>0.14971503411750023</v>
      </c>
      <c r="W34" s="2"/>
      <c r="X34" s="7">
        <f t="shared" si="26"/>
        <v>-347.74</v>
      </c>
      <c r="Y34" s="2"/>
      <c r="Z34" s="6">
        <f t="shared" si="27"/>
        <v>-0.25649460811069968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346.5</v>
      </c>
      <c r="I35" s="2"/>
      <c r="J35" s="6">
        <f t="shared" si="21"/>
        <v>3.8264165195180368E-2</v>
      </c>
      <c r="K35" s="2"/>
      <c r="L35" s="7">
        <f t="shared" si="22"/>
        <v>-346.5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346.5</v>
      </c>
      <c r="U35" s="2"/>
      <c r="V35" s="6">
        <f t="shared" si="25"/>
        <v>3.8264165195180368E-2</v>
      </c>
      <c r="W35" s="2"/>
      <c r="X35" s="7">
        <f t="shared" si="26"/>
        <v>-346.5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1997</v>
      </c>
      <c r="E36" s="2"/>
      <c r="F36" s="6">
        <f t="shared" si="20"/>
        <v>0.34268025032646426</v>
      </c>
      <c r="G36" s="2"/>
      <c r="H36" s="7">
        <v>2114.75</v>
      </c>
      <c r="I36" s="2"/>
      <c r="J36" s="6">
        <f t="shared" si="21"/>
        <v>0.23353288123090241</v>
      </c>
      <c r="K36" s="2"/>
      <c r="L36" s="7">
        <f t="shared" si="22"/>
        <v>-117.75</v>
      </c>
      <c r="M36" s="2"/>
      <c r="N36" s="6">
        <f t="shared" si="23"/>
        <v>-5.5680340465776093E-2</v>
      </c>
      <c r="O36" s="11"/>
      <c r="P36" s="7">
        <v>1997</v>
      </c>
      <c r="Q36" s="2"/>
      <c r="R36" s="6">
        <f t="shared" si="24"/>
        <v>0.34268025032646426</v>
      </c>
      <c r="S36" s="2"/>
      <c r="T36" s="7">
        <v>2114.75</v>
      </c>
      <c r="U36" s="2"/>
      <c r="V36" s="6">
        <f t="shared" si="25"/>
        <v>0.23353288123090241</v>
      </c>
      <c r="W36" s="2"/>
      <c r="X36" s="7">
        <f t="shared" si="26"/>
        <v>-117.75</v>
      </c>
      <c r="Y36" s="2"/>
      <c r="Z36" s="6">
        <f t="shared" si="27"/>
        <v>-5.5680340465776093E-2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457.5</v>
      </c>
      <c r="E37" s="1"/>
      <c r="F37" s="5">
        <f t="shared" ref="F37:F54" si="28">IF(D$12=0,0,D37/D$12)</f>
        <v>7.8505866061270607E-2</v>
      </c>
      <c r="G37" s="1"/>
      <c r="H37" s="1">
        <f>SUM(OSRRefH22_2x_0)</f>
        <v>151</v>
      </c>
      <c r="I37" s="1"/>
      <c r="J37" s="5">
        <f t="shared" ref="J37:J54" si="29">IF(H$12=0,0,H37/H$12)</f>
        <v>1.6675004168751041E-2</v>
      </c>
      <c r="K37" s="1"/>
      <c r="L37" s="1">
        <f t="shared" ref="L37:L54" si="30">+D37-H37</f>
        <v>306.5</v>
      </c>
      <c r="M37" s="1"/>
      <c r="N37" s="5">
        <f t="shared" ref="N37:N54" si="31">IF(H37=0,0,L37/H37)</f>
        <v>2.0298013245033113</v>
      </c>
      <c r="O37" s="14"/>
      <c r="P37" s="1">
        <f>SUM(OSRRefP22_2x_0)</f>
        <v>457.5</v>
      </c>
      <c r="Q37" s="1"/>
      <c r="R37" s="5">
        <f t="shared" ref="R37:R54" si="32">IF(P$12=0,0,P37/P$12)</f>
        <v>7.8505866061270607E-2</v>
      </c>
      <c r="S37" s="1"/>
      <c r="T37" s="1">
        <f>SUM(OSRRefT22_2x_0)</f>
        <v>151</v>
      </c>
      <c r="U37" s="1"/>
      <c r="V37" s="5">
        <f t="shared" ref="V37:V54" si="33">IF(T$12=0,0,T37/T$12)</f>
        <v>1.6675004168751041E-2</v>
      </c>
      <c r="W37" s="1"/>
      <c r="X37" s="1">
        <f t="shared" ref="X37:X54" si="34">+P37-T37</f>
        <v>306.5</v>
      </c>
      <c r="Y37" s="1"/>
      <c r="Z37" s="5">
        <f t="shared" ref="Z37:Z54" si="35">IF(T37=0,0,X37/T37)</f>
        <v>2.0298013245033113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>
        <v>457.5</v>
      </c>
      <c r="E38" s="2"/>
      <c r="F38" s="6">
        <f t="shared" si="28"/>
        <v>7.8505866061270607E-2</v>
      </c>
      <c r="G38" s="2"/>
      <c r="H38" s="7">
        <v>151</v>
      </c>
      <c r="I38" s="2"/>
      <c r="J38" s="6">
        <f t="shared" si="29"/>
        <v>1.6675004168751041E-2</v>
      </c>
      <c r="K38" s="2"/>
      <c r="L38" s="7">
        <f t="shared" si="30"/>
        <v>306.5</v>
      </c>
      <c r="M38" s="2"/>
      <c r="N38" s="6">
        <f t="shared" si="31"/>
        <v>2.0298013245033113</v>
      </c>
      <c r="O38" s="11"/>
      <c r="P38" s="7">
        <v>457.5</v>
      </c>
      <c r="Q38" s="2"/>
      <c r="R38" s="6">
        <f t="shared" si="32"/>
        <v>7.8505866061270607E-2</v>
      </c>
      <c r="S38" s="2"/>
      <c r="T38" s="7">
        <v>151</v>
      </c>
      <c r="U38" s="2"/>
      <c r="V38" s="6">
        <f t="shared" si="33"/>
        <v>1.6675004168751041E-2</v>
      </c>
      <c r="W38" s="2"/>
      <c r="X38" s="7">
        <f t="shared" si="34"/>
        <v>306.5</v>
      </c>
      <c r="Y38" s="2"/>
      <c r="Z38" s="6">
        <f t="shared" si="35"/>
        <v>2.0298013245033113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-0.19</v>
      </c>
      <c r="E39" s="1"/>
      <c r="F39" s="5">
        <f t="shared" si="28"/>
        <v>-3.2603529074626049E-5</v>
      </c>
      <c r="G39" s="1"/>
      <c r="H39" s="1">
        <f>SUM(OSRRefH22_3x_0)</f>
        <v>-0.33</v>
      </c>
      <c r="I39" s="1"/>
      <c r="J39" s="5">
        <f t="shared" si="29"/>
        <v>-3.6442062090647973E-5</v>
      </c>
      <c r="K39" s="1"/>
      <c r="L39" s="1">
        <f t="shared" si="30"/>
        <v>0.14000000000000001</v>
      </c>
      <c r="M39" s="1"/>
      <c r="N39" s="5">
        <f t="shared" si="31"/>
        <v>-0.42424242424242425</v>
      </c>
      <c r="O39" s="14"/>
      <c r="P39" s="1">
        <f>SUM(OSRRefP22_3x_0)</f>
        <v>-0.19</v>
      </c>
      <c r="Q39" s="1"/>
      <c r="R39" s="5">
        <f t="shared" si="32"/>
        <v>-3.2603529074626049E-5</v>
      </c>
      <c r="S39" s="1"/>
      <c r="T39" s="1">
        <f>SUM(OSRRefT22_3x_0)</f>
        <v>-0.33</v>
      </c>
      <c r="U39" s="1"/>
      <c r="V39" s="5">
        <f t="shared" si="33"/>
        <v>-3.6442062090647973E-5</v>
      </c>
      <c r="W39" s="1"/>
      <c r="X39" s="1">
        <f t="shared" si="34"/>
        <v>0.14000000000000001</v>
      </c>
      <c r="Y39" s="1"/>
      <c r="Z39" s="5">
        <f t="shared" si="35"/>
        <v>-0.42424242424242425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-0.19</v>
      </c>
      <c r="E40" s="2"/>
      <c r="F40" s="6">
        <f t="shared" si="28"/>
        <v>-3.2603529074626049E-5</v>
      </c>
      <c r="G40" s="2"/>
      <c r="H40" s="7">
        <v>-0.33</v>
      </c>
      <c r="I40" s="2"/>
      <c r="J40" s="6">
        <f t="shared" si="29"/>
        <v>-3.6442062090647973E-5</v>
      </c>
      <c r="K40" s="2"/>
      <c r="L40" s="7">
        <f t="shared" si="30"/>
        <v>0.14000000000000001</v>
      </c>
      <c r="M40" s="2"/>
      <c r="N40" s="6">
        <f t="shared" si="31"/>
        <v>-0.42424242424242425</v>
      </c>
      <c r="O40" s="11"/>
      <c r="P40" s="7">
        <v>-0.19</v>
      </c>
      <c r="Q40" s="2"/>
      <c r="R40" s="6">
        <f t="shared" si="32"/>
        <v>-3.2603529074626049E-5</v>
      </c>
      <c r="S40" s="2"/>
      <c r="T40" s="7">
        <v>-0.33</v>
      </c>
      <c r="U40" s="2"/>
      <c r="V40" s="6">
        <f t="shared" si="33"/>
        <v>-3.6442062090647973E-5</v>
      </c>
      <c r="W40" s="2"/>
      <c r="X40" s="7">
        <f t="shared" si="34"/>
        <v>0.14000000000000001</v>
      </c>
      <c r="Y40" s="2"/>
      <c r="Z40" s="6">
        <f t="shared" si="35"/>
        <v>-0.42424242424242425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132.5</v>
      </c>
      <c r="E41" s="1"/>
      <c r="F41" s="5">
        <f t="shared" si="28"/>
        <v>2.2736671591515531E-2</v>
      </c>
      <c r="G41" s="1"/>
      <c r="H41" s="1">
        <f>SUM(OSRRefH22_4x_0)</f>
        <v>263.26</v>
      </c>
      <c r="I41" s="1"/>
      <c r="J41" s="5">
        <f t="shared" si="29"/>
        <v>2.9071931109042375E-2</v>
      </c>
      <c r="K41" s="1"/>
      <c r="L41" s="1">
        <f t="shared" si="30"/>
        <v>-130.76</v>
      </c>
      <c r="M41" s="1"/>
      <c r="N41" s="5">
        <f t="shared" si="31"/>
        <v>-0.49669528223049453</v>
      </c>
      <c r="O41" s="14"/>
      <c r="P41" s="1">
        <f>SUM(OSRRefP22_4x_0)</f>
        <v>132.5</v>
      </c>
      <c r="Q41" s="1"/>
      <c r="R41" s="5">
        <f t="shared" si="32"/>
        <v>2.2736671591515531E-2</v>
      </c>
      <c r="S41" s="1"/>
      <c r="T41" s="1">
        <f>SUM(OSRRefT22_4x_0)</f>
        <v>263.26</v>
      </c>
      <c r="U41" s="1"/>
      <c r="V41" s="5">
        <f t="shared" si="33"/>
        <v>2.9071931109042375E-2</v>
      </c>
      <c r="W41" s="1"/>
      <c r="X41" s="1">
        <f t="shared" si="34"/>
        <v>-130.76</v>
      </c>
      <c r="Y41" s="1"/>
      <c r="Z41" s="5">
        <f t="shared" si="35"/>
        <v>-0.49669528223049453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132.5</v>
      </c>
      <c r="E42" s="2"/>
      <c r="F42" s="6">
        <f t="shared" si="28"/>
        <v>2.2736671591515531E-2</v>
      </c>
      <c r="G42" s="2"/>
      <c r="H42" s="7">
        <v>263.26</v>
      </c>
      <c r="I42" s="2"/>
      <c r="J42" s="6">
        <f t="shared" si="29"/>
        <v>2.9071931109042375E-2</v>
      </c>
      <c r="K42" s="2"/>
      <c r="L42" s="7">
        <f t="shared" si="30"/>
        <v>-130.76</v>
      </c>
      <c r="M42" s="2"/>
      <c r="N42" s="6">
        <f t="shared" si="31"/>
        <v>-0.49669528223049453</v>
      </c>
      <c r="O42" s="11"/>
      <c r="P42" s="7">
        <v>132.5</v>
      </c>
      <c r="Q42" s="2"/>
      <c r="R42" s="6">
        <f t="shared" si="32"/>
        <v>2.2736671591515531E-2</v>
      </c>
      <c r="S42" s="2"/>
      <c r="T42" s="7">
        <v>263.26</v>
      </c>
      <c r="U42" s="2"/>
      <c r="V42" s="6">
        <f t="shared" si="33"/>
        <v>2.9071931109042375E-2</v>
      </c>
      <c r="W42" s="2"/>
      <c r="X42" s="7">
        <f t="shared" si="34"/>
        <v>-130.76</v>
      </c>
      <c r="Y42" s="2"/>
      <c r="Z42" s="6">
        <f t="shared" si="35"/>
        <v>-0.49669528223049453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630.21</v>
      </c>
      <c r="E43" s="1"/>
      <c r="F43" s="5">
        <f t="shared" si="28"/>
        <v>0.10814247399010569</v>
      </c>
      <c r="G43" s="1"/>
      <c r="H43" s="1">
        <f>SUM(OSRRefH22_5x_0)</f>
        <v>635.67999999999995</v>
      </c>
      <c r="I43" s="1"/>
      <c r="J43" s="5">
        <f t="shared" si="29"/>
        <v>7.0198454635706356E-2</v>
      </c>
      <c r="K43" s="1"/>
      <c r="L43" s="1">
        <f t="shared" si="30"/>
        <v>-5.4699999999999136</v>
      </c>
      <c r="M43" s="1"/>
      <c r="N43" s="5">
        <f t="shared" si="31"/>
        <v>-8.6049584696701389E-3</v>
      </c>
      <c r="O43" s="14"/>
      <c r="P43" s="1">
        <f>SUM(OSRRefP22_5x_0)</f>
        <v>630.21</v>
      </c>
      <c r="Q43" s="1"/>
      <c r="R43" s="5">
        <f t="shared" si="32"/>
        <v>0.10814247399010569</v>
      </c>
      <c r="S43" s="1"/>
      <c r="T43" s="1">
        <f>SUM(OSRRefT22_5x_0)</f>
        <v>635.67999999999995</v>
      </c>
      <c r="U43" s="1"/>
      <c r="V43" s="5">
        <f t="shared" si="33"/>
        <v>7.0198454635706356E-2</v>
      </c>
      <c r="W43" s="1"/>
      <c r="X43" s="1">
        <f t="shared" si="34"/>
        <v>-5.4699999999999136</v>
      </c>
      <c r="Y43" s="1"/>
      <c r="Z43" s="5">
        <f t="shared" si="35"/>
        <v>-8.6049584696701389E-3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630.21</v>
      </c>
      <c r="E44" s="2"/>
      <c r="F44" s="6">
        <f t="shared" si="28"/>
        <v>0.10814247399010569</v>
      </c>
      <c r="G44" s="2"/>
      <c r="H44" s="7">
        <v>635.67999999999995</v>
      </c>
      <c r="I44" s="2"/>
      <c r="J44" s="6">
        <f t="shared" si="29"/>
        <v>7.0198454635706356E-2</v>
      </c>
      <c r="K44" s="2"/>
      <c r="L44" s="7">
        <f t="shared" si="30"/>
        <v>-5.4699999999999136</v>
      </c>
      <c r="M44" s="2"/>
      <c r="N44" s="6">
        <f t="shared" si="31"/>
        <v>-8.6049584696701389E-3</v>
      </c>
      <c r="O44" s="11"/>
      <c r="P44" s="7">
        <v>630.21</v>
      </c>
      <c r="Q44" s="2"/>
      <c r="R44" s="6">
        <f t="shared" si="32"/>
        <v>0.10814247399010569</v>
      </c>
      <c r="S44" s="2"/>
      <c r="T44" s="7">
        <v>635.67999999999995</v>
      </c>
      <c r="U44" s="2"/>
      <c r="V44" s="6">
        <f t="shared" si="33"/>
        <v>7.0198454635706356E-2</v>
      </c>
      <c r="W44" s="2"/>
      <c r="X44" s="7">
        <f t="shared" si="34"/>
        <v>-5.4699999999999136</v>
      </c>
      <c r="Y44" s="2"/>
      <c r="Z44" s="6">
        <f t="shared" si="35"/>
        <v>-8.6049584696701389E-3</v>
      </c>
    </row>
    <row r="45" spans="1:26" s="28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749.55</v>
      </c>
      <c r="E45" s="1"/>
      <c r="F45" s="5">
        <f t="shared" si="28"/>
        <v>0.12862092219939975</v>
      </c>
      <c r="G45" s="1"/>
      <c r="H45" s="1">
        <f>SUM(OSRRefH22_6x_0)</f>
        <v>724.2</v>
      </c>
      <c r="I45" s="1"/>
      <c r="J45" s="5">
        <f t="shared" si="29"/>
        <v>7.9973761715294731E-2</v>
      </c>
      <c r="K45" s="1"/>
      <c r="L45" s="1">
        <f t="shared" si="30"/>
        <v>25.349999999999909</v>
      </c>
      <c r="M45" s="1"/>
      <c r="N45" s="5">
        <f t="shared" si="31"/>
        <v>3.5004142502071123E-2</v>
      </c>
      <c r="O45" s="14"/>
      <c r="P45" s="1">
        <f>SUM(OSRRefP22_6x_0)</f>
        <v>749.55</v>
      </c>
      <c r="Q45" s="1"/>
      <c r="R45" s="5">
        <f t="shared" si="32"/>
        <v>0.12862092219939975</v>
      </c>
      <c r="S45" s="1"/>
      <c r="T45" s="1">
        <f>SUM(OSRRefT22_6x_0)</f>
        <v>724.2</v>
      </c>
      <c r="U45" s="1"/>
      <c r="V45" s="5">
        <f t="shared" si="33"/>
        <v>7.9973761715294731E-2</v>
      </c>
      <c r="W45" s="1"/>
      <c r="X45" s="1">
        <f t="shared" si="34"/>
        <v>25.349999999999909</v>
      </c>
      <c r="Y45" s="1"/>
      <c r="Z45" s="5">
        <f t="shared" si="35"/>
        <v>3.5004142502071123E-2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7">
        <v>749.55</v>
      </c>
      <c r="E46" s="2"/>
      <c r="F46" s="6">
        <f t="shared" si="28"/>
        <v>0.12862092219939975</v>
      </c>
      <c r="G46" s="2"/>
      <c r="H46" s="7">
        <v>724.2</v>
      </c>
      <c r="I46" s="2"/>
      <c r="J46" s="6">
        <f t="shared" si="29"/>
        <v>7.9973761715294731E-2</v>
      </c>
      <c r="K46" s="2"/>
      <c r="L46" s="7">
        <f t="shared" si="30"/>
        <v>25.349999999999909</v>
      </c>
      <c r="M46" s="2"/>
      <c r="N46" s="6">
        <f t="shared" si="31"/>
        <v>3.5004142502071123E-2</v>
      </c>
      <c r="O46" s="11"/>
      <c r="P46" s="7">
        <v>749.55</v>
      </c>
      <c r="Q46" s="2"/>
      <c r="R46" s="6">
        <f t="shared" si="32"/>
        <v>0.12862092219939975</v>
      </c>
      <c r="S46" s="2"/>
      <c r="T46" s="7">
        <v>724.2</v>
      </c>
      <c r="U46" s="2"/>
      <c r="V46" s="6">
        <f t="shared" si="33"/>
        <v>7.9973761715294731E-2</v>
      </c>
      <c r="W46" s="2"/>
      <c r="X46" s="7">
        <f t="shared" si="34"/>
        <v>25.349999999999909</v>
      </c>
      <c r="Y46" s="2"/>
      <c r="Z46" s="6">
        <f t="shared" si="35"/>
        <v>3.5004142502071123E-2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2819.21</v>
      </c>
      <c r="E47" s="1"/>
      <c r="F47" s="5">
        <f t="shared" si="28"/>
        <v>0.48376944843408681</v>
      </c>
      <c r="G47" s="1"/>
      <c r="H47" s="1">
        <f>SUM(OSRRefH22_7x_0)</f>
        <v>0</v>
      </c>
      <c r="I47" s="1"/>
      <c r="J47" s="5">
        <f t="shared" si="29"/>
        <v>0</v>
      </c>
      <c r="K47" s="1"/>
      <c r="L47" s="1">
        <f t="shared" si="30"/>
        <v>2819.21</v>
      </c>
      <c r="M47" s="1"/>
      <c r="N47" s="5">
        <f t="shared" si="31"/>
        <v>0</v>
      </c>
      <c r="O47" s="14"/>
      <c r="P47" s="1">
        <f>SUM(OSRRefP22_7x_0)</f>
        <v>2819.21</v>
      </c>
      <c r="Q47" s="1"/>
      <c r="R47" s="5">
        <f t="shared" si="32"/>
        <v>0.48376944843408681</v>
      </c>
      <c r="S47" s="1"/>
      <c r="T47" s="1">
        <f>SUM(OSRRefT22_7x_0)</f>
        <v>0</v>
      </c>
      <c r="U47" s="1"/>
      <c r="V47" s="5">
        <f t="shared" si="33"/>
        <v>0</v>
      </c>
      <c r="W47" s="1"/>
      <c r="X47" s="1">
        <f t="shared" si="34"/>
        <v>2819.21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"6375", " - ", "OUTSIDE REPAIRS &amp; MAINTENANCE")</f>
        <v xml:space="preserve">          6375 - OUTSIDE REPAIRS &amp; MAINTENANCE</v>
      </c>
      <c r="C48" s="11"/>
      <c r="D48" s="7">
        <v>2819.21</v>
      </c>
      <c r="E48" s="2"/>
      <c r="F48" s="6">
        <f t="shared" si="28"/>
        <v>0.48376944843408681</v>
      </c>
      <c r="G48" s="2"/>
      <c r="H48" s="7"/>
      <c r="I48" s="2"/>
      <c r="J48" s="6">
        <f t="shared" si="29"/>
        <v>0</v>
      </c>
      <c r="K48" s="2"/>
      <c r="L48" s="7">
        <f t="shared" si="30"/>
        <v>2819.21</v>
      </c>
      <c r="M48" s="2"/>
      <c r="N48" s="6">
        <f t="shared" si="31"/>
        <v>0</v>
      </c>
      <c r="O48" s="11"/>
      <c r="P48" s="7">
        <v>2819.21</v>
      </c>
      <c r="Q48" s="2"/>
      <c r="R48" s="6">
        <f t="shared" si="32"/>
        <v>0.48376944843408681</v>
      </c>
      <c r="S48" s="2"/>
      <c r="T48" s="7"/>
      <c r="U48" s="2"/>
      <c r="V48" s="6">
        <f t="shared" si="33"/>
        <v>0</v>
      </c>
      <c r="W48" s="2"/>
      <c r="X48" s="7">
        <f t="shared" si="34"/>
        <v>2819.21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","Services                                          ")</f>
        <v xml:space="preserve">     Services                                          </v>
      </c>
      <c r="C49" s="14"/>
      <c r="D49" s="1">
        <f>SUM(OSRRefD22_8x_0)</f>
        <v>6.5</v>
      </c>
      <c r="E49" s="1"/>
      <c r="F49" s="5">
        <f t="shared" si="28"/>
        <v>1.1153838893951016E-3</v>
      </c>
      <c r="G49" s="1"/>
      <c r="H49" s="1">
        <f>SUM(OSRRefH22_8x_0)</f>
        <v>57.3</v>
      </c>
      <c r="I49" s="1"/>
      <c r="J49" s="5">
        <f t="shared" si="29"/>
        <v>6.3276671448306921E-3</v>
      </c>
      <c r="K49" s="1"/>
      <c r="L49" s="1">
        <f t="shared" si="30"/>
        <v>-50.8</v>
      </c>
      <c r="M49" s="1"/>
      <c r="N49" s="5">
        <f t="shared" si="31"/>
        <v>-0.88656195462478182</v>
      </c>
      <c r="O49" s="14"/>
      <c r="P49" s="1">
        <f>SUM(OSRRefP22_8x_0)</f>
        <v>6.5</v>
      </c>
      <c r="Q49" s="1"/>
      <c r="R49" s="5">
        <f t="shared" si="32"/>
        <v>1.1153838893951016E-3</v>
      </c>
      <c r="S49" s="1"/>
      <c r="T49" s="1">
        <f>SUM(OSRRefT22_8x_0)</f>
        <v>57.3</v>
      </c>
      <c r="U49" s="1"/>
      <c r="V49" s="5">
        <f t="shared" si="33"/>
        <v>6.3276671448306921E-3</v>
      </c>
      <c r="W49" s="1"/>
      <c r="X49" s="1">
        <f t="shared" si="34"/>
        <v>-50.8</v>
      </c>
      <c r="Y49" s="1"/>
      <c r="Z49" s="5">
        <f t="shared" si="35"/>
        <v>-0.88656195462478182</v>
      </c>
    </row>
    <row r="50" spans="1:26" s="24" customFormat="1" hidden="1" outlineLevel="2" x14ac:dyDescent="0.25">
      <c r="A50" s="29"/>
      <c r="B50" s="11" t="str">
        <f>CONCATENATE("          ", "6286", " - ", "LAUNDRY EXPENSE")</f>
        <v xml:space="preserve">          6286 - LAUNDRY EXPENSE</v>
      </c>
      <c r="C50" s="11"/>
      <c r="D50" s="7">
        <v>6.5</v>
      </c>
      <c r="E50" s="2"/>
      <c r="F50" s="6">
        <f t="shared" si="28"/>
        <v>1.1153838893951016E-3</v>
      </c>
      <c r="G50" s="2"/>
      <c r="H50" s="7">
        <v>57.3</v>
      </c>
      <c r="I50" s="2"/>
      <c r="J50" s="6">
        <f t="shared" si="29"/>
        <v>6.3276671448306921E-3</v>
      </c>
      <c r="K50" s="2"/>
      <c r="L50" s="7">
        <f t="shared" si="30"/>
        <v>-50.8</v>
      </c>
      <c r="M50" s="2"/>
      <c r="N50" s="6">
        <f t="shared" si="31"/>
        <v>-0.88656195462478182</v>
      </c>
      <c r="O50" s="11"/>
      <c r="P50" s="7">
        <v>6.5</v>
      </c>
      <c r="Q50" s="2"/>
      <c r="R50" s="6">
        <f t="shared" si="32"/>
        <v>1.1153838893951016E-3</v>
      </c>
      <c r="S50" s="2"/>
      <c r="T50" s="7">
        <v>57.3</v>
      </c>
      <c r="U50" s="2"/>
      <c r="V50" s="6">
        <f t="shared" si="33"/>
        <v>6.3276671448306921E-3</v>
      </c>
      <c r="W50" s="2"/>
      <c r="X50" s="7">
        <f t="shared" si="34"/>
        <v>-50.8</v>
      </c>
      <c r="Y50" s="2"/>
      <c r="Z50" s="6">
        <f t="shared" si="35"/>
        <v>-0.88656195462478182</v>
      </c>
    </row>
    <row r="51" spans="1:26" s="28" customFormat="1" outlineLevel="1" collapsed="1" x14ac:dyDescent="0.25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SUM(OSRRefD22_9x_0)</f>
        <v>583.47</v>
      </c>
      <c r="E51" s="1"/>
      <c r="F51" s="5">
        <f t="shared" si="28"/>
        <v>0.10012200583774768</v>
      </c>
      <c r="G51" s="1"/>
      <c r="H51" s="1">
        <f>SUM(OSRRefH22_9x_0)</f>
        <v>589.37</v>
      </c>
      <c r="I51" s="1"/>
      <c r="J51" s="5">
        <f t="shared" si="29"/>
        <v>6.5084418588985435E-2</v>
      </c>
      <c r="K51" s="1"/>
      <c r="L51" s="1">
        <f t="shared" si="30"/>
        <v>-5.8999999999999773</v>
      </c>
      <c r="M51" s="1"/>
      <c r="N51" s="5">
        <f t="shared" si="31"/>
        <v>-1.0010689380185584E-2</v>
      </c>
      <c r="O51" s="14"/>
      <c r="P51" s="1">
        <f>SUM(OSRRefP22_9x_0)</f>
        <v>583.47</v>
      </c>
      <c r="Q51" s="1"/>
      <c r="R51" s="5">
        <f t="shared" si="32"/>
        <v>0.10012200583774768</v>
      </c>
      <c r="S51" s="1"/>
      <c r="T51" s="1">
        <f>SUM(OSRRefT22_9x_0)</f>
        <v>589.37</v>
      </c>
      <c r="U51" s="1"/>
      <c r="V51" s="5">
        <f t="shared" si="33"/>
        <v>6.5084418588985435E-2</v>
      </c>
      <c r="W51" s="1"/>
      <c r="X51" s="1">
        <f t="shared" si="34"/>
        <v>-5.8999999999999773</v>
      </c>
      <c r="Y51" s="1"/>
      <c r="Z51" s="5">
        <f t="shared" si="35"/>
        <v>-1.0010689380185584E-2</v>
      </c>
    </row>
    <row r="52" spans="1:26" s="24" customFormat="1" hidden="1" outlineLevel="2" x14ac:dyDescent="0.25">
      <c r="A52" s="29"/>
      <c r="B52" s="11" t="str">
        <f>CONCATENATE("          ", "6239", " - ", "KITCHEN SUPPLIES")</f>
        <v xml:space="preserve">          6239 - KITCHEN SUPPLIES</v>
      </c>
      <c r="C52" s="11"/>
      <c r="D52" s="7">
        <v>540.89</v>
      </c>
      <c r="E52" s="2"/>
      <c r="F52" s="6">
        <f t="shared" si="28"/>
        <v>9.2815383374602531E-2</v>
      </c>
      <c r="G52" s="2"/>
      <c r="H52" s="7"/>
      <c r="I52" s="2"/>
      <c r="J52" s="6">
        <f t="shared" si="29"/>
        <v>0</v>
      </c>
      <c r="K52" s="2"/>
      <c r="L52" s="7">
        <f t="shared" si="30"/>
        <v>540.89</v>
      </c>
      <c r="M52" s="2"/>
      <c r="N52" s="6">
        <f t="shared" si="31"/>
        <v>0</v>
      </c>
      <c r="O52" s="11"/>
      <c r="P52" s="7">
        <v>540.89</v>
      </c>
      <c r="Q52" s="2"/>
      <c r="R52" s="6">
        <f t="shared" si="32"/>
        <v>9.2815383374602531E-2</v>
      </c>
      <c r="S52" s="2"/>
      <c r="T52" s="7"/>
      <c r="U52" s="2"/>
      <c r="V52" s="6">
        <f t="shared" si="33"/>
        <v>0</v>
      </c>
      <c r="W52" s="2"/>
      <c r="X52" s="7">
        <f t="shared" si="34"/>
        <v>540.89</v>
      </c>
      <c r="Y52" s="2"/>
      <c r="Z52" s="6">
        <f t="shared" si="35"/>
        <v>0</v>
      </c>
    </row>
    <row r="53" spans="1:26" s="24" customFormat="1" hidden="1" outlineLevel="2" x14ac:dyDescent="0.25">
      <c r="A53" s="29"/>
      <c r="B53" s="11" t="str">
        <f>CONCATENATE("          ", "6243", " - ", "PAPER SUPPLIES")</f>
        <v xml:space="preserve">          6243 - PAPER SUPPLIES</v>
      </c>
      <c r="C53" s="11"/>
      <c r="D53" s="7">
        <v>42.58</v>
      </c>
      <c r="E53" s="2"/>
      <c r="F53" s="6">
        <f t="shared" si="28"/>
        <v>7.3066224631451416E-3</v>
      </c>
      <c r="G53" s="2"/>
      <c r="H53" s="7">
        <v>81.010000000000005</v>
      </c>
      <c r="I53" s="2"/>
      <c r="J53" s="6">
        <f t="shared" si="29"/>
        <v>8.9459740907981578E-3</v>
      </c>
      <c r="K53" s="2"/>
      <c r="L53" s="7">
        <f t="shared" si="30"/>
        <v>-38.430000000000007</v>
      </c>
      <c r="M53" s="2"/>
      <c r="N53" s="6">
        <f t="shared" si="31"/>
        <v>-0.47438587828663131</v>
      </c>
      <c r="O53" s="11"/>
      <c r="P53" s="7">
        <v>42.58</v>
      </c>
      <c r="Q53" s="2"/>
      <c r="R53" s="6">
        <f t="shared" si="32"/>
        <v>7.3066224631451416E-3</v>
      </c>
      <c r="S53" s="2"/>
      <c r="T53" s="7">
        <v>81.010000000000005</v>
      </c>
      <c r="U53" s="2"/>
      <c r="V53" s="6">
        <f t="shared" si="33"/>
        <v>8.9459740907981578E-3</v>
      </c>
      <c r="W53" s="2"/>
      <c r="X53" s="7">
        <f t="shared" si="34"/>
        <v>-38.430000000000007</v>
      </c>
      <c r="Y53" s="2"/>
      <c r="Z53" s="6">
        <f t="shared" si="35"/>
        <v>-0.47438587828663131</v>
      </c>
    </row>
    <row r="54" spans="1:26" s="24" customFormat="1" hidden="1" outlineLevel="2" x14ac:dyDescent="0.25">
      <c r="A54" s="29"/>
      <c r="B54" s="11" t="str">
        <f>CONCATENATE("          ", "6248", " - ", "UNIFORMS")</f>
        <v xml:space="preserve">          6248 - UNIFORMS</v>
      </c>
      <c r="C54" s="11"/>
      <c r="D54" s="7"/>
      <c r="E54" s="2"/>
      <c r="F54" s="6">
        <f t="shared" si="28"/>
        <v>0</v>
      </c>
      <c r="G54" s="2"/>
      <c r="H54" s="7">
        <v>508.36</v>
      </c>
      <c r="I54" s="2"/>
      <c r="J54" s="6">
        <f t="shared" si="29"/>
        <v>5.6138444498187279E-2</v>
      </c>
      <c r="K54" s="2"/>
      <c r="L54" s="7">
        <f t="shared" si="30"/>
        <v>-508.36</v>
      </c>
      <c r="M54" s="2"/>
      <c r="N54" s="6">
        <f t="shared" si="31"/>
        <v>-1</v>
      </c>
      <c r="O54" s="11"/>
      <c r="P54" s="7"/>
      <c r="Q54" s="2"/>
      <c r="R54" s="6">
        <f t="shared" si="32"/>
        <v>0</v>
      </c>
      <c r="S54" s="2"/>
      <c r="T54" s="7">
        <v>508.36</v>
      </c>
      <c r="U54" s="2"/>
      <c r="V54" s="6">
        <f t="shared" si="33"/>
        <v>5.6138444498187279E-2</v>
      </c>
      <c r="W54" s="2"/>
      <c r="X54" s="7">
        <f t="shared" si="34"/>
        <v>-508.36</v>
      </c>
      <c r="Y54" s="2"/>
      <c r="Z54" s="6">
        <f t="shared" si="35"/>
        <v>-1</v>
      </c>
    </row>
    <row r="55" spans="1:26" s="28" customFormat="1" outlineLevel="1" collapsed="1" x14ac:dyDescent="0.25">
      <c r="A55" s="27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SUM(OSRRefD22_10x_0)</f>
        <v>-3</v>
      </c>
      <c r="E55" s="1"/>
      <c r="F55" s="5">
        <f t="shared" ref="F55:F56" si="36">IF(D$12=0,0,D55/D$12)</f>
        <v>-5.1479256433620074E-4</v>
      </c>
      <c r="G55" s="1"/>
      <c r="H55" s="1">
        <f>SUM(OSRRefH22_10x_0)</f>
        <v>-3</v>
      </c>
      <c r="I55" s="1"/>
      <c r="J55" s="5">
        <f t="shared" ref="J55:J56" si="37">IF(H$12=0,0,H55/H$12)</f>
        <v>-3.3129147355134516E-4</v>
      </c>
      <c r="K55" s="1"/>
      <c r="L55" s="1">
        <f t="shared" ref="L55:L56" si="38">+D55-H55</f>
        <v>0</v>
      </c>
      <c r="M55" s="1"/>
      <c r="N55" s="5">
        <f t="shared" ref="N55:N56" si="39">IF(H55=0,0,L55/H55)</f>
        <v>0</v>
      </c>
      <c r="O55" s="14"/>
      <c r="P55" s="1">
        <f>SUM(OSRRefP22_10x_0)</f>
        <v>-3</v>
      </c>
      <c r="Q55" s="1"/>
      <c r="R55" s="5">
        <f t="shared" ref="R55:R56" si="40">IF(P$12=0,0,P55/P$12)</f>
        <v>-5.1479256433620074E-4</v>
      </c>
      <c r="S55" s="1"/>
      <c r="T55" s="1">
        <f>SUM(OSRRefT22_10x_0)</f>
        <v>-3</v>
      </c>
      <c r="U55" s="1"/>
      <c r="V55" s="5">
        <f t="shared" ref="V55:V56" si="41">IF(T$12=0,0,T55/T$12)</f>
        <v>-3.3129147355134516E-4</v>
      </c>
      <c r="W55" s="1"/>
      <c r="X55" s="1">
        <f t="shared" ref="X55:X56" si="42">+P55-T55</f>
        <v>0</v>
      </c>
      <c r="Y55" s="1"/>
      <c r="Z55" s="5">
        <f t="shared" ref="Z55:Z56" si="43">IF(T55=0,0,X55/T55)</f>
        <v>0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7">
        <v>-3</v>
      </c>
      <c r="E56" s="2"/>
      <c r="F56" s="6">
        <f t="shared" si="36"/>
        <v>-5.1479256433620074E-4</v>
      </c>
      <c r="G56" s="2"/>
      <c r="H56" s="7">
        <v>-3</v>
      </c>
      <c r="I56" s="2"/>
      <c r="J56" s="6">
        <f t="shared" si="37"/>
        <v>-3.3129147355134516E-4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-3</v>
      </c>
      <c r="Q56" s="2"/>
      <c r="R56" s="6">
        <f t="shared" si="40"/>
        <v>-5.1479256433620074E-4</v>
      </c>
      <c r="S56" s="2"/>
      <c r="T56" s="7">
        <v>-3</v>
      </c>
      <c r="U56" s="2"/>
      <c r="V56" s="6">
        <f t="shared" si="41"/>
        <v>-3.3129147355134516E-4</v>
      </c>
      <c r="W56" s="2"/>
      <c r="X56" s="7">
        <f t="shared" si="42"/>
        <v>0</v>
      </c>
      <c r="Y56" s="2"/>
      <c r="Z56" s="6">
        <f t="shared" si="43"/>
        <v>0</v>
      </c>
    </row>
    <row r="57" spans="1:26" s="54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6" t="s">
        <v>0</v>
      </c>
      <c r="C58" s="10"/>
      <c r="D58" s="4">
        <f>SUM(OSRRefD25x_0)</f>
        <v>0</v>
      </c>
      <c r="E58" s="4"/>
      <c r="F58" s="12">
        <f t="shared" ref="F58:F59" si="44">IF(D$12=0,0,D58/D$12)</f>
        <v>0</v>
      </c>
      <c r="G58" s="4"/>
      <c r="H58" s="4">
        <f>SUM(OSRRefH25x_0)</f>
        <v>52</v>
      </c>
      <c r="I58" s="4"/>
      <c r="J58" s="12">
        <f t="shared" ref="J58:J59" si="45">IF(H$12=0,0,H58/H$12)</f>
        <v>5.7423855415566494E-3</v>
      </c>
      <c r="K58" s="4"/>
      <c r="L58" s="4">
        <f t="shared" ref="L58:L59" si="46">+D58-H58</f>
        <v>-52</v>
      </c>
      <c r="M58" s="4"/>
      <c r="N58" s="12">
        <f t="shared" ref="N58:N59" si="47">IF(H58=0,0,L58/H58)</f>
        <v>-1</v>
      </c>
      <c r="O58" s="10"/>
      <c r="P58" s="4">
        <f>SUM(OSRRefP25x_0)</f>
        <v>0</v>
      </c>
      <c r="Q58" s="4"/>
      <c r="R58" s="12">
        <f t="shared" ref="R58:R59" si="48">IF(P$12=0,0,P58/P$12)</f>
        <v>0</v>
      </c>
      <c r="S58" s="4"/>
      <c r="T58" s="4">
        <f>SUM(OSRRefT25x_0)</f>
        <v>52</v>
      </c>
      <c r="U58" s="4"/>
      <c r="V58" s="12">
        <f t="shared" ref="V58:V59" si="49">IF(T$12=0,0,T58/T$12)</f>
        <v>5.7423855415566494E-3</v>
      </c>
      <c r="W58" s="4"/>
      <c r="X58" s="4">
        <f t="shared" ref="X58:X59" si="50">+P58-T58</f>
        <v>-52</v>
      </c>
      <c r="Y58" s="4"/>
      <c r="Z58" s="12">
        <f t="shared" ref="Z58:Z59" si="51">IF(T58=0,0,X58/T58)</f>
        <v>-1</v>
      </c>
    </row>
    <row r="59" spans="1:26" s="24" customFormat="1" hidden="1" outlineLevel="1" x14ac:dyDescent="0.25">
      <c r="A59" s="50"/>
      <c r="B59" s="11" t="str">
        <f>CONCATENATE("          ", "9150", " - ", "MISC. INCOME")</f>
        <v xml:space="preserve">          9150 - MISC. INCOME</v>
      </c>
      <c r="C59" s="11"/>
      <c r="D59" s="2">
        <f>0</f>
        <v>0</v>
      </c>
      <c r="E59" s="2"/>
      <c r="F59" s="22">
        <f t="shared" si="44"/>
        <v>0</v>
      </c>
      <c r="G59" s="2"/>
      <c r="H59" s="2">
        <f>--52</f>
        <v>52</v>
      </c>
      <c r="I59" s="2"/>
      <c r="J59" s="22">
        <f t="shared" si="45"/>
        <v>5.7423855415566494E-3</v>
      </c>
      <c r="K59" s="2"/>
      <c r="L59" s="2">
        <f t="shared" si="46"/>
        <v>-52</v>
      </c>
      <c r="M59" s="2"/>
      <c r="N59" s="22">
        <f t="shared" si="47"/>
        <v>-1</v>
      </c>
      <c r="O59" s="11"/>
      <c r="P59" s="2">
        <f>0</f>
        <v>0</v>
      </c>
      <c r="Q59" s="2"/>
      <c r="R59" s="22">
        <f t="shared" si="48"/>
        <v>0</v>
      </c>
      <c r="S59" s="2"/>
      <c r="T59" s="2">
        <f>--52</f>
        <v>52</v>
      </c>
      <c r="U59" s="2"/>
      <c r="V59" s="22">
        <f t="shared" si="49"/>
        <v>5.7423855415566494E-3</v>
      </c>
      <c r="W59" s="2"/>
      <c r="X59" s="2">
        <f t="shared" si="50"/>
        <v>-52</v>
      </c>
      <c r="Y59" s="2"/>
      <c r="Z59" s="22">
        <f t="shared" si="51"/>
        <v>-1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5" t="s">
        <v>3</v>
      </c>
      <c r="C61" s="25"/>
      <c r="D61" s="21">
        <f>+D20-D22+D58</f>
        <v>-13545.550000000001</v>
      </c>
      <c r="E61" s="13"/>
      <c r="F61" s="20">
        <f>IF(D$12=0,0,D61/D$12)</f>
        <v>-2.3243828066147412</v>
      </c>
      <c r="G61" s="13"/>
      <c r="H61" s="21">
        <f>+H20-H22+H58</f>
        <v>-6214.31</v>
      </c>
      <c r="I61" s="13"/>
      <c r="J61" s="20">
        <f>IF(H$12=0,0,H61/H$12)</f>
        <v>-0.68624930566828668</v>
      </c>
      <c r="K61" s="16"/>
      <c r="L61" s="21">
        <f>+D61-H61</f>
        <v>-7331.2400000000007</v>
      </c>
      <c r="M61" s="16"/>
      <c r="N61" s="20">
        <f>IF(H61=0,0,L61/H61)</f>
        <v>1.179735159655698</v>
      </c>
      <c r="O61" s="26"/>
      <c r="P61" s="21">
        <f>+P20-P22+P58</f>
        <v>-13545.550000000001</v>
      </c>
      <c r="Q61" s="13"/>
      <c r="R61" s="20">
        <f>IF(P$12=0,0,P61/P$12)</f>
        <v>-2.3243828066147412</v>
      </c>
      <c r="S61" s="13"/>
      <c r="T61" s="21">
        <f>+T20-T22+T58</f>
        <v>-6214.31</v>
      </c>
      <c r="U61" s="13"/>
      <c r="V61" s="20">
        <f>IF(T$12=0,0,T61/T$12)</f>
        <v>-0.68624930566828668</v>
      </c>
      <c r="W61" s="16"/>
      <c r="X61" s="21">
        <f>+P61-T61</f>
        <v>-7331.2400000000007</v>
      </c>
      <c r="Y61" s="16"/>
      <c r="Z61" s="20">
        <f>IF(T61=0,0,X61/T61)</f>
        <v>1.179735159655698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>
        <v>1211.73</v>
      </c>
      <c r="E63" s="4"/>
      <c r="F63" s="12">
        <f>IF(D$12=0,0,D63/D$12)</f>
        <v>0.20792986466103483</v>
      </c>
      <c r="G63" s="4"/>
      <c r="H63" s="4">
        <v>1859.09</v>
      </c>
      <c r="I63" s="4"/>
      <c r="J63" s="12">
        <f>IF(H$12=0,0,H63/H$12)</f>
        <v>0.20530022185485675</v>
      </c>
      <c r="K63" s="4"/>
      <c r="L63" s="4">
        <f>+D63-H63</f>
        <v>-647.3599999999999</v>
      </c>
      <c r="M63" s="4"/>
      <c r="N63" s="12">
        <f>IF(H63=0,0,L63/H63)</f>
        <v>-0.34821337320947343</v>
      </c>
      <c r="O63" s="10"/>
      <c r="P63" s="4">
        <v>1211.73</v>
      </c>
      <c r="Q63" s="4"/>
      <c r="R63" s="12">
        <f>IF(P$12=0,0,P63/P$12)</f>
        <v>0.20792986466103483</v>
      </c>
      <c r="S63" s="4"/>
      <c r="T63" s="4">
        <v>1859.09</v>
      </c>
      <c r="U63" s="4"/>
      <c r="V63" s="12">
        <f>IF(T$12=0,0,T63/T$12)</f>
        <v>0.20530022185485675</v>
      </c>
      <c r="W63" s="4"/>
      <c r="X63" s="4">
        <f>+P63-T63</f>
        <v>-647.3599999999999</v>
      </c>
      <c r="Y63" s="4"/>
      <c r="Z63" s="12">
        <f>IF(T63=0,0,X63/T63)</f>
        <v>-0.34821337320947343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4</v>
      </c>
      <c r="C65" s="25"/>
      <c r="D65" s="33">
        <f>+D61-D63</f>
        <v>-14757.28</v>
      </c>
      <c r="E65" s="13"/>
      <c r="F65" s="34">
        <f>IF(D$12=0,0,D65/D$12)</f>
        <v>-2.532312671275776</v>
      </c>
      <c r="G65" s="13"/>
      <c r="H65" s="33">
        <f>+H61-H63</f>
        <v>-8073.4000000000005</v>
      </c>
      <c r="I65" s="13"/>
      <c r="J65" s="34">
        <f>IF(H$12=0,0,H65/H$12)</f>
        <v>-0.89154952752314343</v>
      </c>
      <c r="K65" s="16"/>
      <c r="L65" s="33">
        <f>D65-H65</f>
        <v>-6683.88</v>
      </c>
      <c r="M65" s="16"/>
      <c r="N65" s="34">
        <f>IF(H65=0,0,L65/H65)</f>
        <v>0.82788911734832904</v>
      </c>
      <c r="O65" s="26"/>
      <c r="P65" s="33">
        <f>+P61-P63</f>
        <v>-14757.28</v>
      </c>
      <c r="Q65" s="13"/>
      <c r="R65" s="34">
        <f>IF(P$12=0,0,P65/P$12)</f>
        <v>-2.532312671275776</v>
      </c>
      <c r="S65" s="13"/>
      <c r="T65" s="33">
        <f>+T61-T63</f>
        <v>-8073.4000000000005</v>
      </c>
      <c r="U65" s="13"/>
      <c r="V65" s="34">
        <f>IF(T$12=0,0,T65/T$12)</f>
        <v>-0.89154952752314343</v>
      </c>
      <c r="W65" s="16"/>
      <c r="X65" s="33">
        <f>P65-T65</f>
        <v>-6683.88</v>
      </c>
      <c r="Y65" s="16"/>
      <c r="Z65" s="34">
        <f>IF(T65=0,0,X65/T65)</f>
        <v>0.82788911734832904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5" t="s">
        <v>5</v>
      </c>
      <c r="C68" s="25"/>
      <c r="D68" s="31">
        <f>SUM(D65:D67)</f>
        <v>-14757.28</v>
      </c>
      <c r="E68" s="13"/>
      <c r="F68" s="30">
        <f>IF(D$12=0,0,D68/D$12)</f>
        <v>-2.532312671275776</v>
      </c>
      <c r="G68" s="13"/>
      <c r="H68" s="31">
        <f>SUM(H65:H67)</f>
        <v>-8073.4000000000005</v>
      </c>
      <c r="I68" s="13"/>
      <c r="J68" s="30">
        <f>IF(H$12=0,0,H68/H$12)</f>
        <v>-0.89154952752314343</v>
      </c>
      <c r="K68" s="16"/>
      <c r="L68" s="31">
        <f>+D68-H68</f>
        <v>-6683.88</v>
      </c>
      <c r="M68" s="16"/>
      <c r="N68" s="30">
        <f>IF(H68=0,0,L68/H68)</f>
        <v>0.82788911734832904</v>
      </c>
      <c r="O68" s="26"/>
      <c r="P68" s="31">
        <f>SUM(P65:P67)</f>
        <v>-14757.28</v>
      </c>
      <c r="Q68" s="13"/>
      <c r="R68" s="30">
        <f>IF(P$12=0,0,P68/P$12)</f>
        <v>-2.532312671275776</v>
      </c>
      <c r="S68" s="13"/>
      <c r="T68" s="31">
        <f>SUM(T65:T67)</f>
        <v>-8073.4000000000005</v>
      </c>
      <c r="U68" s="13"/>
      <c r="V68" s="30">
        <f>IF(T$12=0,0,T68/T$12)</f>
        <v>-0.89154952752314343</v>
      </c>
      <c r="W68" s="16"/>
      <c r="X68" s="31">
        <f>+P68-T68</f>
        <v>-6683.88</v>
      </c>
      <c r="Y68" s="16"/>
      <c r="Z68" s="30">
        <f>IF(T68=0,0,X68/T68)</f>
        <v>0.82788911734832904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6">
        <v>43726.682233136577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3" t="s">
        <v>313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9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17961.349999999999</v>
      </c>
      <c r="E12" s="4"/>
      <c r="F12" s="12"/>
      <c r="G12" s="4"/>
      <c r="H12" s="4">
        <f>SUM(OSRRefH13x_0)</f>
        <v>37596.81</v>
      </c>
      <c r="I12" s="4"/>
      <c r="J12" s="12"/>
      <c r="K12" s="4"/>
      <c r="L12" s="4">
        <f t="shared" ref="L12:L14" si="0">+D12-H12</f>
        <v>-19635.46</v>
      </c>
      <c r="M12" s="4"/>
      <c r="N12" s="12">
        <f t="shared" ref="N12:N14" si="1">IF(H12=0,0,L12/H12)</f>
        <v>-0.52226398995021117</v>
      </c>
      <c r="O12" s="10"/>
      <c r="P12" s="4">
        <f>SUM(OSRRefP13x_0)</f>
        <v>17961.349999999999</v>
      </c>
      <c r="Q12" s="4"/>
      <c r="R12" s="12"/>
      <c r="S12" s="4"/>
      <c r="T12" s="4">
        <f>SUM(OSRRefT13x_0)</f>
        <v>37596.81</v>
      </c>
      <c r="U12" s="4"/>
      <c r="V12" s="12"/>
      <c r="W12" s="4"/>
      <c r="X12" s="4">
        <f t="shared" ref="X12:X14" si="2">+P12-T12</f>
        <v>-19635.46</v>
      </c>
      <c r="Y12" s="4"/>
      <c r="Z12" s="12">
        <f t="shared" ref="Z12:Z14" si="3">IF(T12=0,0,X12/T12)</f>
        <v>-0.52226398995021117</v>
      </c>
    </row>
    <row r="13" spans="1:26" s="24" customFormat="1" hidden="1" outlineLevel="1" x14ac:dyDescent="0.25">
      <c r="A13" s="50"/>
      <c r="B13" s="11" t="str">
        <f>CONCATENATE("          ", "4058", " - ", "TAXABLE SALES-FOOD")</f>
        <v xml:space="preserve">          4058 - TAXABLE SALES-FOOD</v>
      </c>
      <c r="C13" s="11"/>
      <c r="D13" s="2">
        <f>--8401.66</f>
        <v>8401.66</v>
      </c>
      <c r="E13" s="2"/>
      <c r="F13" s="22"/>
      <c r="G13" s="2"/>
      <c r="H13" s="2">
        <f>--15184.02</f>
        <v>15184.02</v>
      </c>
      <c r="I13" s="2"/>
      <c r="J13" s="22"/>
      <c r="K13" s="2"/>
      <c r="L13" s="2">
        <f t="shared" si="0"/>
        <v>-6782.3600000000006</v>
      </c>
      <c r="M13" s="2"/>
      <c r="N13" s="22">
        <f t="shared" si="1"/>
        <v>-0.44667749383891753</v>
      </c>
      <c r="O13" s="11"/>
      <c r="P13" s="2">
        <f>--8401.66</f>
        <v>8401.66</v>
      </c>
      <c r="Q13" s="2"/>
      <c r="R13" s="22"/>
      <c r="S13" s="2"/>
      <c r="T13" s="2">
        <f>--15184.02</f>
        <v>15184.02</v>
      </c>
      <c r="U13" s="2"/>
      <c r="V13" s="22"/>
      <c r="W13" s="2"/>
      <c r="X13" s="2">
        <f t="shared" si="2"/>
        <v>-6782.3600000000006</v>
      </c>
      <c r="Y13" s="2"/>
      <c r="Z13" s="22">
        <f t="shared" si="3"/>
        <v>-0.44667749383891753</v>
      </c>
    </row>
    <row r="14" spans="1:26" s="24" customFormat="1" hidden="1" outlineLevel="1" x14ac:dyDescent="0.25">
      <c r="A14" s="50"/>
      <c r="B14" s="11" t="str">
        <f>CONCATENATE("          ", "4158", " - ", "NON-TAXABLE SALES-FOOD")</f>
        <v xml:space="preserve">          4158 - NON-TAXABLE SALES-FOOD</v>
      </c>
      <c r="C14" s="11"/>
      <c r="D14" s="2">
        <f>--9559.69</f>
        <v>9559.69</v>
      </c>
      <c r="E14" s="2"/>
      <c r="F14" s="22"/>
      <c r="G14" s="2"/>
      <c r="H14" s="2">
        <f>--22412.79</f>
        <v>22412.79</v>
      </c>
      <c r="I14" s="2"/>
      <c r="J14" s="22"/>
      <c r="K14" s="2"/>
      <c r="L14" s="2">
        <f t="shared" si="0"/>
        <v>-12853.1</v>
      </c>
      <c r="M14" s="2"/>
      <c r="N14" s="22">
        <f t="shared" si="1"/>
        <v>-0.57347166506267178</v>
      </c>
      <c r="O14" s="11"/>
      <c r="P14" s="2">
        <f>--9559.69</f>
        <v>9559.69</v>
      </c>
      <c r="Q14" s="2"/>
      <c r="R14" s="22"/>
      <c r="S14" s="2"/>
      <c r="T14" s="2">
        <f>--22412.79</f>
        <v>22412.79</v>
      </c>
      <c r="U14" s="2"/>
      <c r="V14" s="22"/>
      <c r="W14" s="2"/>
      <c r="X14" s="2">
        <f t="shared" si="2"/>
        <v>-12853.1</v>
      </c>
      <c r="Y14" s="2"/>
      <c r="Z14" s="22">
        <f t="shared" si="3"/>
        <v>-0.57347166506267178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8256.07</v>
      </c>
      <c r="E16" s="4"/>
      <c r="F16" s="12">
        <f t="shared" ref="F16:F18" si="4">IF(D$12=0,0,D16/D$12)</f>
        <v>0.45965754244530621</v>
      </c>
      <c r="G16" s="4"/>
      <c r="H16" s="4">
        <f>SUM(OSRRefH16x_0)</f>
        <v>15489.8</v>
      </c>
      <c r="I16" s="4"/>
      <c r="J16" s="12">
        <f t="shared" ref="J16:J18" si="5">IF(H$12=0,0,H16/H$12)</f>
        <v>0.41199772001933144</v>
      </c>
      <c r="K16" s="4"/>
      <c r="L16" s="4">
        <f t="shared" ref="L16:L18" si="6">+D16-H16</f>
        <v>-7233.73</v>
      </c>
      <c r="M16" s="4"/>
      <c r="N16" s="12">
        <f t="shared" ref="N16:N18" si="7">IF(H16=0,0,L16/H16)</f>
        <v>-0.46699957391315577</v>
      </c>
      <c r="O16" s="10"/>
      <c r="P16" s="4">
        <f>SUM(OSRRefP16x_0)</f>
        <v>8256.07</v>
      </c>
      <c r="Q16" s="4"/>
      <c r="R16" s="12">
        <f t="shared" ref="R16:R18" si="8">IF(P$12=0,0,P16/P$12)</f>
        <v>0.45965754244530621</v>
      </c>
      <c r="S16" s="4"/>
      <c r="T16" s="4">
        <f>SUM(OSRRefT16x_0)</f>
        <v>15489.8</v>
      </c>
      <c r="U16" s="4"/>
      <c r="V16" s="12">
        <f t="shared" ref="V16:V18" si="9">IF(T$12=0,0,T16/T$12)</f>
        <v>0.41199772001933144</v>
      </c>
      <c r="W16" s="4"/>
      <c r="X16" s="4">
        <f t="shared" ref="X16:X18" si="10">+P16-T16</f>
        <v>-7233.73</v>
      </c>
      <c r="Y16" s="4"/>
      <c r="Z16" s="12">
        <f t="shared" ref="Z16:Z18" si="11">IF(T16=0,0,X16/T16)</f>
        <v>-0.46699957391315577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6729.07</v>
      </c>
      <c r="E17" s="2"/>
      <c r="F17" s="22">
        <f t="shared" si="4"/>
        <v>0.37464166112235442</v>
      </c>
      <c r="G17" s="2"/>
      <c r="H17" s="2">
        <v>15027.8</v>
      </c>
      <c r="I17" s="2"/>
      <c r="J17" s="22">
        <f t="shared" si="5"/>
        <v>0.3997094434341637</v>
      </c>
      <c r="K17" s="2"/>
      <c r="L17" s="2">
        <f t="shared" si="6"/>
        <v>-8298.73</v>
      </c>
      <c r="M17" s="2"/>
      <c r="N17" s="22">
        <f t="shared" si="7"/>
        <v>-0.55222520927880325</v>
      </c>
      <c r="O17" s="11"/>
      <c r="P17" s="2">
        <v>6729.07</v>
      </c>
      <c r="Q17" s="2"/>
      <c r="R17" s="22">
        <f t="shared" si="8"/>
        <v>0.37464166112235442</v>
      </c>
      <c r="S17" s="2"/>
      <c r="T17" s="2">
        <v>15027.8</v>
      </c>
      <c r="U17" s="2"/>
      <c r="V17" s="22">
        <f t="shared" si="9"/>
        <v>0.3997094434341637</v>
      </c>
      <c r="W17" s="2"/>
      <c r="X17" s="2">
        <f t="shared" si="10"/>
        <v>-8298.73</v>
      </c>
      <c r="Y17" s="2"/>
      <c r="Z17" s="22">
        <f t="shared" si="11"/>
        <v>-0.55222520927880325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1527</v>
      </c>
      <c r="E18" s="2"/>
      <c r="F18" s="22">
        <f t="shared" si="4"/>
        <v>8.5015881322951792E-2</v>
      </c>
      <c r="G18" s="2"/>
      <c r="H18" s="2">
        <v>462</v>
      </c>
      <c r="I18" s="2"/>
      <c r="J18" s="22">
        <f t="shared" si="5"/>
        <v>1.2288276585167731E-2</v>
      </c>
      <c r="K18" s="2"/>
      <c r="L18" s="2">
        <f t="shared" si="6"/>
        <v>1065</v>
      </c>
      <c r="M18" s="2"/>
      <c r="N18" s="22">
        <f t="shared" si="7"/>
        <v>2.3051948051948052</v>
      </c>
      <c r="O18" s="11"/>
      <c r="P18" s="2">
        <v>1527</v>
      </c>
      <c r="Q18" s="2"/>
      <c r="R18" s="22">
        <f t="shared" si="8"/>
        <v>8.5015881322951792E-2</v>
      </c>
      <c r="S18" s="2"/>
      <c r="T18" s="2">
        <v>462</v>
      </c>
      <c r="U18" s="2"/>
      <c r="V18" s="22">
        <f t="shared" si="9"/>
        <v>1.2288276585167731E-2</v>
      </c>
      <c r="W18" s="2"/>
      <c r="X18" s="2">
        <f t="shared" si="10"/>
        <v>1065</v>
      </c>
      <c r="Y18" s="2"/>
      <c r="Z18" s="22">
        <f t="shared" si="11"/>
        <v>2.3051948051948052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9705.2799999999988</v>
      </c>
      <c r="E20" s="13"/>
      <c r="F20" s="20">
        <f>IF(D$12=0,0,D20/D$12)</f>
        <v>0.54034245755469379</v>
      </c>
      <c r="G20" s="13"/>
      <c r="H20" s="21">
        <f>H12-H16</f>
        <v>22107.01</v>
      </c>
      <c r="I20" s="13"/>
      <c r="J20" s="20">
        <f>IF(H$12=0,0,H20/H$12)</f>
        <v>0.58800227998066856</v>
      </c>
      <c r="K20" s="16"/>
      <c r="L20" s="21">
        <f>+D20-H20</f>
        <v>-12401.73</v>
      </c>
      <c r="M20" s="16"/>
      <c r="N20" s="20">
        <f>IF(H20=0,0,L20/H20)</f>
        <v>-0.56098631158171097</v>
      </c>
      <c r="O20" s="26"/>
      <c r="P20" s="21">
        <f>P12-P16</f>
        <v>9705.2799999999988</v>
      </c>
      <c r="Q20" s="13"/>
      <c r="R20" s="20">
        <f>IF(P$12=0,0,P20/P$12)</f>
        <v>0.54034245755469379</v>
      </c>
      <c r="S20" s="13"/>
      <c r="T20" s="21">
        <f>T12-T16</f>
        <v>22107.01</v>
      </c>
      <c r="U20" s="13"/>
      <c r="V20" s="20">
        <f>IF(T$12=0,0,T20/T$12)</f>
        <v>0.58800227998066856</v>
      </c>
      <c r="W20" s="16"/>
      <c r="X20" s="21">
        <f>+P20-T20</f>
        <v>-12401.73</v>
      </c>
      <c r="Y20" s="16"/>
      <c r="Z20" s="20">
        <f>IF(T20=0,0,X20/T20)</f>
        <v>-0.56098631158171097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23375.780000000002</v>
      </c>
      <c r="E22" s="19"/>
      <c r="F22" s="35">
        <f t="shared" ref="F22:F31" si="12">IF(D$12=0,0,D22/D$12)</f>
        <v>1.301448944539247</v>
      </c>
      <c r="G22" s="19"/>
      <c r="H22" s="19">
        <f>SUM(OSRRefH22x_0)</f>
        <v>28738.5</v>
      </c>
      <c r="I22" s="19"/>
      <c r="J22" s="35">
        <f t="shared" ref="J22:J31" si="13">IF(H$12=0,0,H22/H$12)</f>
        <v>0.76438665940009276</v>
      </c>
      <c r="K22" s="4"/>
      <c r="L22" s="19">
        <f t="shared" ref="L22:L31" si="14">+D22-H22</f>
        <v>-5362.7199999999975</v>
      </c>
      <c r="M22" s="4"/>
      <c r="N22" s="35">
        <f t="shared" ref="N22:N31" si="15">IF(H22=0,0,L22/H22)</f>
        <v>-0.18660403291751473</v>
      </c>
      <c r="O22" s="10"/>
      <c r="P22" s="19">
        <f>SUM(OSRRefP22x_0)</f>
        <v>23375.780000000002</v>
      </c>
      <c r="Q22" s="19"/>
      <c r="R22" s="35">
        <f t="shared" ref="R22:R31" si="16">IF(P$12=0,0,P22/P$12)</f>
        <v>1.301448944539247</v>
      </c>
      <c r="S22" s="19"/>
      <c r="T22" s="19">
        <f>SUM(OSRRefT22x_0)</f>
        <v>28738.5</v>
      </c>
      <c r="U22" s="19"/>
      <c r="V22" s="35">
        <f t="shared" ref="V22:V31" si="17">IF(T$12=0,0,T22/T$12)</f>
        <v>0.76438665940009276</v>
      </c>
      <c r="W22" s="4"/>
      <c r="X22" s="19">
        <f t="shared" ref="X22:X31" si="18">+P22-T22</f>
        <v>-5362.7199999999975</v>
      </c>
      <c r="Y22" s="4"/>
      <c r="Z22" s="35">
        <f t="shared" ref="Z22:Z31" si="19">IF(T22=0,0,X22/T22)</f>
        <v>-0.18660403291751473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2278.0699999999997</v>
      </c>
      <c r="E23" s="1"/>
      <c r="F23" s="5">
        <f t="shared" si="12"/>
        <v>0.12683178046193633</v>
      </c>
      <c r="G23" s="1"/>
      <c r="H23" s="1">
        <f>SUM(OSRRefH22_0x_0)</f>
        <v>4068.32</v>
      </c>
      <c r="I23" s="1"/>
      <c r="J23" s="5">
        <f t="shared" si="13"/>
        <v>0.10820918051292119</v>
      </c>
      <c r="K23" s="1"/>
      <c r="L23" s="1">
        <f t="shared" si="14"/>
        <v>-1790.2500000000005</v>
      </c>
      <c r="M23" s="1"/>
      <c r="N23" s="5">
        <f t="shared" si="15"/>
        <v>-0.44004650568293557</v>
      </c>
      <c r="O23" s="14"/>
      <c r="P23" s="1">
        <f>SUM(OSRRefP22_0x_0)</f>
        <v>2278.0699999999997</v>
      </c>
      <c r="Q23" s="1"/>
      <c r="R23" s="5">
        <f t="shared" si="16"/>
        <v>0.12683178046193633</v>
      </c>
      <c r="S23" s="1"/>
      <c r="T23" s="1">
        <f>SUM(OSRRefT22_0x_0)</f>
        <v>4068.32</v>
      </c>
      <c r="U23" s="1"/>
      <c r="V23" s="5">
        <f t="shared" si="17"/>
        <v>0.10820918051292119</v>
      </c>
      <c r="W23" s="1"/>
      <c r="X23" s="1">
        <f t="shared" si="18"/>
        <v>-1790.2500000000005</v>
      </c>
      <c r="Y23" s="1"/>
      <c r="Z23" s="5">
        <f t="shared" si="19"/>
        <v>-0.44004650568293557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639.17999999999995</v>
      </c>
      <c r="E24" s="2"/>
      <c r="F24" s="6">
        <f t="shared" si="12"/>
        <v>3.5586411934514943E-2</v>
      </c>
      <c r="G24" s="2"/>
      <c r="H24" s="7">
        <v>876.7</v>
      </c>
      <c r="I24" s="2"/>
      <c r="J24" s="6">
        <f t="shared" si="13"/>
        <v>2.3318467710425436E-2</v>
      </c>
      <c r="K24" s="2"/>
      <c r="L24" s="7">
        <f t="shared" si="14"/>
        <v>-237.5200000000001</v>
      </c>
      <c r="M24" s="2"/>
      <c r="N24" s="6">
        <f t="shared" si="15"/>
        <v>-0.27092505988365473</v>
      </c>
      <c r="O24" s="11"/>
      <c r="P24" s="7">
        <v>639.17999999999995</v>
      </c>
      <c r="Q24" s="2"/>
      <c r="R24" s="6">
        <f t="shared" si="16"/>
        <v>3.5586411934514943E-2</v>
      </c>
      <c r="S24" s="2"/>
      <c r="T24" s="7">
        <v>876.7</v>
      </c>
      <c r="U24" s="2"/>
      <c r="V24" s="6">
        <f t="shared" si="17"/>
        <v>2.3318467710425436E-2</v>
      </c>
      <c r="W24" s="2"/>
      <c r="X24" s="7">
        <f t="shared" si="18"/>
        <v>-237.5200000000001</v>
      </c>
      <c r="Y24" s="2"/>
      <c r="Z24" s="6">
        <f t="shared" si="19"/>
        <v>-0.27092505988365473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395.46</v>
      </c>
      <c r="E25" s="2"/>
      <c r="F25" s="6">
        <f t="shared" si="12"/>
        <v>2.2017275984266216E-2</v>
      </c>
      <c r="G25" s="2"/>
      <c r="H25" s="7">
        <v>590.03</v>
      </c>
      <c r="I25" s="2"/>
      <c r="J25" s="6">
        <f t="shared" si="13"/>
        <v>1.5693618687330123E-2</v>
      </c>
      <c r="K25" s="2"/>
      <c r="L25" s="7">
        <f t="shared" si="14"/>
        <v>-194.57</v>
      </c>
      <c r="M25" s="2"/>
      <c r="N25" s="6">
        <f t="shared" si="15"/>
        <v>-0.32976289341219939</v>
      </c>
      <c r="O25" s="11"/>
      <c r="P25" s="7">
        <v>395.46</v>
      </c>
      <c r="Q25" s="2"/>
      <c r="R25" s="6">
        <f t="shared" si="16"/>
        <v>2.2017275984266216E-2</v>
      </c>
      <c r="S25" s="2"/>
      <c r="T25" s="7">
        <v>590.03</v>
      </c>
      <c r="U25" s="2"/>
      <c r="V25" s="6">
        <f t="shared" si="17"/>
        <v>1.5693618687330123E-2</v>
      </c>
      <c r="W25" s="2"/>
      <c r="X25" s="7">
        <f t="shared" si="18"/>
        <v>-194.57</v>
      </c>
      <c r="Y25" s="2"/>
      <c r="Z25" s="6">
        <f t="shared" si="19"/>
        <v>-0.32976289341219939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650.39</v>
      </c>
      <c r="E26" s="2"/>
      <c r="F26" s="6">
        <f t="shared" si="12"/>
        <v>3.6210529832111732E-2</v>
      </c>
      <c r="G26" s="2"/>
      <c r="H26" s="7">
        <v>279.54000000000002</v>
      </c>
      <c r="I26" s="2"/>
      <c r="J26" s="6">
        <f t="shared" si="13"/>
        <v>7.4352052740644763E-3</v>
      </c>
      <c r="K26" s="2"/>
      <c r="L26" s="7">
        <f t="shared" si="14"/>
        <v>370.84999999999997</v>
      </c>
      <c r="M26" s="2"/>
      <c r="N26" s="6">
        <f t="shared" si="15"/>
        <v>1.3266437719109965</v>
      </c>
      <c r="O26" s="11"/>
      <c r="P26" s="7">
        <v>650.39</v>
      </c>
      <c r="Q26" s="2"/>
      <c r="R26" s="6">
        <f t="shared" si="16"/>
        <v>3.6210529832111732E-2</v>
      </c>
      <c r="S26" s="2"/>
      <c r="T26" s="7">
        <v>279.54000000000002</v>
      </c>
      <c r="U26" s="2"/>
      <c r="V26" s="6">
        <f t="shared" si="17"/>
        <v>7.4352052740644763E-3</v>
      </c>
      <c r="W26" s="2"/>
      <c r="X26" s="7">
        <f t="shared" si="18"/>
        <v>370.84999999999997</v>
      </c>
      <c r="Y26" s="2"/>
      <c r="Z26" s="6">
        <f t="shared" si="19"/>
        <v>1.3266437719109965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26.5</v>
      </c>
      <c r="E27" s="2"/>
      <c r="F27" s="6">
        <f t="shared" si="12"/>
        <v>1.475390212873754E-3</v>
      </c>
      <c r="G27" s="2"/>
      <c r="H27" s="7">
        <v>43.83</v>
      </c>
      <c r="I27" s="2"/>
      <c r="J27" s="6">
        <f t="shared" si="13"/>
        <v>1.1657903955149386E-3</v>
      </c>
      <c r="K27" s="2"/>
      <c r="L27" s="7">
        <f t="shared" si="14"/>
        <v>-17.329999999999998</v>
      </c>
      <c r="M27" s="2"/>
      <c r="N27" s="6">
        <f t="shared" si="15"/>
        <v>-0.39539128450832761</v>
      </c>
      <c r="O27" s="11"/>
      <c r="P27" s="7">
        <v>26.5</v>
      </c>
      <c r="Q27" s="2"/>
      <c r="R27" s="6">
        <f t="shared" si="16"/>
        <v>1.475390212873754E-3</v>
      </c>
      <c r="S27" s="2"/>
      <c r="T27" s="7">
        <v>43.83</v>
      </c>
      <c r="U27" s="2"/>
      <c r="V27" s="6">
        <f t="shared" si="17"/>
        <v>1.1657903955149386E-3</v>
      </c>
      <c r="W27" s="2"/>
      <c r="X27" s="7">
        <f t="shared" si="18"/>
        <v>-17.329999999999998</v>
      </c>
      <c r="Y27" s="2"/>
      <c r="Z27" s="6">
        <f t="shared" si="19"/>
        <v>-0.39539128450832761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2"/>
        <v>0</v>
      </c>
      <c r="G28" s="2"/>
      <c r="H28" s="7">
        <v>616.6</v>
      </c>
      <c r="I28" s="2"/>
      <c r="J28" s="6">
        <f t="shared" si="13"/>
        <v>1.6400327580983601E-2</v>
      </c>
      <c r="K28" s="2"/>
      <c r="L28" s="7">
        <f t="shared" si="14"/>
        <v>-616.6</v>
      </c>
      <c r="M28" s="2"/>
      <c r="N28" s="6">
        <f t="shared" si="15"/>
        <v>-1</v>
      </c>
      <c r="O28" s="11"/>
      <c r="P28" s="7"/>
      <c r="Q28" s="2"/>
      <c r="R28" s="6">
        <f t="shared" si="16"/>
        <v>0</v>
      </c>
      <c r="S28" s="2"/>
      <c r="T28" s="7">
        <v>616.6</v>
      </c>
      <c r="U28" s="2"/>
      <c r="V28" s="6">
        <f t="shared" si="17"/>
        <v>1.6400327580983601E-2</v>
      </c>
      <c r="W28" s="2"/>
      <c r="X28" s="7">
        <f t="shared" si="18"/>
        <v>-616.6</v>
      </c>
      <c r="Y28" s="2"/>
      <c r="Z28" s="6">
        <f t="shared" si="19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192.5</v>
      </c>
      <c r="E29" s="2"/>
      <c r="F29" s="6">
        <f t="shared" si="12"/>
        <v>1.0717457206724439E-2</v>
      </c>
      <c r="G29" s="2"/>
      <c r="H29" s="7">
        <v>548.59</v>
      </c>
      <c r="I29" s="2"/>
      <c r="J29" s="6">
        <f t="shared" si="13"/>
        <v>1.4591397514842352E-2</v>
      </c>
      <c r="K29" s="2"/>
      <c r="L29" s="7">
        <f t="shared" si="14"/>
        <v>-356.09000000000003</v>
      </c>
      <c r="M29" s="2"/>
      <c r="N29" s="6">
        <f t="shared" si="15"/>
        <v>-0.64910042107949473</v>
      </c>
      <c r="O29" s="11"/>
      <c r="P29" s="7">
        <v>192.5</v>
      </c>
      <c r="Q29" s="2"/>
      <c r="R29" s="6">
        <f t="shared" si="16"/>
        <v>1.0717457206724439E-2</v>
      </c>
      <c r="S29" s="2"/>
      <c r="T29" s="7">
        <v>548.59</v>
      </c>
      <c r="U29" s="2"/>
      <c r="V29" s="6">
        <f t="shared" si="17"/>
        <v>1.4591397514842352E-2</v>
      </c>
      <c r="W29" s="2"/>
      <c r="X29" s="7">
        <f t="shared" si="18"/>
        <v>-356.09000000000003</v>
      </c>
      <c r="Y29" s="2"/>
      <c r="Z29" s="6">
        <f t="shared" si="19"/>
        <v>-0.64910042107949473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230.62</v>
      </c>
      <c r="E30" s="2"/>
      <c r="F30" s="6">
        <f t="shared" si="12"/>
        <v>1.2839792109167742E-2</v>
      </c>
      <c r="G30" s="2"/>
      <c r="H30" s="7">
        <v>964.8</v>
      </c>
      <c r="I30" s="2"/>
      <c r="J30" s="6">
        <f t="shared" si="13"/>
        <v>2.5661751622012612E-2</v>
      </c>
      <c r="K30" s="2"/>
      <c r="L30" s="7">
        <f t="shared" si="14"/>
        <v>-734.18</v>
      </c>
      <c r="M30" s="2"/>
      <c r="N30" s="6">
        <f t="shared" si="15"/>
        <v>-0.76096600331674957</v>
      </c>
      <c r="O30" s="11"/>
      <c r="P30" s="7">
        <v>230.62</v>
      </c>
      <c r="Q30" s="2"/>
      <c r="R30" s="6">
        <f t="shared" si="16"/>
        <v>1.2839792109167742E-2</v>
      </c>
      <c r="S30" s="2"/>
      <c r="T30" s="7">
        <v>964.8</v>
      </c>
      <c r="U30" s="2"/>
      <c r="V30" s="6">
        <f t="shared" si="17"/>
        <v>2.5661751622012612E-2</v>
      </c>
      <c r="W30" s="2"/>
      <c r="X30" s="7">
        <f t="shared" si="18"/>
        <v>-734.18</v>
      </c>
      <c r="Y30" s="2"/>
      <c r="Z30" s="6">
        <f t="shared" si="19"/>
        <v>-0.76096600331674957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143.41999999999999</v>
      </c>
      <c r="E31" s="2"/>
      <c r="F31" s="6">
        <f t="shared" si="12"/>
        <v>7.9849231822775018E-3</v>
      </c>
      <c r="G31" s="2"/>
      <c r="H31" s="7">
        <v>148.22999999999999</v>
      </c>
      <c r="I31" s="2"/>
      <c r="J31" s="6">
        <f t="shared" si="13"/>
        <v>3.9426217277476463E-3</v>
      </c>
      <c r="K31" s="2"/>
      <c r="L31" s="7">
        <f t="shared" si="14"/>
        <v>-4.8100000000000023</v>
      </c>
      <c r="M31" s="2"/>
      <c r="N31" s="6">
        <f t="shared" si="15"/>
        <v>-3.2449571611684561E-2</v>
      </c>
      <c r="O31" s="11"/>
      <c r="P31" s="7">
        <v>143.41999999999999</v>
      </c>
      <c r="Q31" s="2"/>
      <c r="R31" s="6">
        <f t="shared" si="16"/>
        <v>7.9849231822775018E-3</v>
      </c>
      <c r="S31" s="2"/>
      <c r="T31" s="7">
        <v>148.22999999999999</v>
      </c>
      <c r="U31" s="2"/>
      <c r="V31" s="6">
        <f t="shared" si="17"/>
        <v>3.9426217277476463E-3</v>
      </c>
      <c r="W31" s="2"/>
      <c r="X31" s="7">
        <f t="shared" si="18"/>
        <v>-4.8100000000000023</v>
      </c>
      <c r="Y31" s="2"/>
      <c r="Z31" s="6">
        <f t="shared" si="19"/>
        <v>-3.2449571611684561E-2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10898.380000000001</v>
      </c>
      <c r="E32" s="1"/>
      <c r="F32" s="5">
        <f t="shared" ref="F32:F36" si="20">IF(D$12=0,0,D32/D$12)</f>
        <v>0.60676842219543636</v>
      </c>
      <c r="G32" s="1"/>
      <c r="H32" s="1">
        <f>SUM(OSRRefH22_1x_0)</f>
        <v>14006.34</v>
      </c>
      <c r="I32" s="1"/>
      <c r="J32" s="5">
        <f t="shared" ref="J32:J36" si="21">IF(H$12=0,0,H32/H$12)</f>
        <v>0.37254064906038575</v>
      </c>
      <c r="K32" s="1"/>
      <c r="L32" s="1">
        <f t="shared" ref="L32:L36" si="22">+D32-H32</f>
        <v>-3107.9599999999991</v>
      </c>
      <c r="M32" s="1"/>
      <c r="N32" s="5">
        <f t="shared" ref="N32:N36" si="23">IF(H32=0,0,L32/H32)</f>
        <v>-0.22189665537178158</v>
      </c>
      <c r="O32" s="14"/>
      <c r="P32" s="1">
        <f>SUM(OSRRefP22_1x_0)</f>
        <v>10898.380000000001</v>
      </c>
      <c r="Q32" s="1"/>
      <c r="R32" s="5">
        <f t="shared" ref="R32:R36" si="24">IF(P$12=0,0,P32/P$12)</f>
        <v>0.60676842219543636</v>
      </c>
      <c r="S32" s="1"/>
      <c r="T32" s="1">
        <f>SUM(OSRRefT22_1x_0)</f>
        <v>14006.34</v>
      </c>
      <c r="U32" s="1"/>
      <c r="V32" s="5">
        <f t="shared" ref="V32:V36" si="25">IF(T$12=0,0,T32/T$12)</f>
        <v>0.37254064906038575</v>
      </c>
      <c r="W32" s="1"/>
      <c r="X32" s="1">
        <f t="shared" ref="X32:X36" si="26">+P32-T32</f>
        <v>-3107.9599999999991</v>
      </c>
      <c r="Y32" s="1"/>
      <c r="Z32" s="5">
        <f t="shared" ref="Z32:Z36" si="27">IF(T32=0,0,X32/T32)</f>
        <v>-0.22189665537178158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5294.13</v>
      </c>
      <c r="I33" s="2"/>
      <c r="J33" s="6">
        <f t="shared" si="21"/>
        <v>0.14081327644552824</v>
      </c>
      <c r="K33" s="2"/>
      <c r="L33" s="7">
        <f t="shared" si="22"/>
        <v>-5294.13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5294.13</v>
      </c>
      <c r="U33" s="2"/>
      <c r="V33" s="6">
        <f t="shared" si="25"/>
        <v>0.14081327644552824</v>
      </c>
      <c r="W33" s="2"/>
      <c r="X33" s="7">
        <f t="shared" si="26"/>
        <v>-5294.13</v>
      </c>
      <c r="Y33" s="2"/>
      <c r="Z33" s="6">
        <f t="shared" si="27"/>
        <v>-1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5328.12</v>
      </c>
      <c r="E34" s="2"/>
      <c r="F34" s="6">
        <f t="shared" si="20"/>
        <v>0.29664362645346815</v>
      </c>
      <c r="G34" s="2"/>
      <c r="H34" s="7"/>
      <c r="I34" s="2"/>
      <c r="J34" s="6">
        <f t="shared" si="21"/>
        <v>0</v>
      </c>
      <c r="K34" s="2"/>
      <c r="L34" s="7">
        <f t="shared" si="22"/>
        <v>5328.12</v>
      </c>
      <c r="M34" s="2"/>
      <c r="N34" s="6">
        <f t="shared" si="23"/>
        <v>0</v>
      </c>
      <c r="O34" s="11"/>
      <c r="P34" s="7">
        <v>5328.12</v>
      </c>
      <c r="Q34" s="2"/>
      <c r="R34" s="6">
        <f t="shared" si="24"/>
        <v>0.29664362645346815</v>
      </c>
      <c r="S34" s="2"/>
      <c r="T34" s="7"/>
      <c r="U34" s="2"/>
      <c r="V34" s="6">
        <f t="shared" si="25"/>
        <v>0</v>
      </c>
      <c r="W34" s="2"/>
      <c r="X34" s="7">
        <f t="shared" si="26"/>
        <v>5328.12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816</v>
      </c>
      <c r="E35" s="2"/>
      <c r="F35" s="6">
        <f t="shared" si="20"/>
        <v>4.5430883536037109E-2</v>
      </c>
      <c r="G35" s="2"/>
      <c r="H35" s="7">
        <v>1461.7</v>
      </c>
      <c r="I35" s="2"/>
      <c r="J35" s="6">
        <f t="shared" si="21"/>
        <v>3.8878298451384574E-2</v>
      </c>
      <c r="K35" s="2"/>
      <c r="L35" s="7">
        <f t="shared" si="22"/>
        <v>-645.70000000000005</v>
      </c>
      <c r="M35" s="2"/>
      <c r="N35" s="6">
        <f t="shared" si="23"/>
        <v>-0.44174591229390436</v>
      </c>
      <c r="O35" s="11"/>
      <c r="P35" s="7">
        <v>816</v>
      </c>
      <c r="Q35" s="2"/>
      <c r="R35" s="6">
        <f t="shared" si="24"/>
        <v>4.5430883536037109E-2</v>
      </c>
      <c r="S35" s="2"/>
      <c r="T35" s="7">
        <v>1461.7</v>
      </c>
      <c r="U35" s="2"/>
      <c r="V35" s="6">
        <f t="shared" si="25"/>
        <v>3.8878298451384574E-2</v>
      </c>
      <c r="W35" s="2"/>
      <c r="X35" s="7">
        <f t="shared" si="26"/>
        <v>-645.70000000000005</v>
      </c>
      <c r="Y35" s="2"/>
      <c r="Z35" s="6">
        <f t="shared" si="27"/>
        <v>-0.44174591229390436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4754.26</v>
      </c>
      <c r="E36" s="2"/>
      <c r="F36" s="6">
        <f t="shared" si="20"/>
        <v>0.26469391220593108</v>
      </c>
      <c r="G36" s="2"/>
      <c r="H36" s="7">
        <v>7250.51</v>
      </c>
      <c r="I36" s="2"/>
      <c r="J36" s="6">
        <f t="shared" si="21"/>
        <v>0.19284907416347294</v>
      </c>
      <c r="K36" s="2"/>
      <c r="L36" s="7">
        <f t="shared" si="22"/>
        <v>-2496.25</v>
      </c>
      <c r="M36" s="2"/>
      <c r="N36" s="6">
        <f t="shared" si="23"/>
        <v>-0.34428612607940684</v>
      </c>
      <c r="O36" s="11"/>
      <c r="P36" s="7">
        <v>4754.26</v>
      </c>
      <c r="Q36" s="2"/>
      <c r="R36" s="6">
        <f t="shared" si="24"/>
        <v>0.26469391220593108</v>
      </c>
      <c r="S36" s="2"/>
      <c r="T36" s="7">
        <v>7250.51</v>
      </c>
      <c r="U36" s="2"/>
      <c r="V36" s="6">
        <f t="shared" si="25"/>
        <v>0.19284907416347294</v>
      </c>
      <c r="W36" s="2"/>
      <c r="X36" s="7">
        <f t="shared" si="26"/>
        <v>-2496.25</v>
      </c>
      <c r="Y36" s="2"/>
      <c r="Z36" s="6">
        <f t="shared" si="27"/>
        <v>-0.34428612607940684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63.52</v>
      </c>
      <c r="E37" s="1"/>
      <c r="F37" s="5">
        <f t="shared" ref="F37:F62" si="28">IF(D$12=0,0,D37/D$12)</f>
        <v>3.5364825027072023E-3</v>
      </c>
      <c r="G37" s="1"/>
      <c r="H37" s="1">
        <f>SUM(OSRRefH22_2x_0)</f>
        <v>78</v>
      </c>
      <c r="I37" s="1"/>
      <c r="J37" s="5">
        <f t="shared" ref="J37:J62" si="29">IF(H$12=0,0,H37/H$12)</f>
        <v>2.074644098794552E-3</v>
      </c>
      <c r="K37" s="1"/>
      <c r="L37" s="1">
        <f t="shared" ref="L37:L62" si="30">+D37-H37</f>
        <v>-14.479999999999997</v>
      </c>
      <c r="M37" s="1"/>
      <c r="N37" s="5">
        <f t="shared" ref="N37:N62" si="31">IF(H37=0,0,L37/H37)</f>
        <v>-0.18564102564102561</v>
      </c>
      <c r="O37" s="14"/>
      <c r="P37" s="1">
        <f>SUM(OSRRefP22_2x_0)</f>
        <v>63.52</v>
      </c>
      <c r="Q37" s="1"/>
      <c r="R37" s="5">
        <f t="shared" ref="R37:R62" si="32">IF(P$12=0,0,P37/P$12)</f>
        <v>3.5364825027072023E-3</v>
      </c>
      <c r="S37" s="1"/>
      <c r="T37" s="1">
        <f>SUM(OSRRefT22_2x_0)</f>
        <v>78</v>
      </c>
      <c r="U37" s="1"/>
      <c r="V37" s="5">
        <f t="shared" ref="V37:V62" si="33">IF(T$12=0,0,T37/T$12)</f>
        <v>2.074644098794552E-3</v>
      </c>
      <c r="W37" s="1"/>
      <c r="X37" s="1">
        <f t="shared" ref="X37:X62" si="34">+P37-T37</f>
        <v>-14.479999999999997</v>
      </c>
      <c r="Y37" s="1"/>
      <c r="Z37" s="5">
        <f t="shared" ref="Z37:Z62" si="35">IF(T37=0,0,X37/T37)</f>
        <v>-0.18564102564102561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>
        <v>63.52</v>
      </c>
      <c r="E38" s="2"/>
      <c r="F38" s="6">
        <f t="shared" si="28"/>
        <v>3.5364825027072023E-3</v>
      </c>
      <c r="G38" s="2"/>
      <c r="H38" s="7">
        <v>78</v>
      </c>
      <c r="I38" s="2"/>
      <c r="J38" s="6">
        <f t="shared" si="29"/>
        <v>2.074644098794552E-3</v>
      </c>
      <c r="K38" s="2"/>
      <c r="L38" s="7">
        <f t="shared" si="30"/>
        <v>-14.479999999999997</v>
      </c>
      <c r="M38" s="2"/>
      <c r="N38" s="6">
        <f t="shared" si="31"/>
        <v>-0.18564102564102561</v>
      </c>
      <c r="O38" s="11"/>
      <c r="P38" s="7">
        <v>63.52</v>
      </c>
      <c r="Q38" s="2"/>
      <c r="R38" s="6">
        <f t="shared" si="32"/>
        <v>3.5364825027072023E-3</v>
      </c>
      <c r="S38" s="2"/>
      <c r="T38" s="7">
        <v>78</v>
      </c>
      <c r="U38" s="2"/>
      <c r="V38" s="6">
        <f t="shared" si="33"/>
        <v>2.074644098794552E-3</v>
      </c>
      <c r="W38" s="2"/>
      <c r="X38" s="7">
        <f t="shared" si="34"/>
        <v>-14.479999999999997</v>
      </c>
      <c r="Y38" s="2"/>
      <c r="Z38" s="6">
        <f t="shared" si="35"/>
        <v>-0.18564102564102561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-15.89</v>
      </c>
      <c r="E39" s="1"/>
      <c r="F39" s="5">
        <f t="shared" si="28"/>
        <v>-8.8467737670052651E-4</v>
      </c>
      <c r="G39" s="1"/>
      <c r="H39" s="1">
        <f>SUM(OSRRefH22_3x_0)</f>
        <v>0.51</v>
      </c>
      <c r="I39" s="1"/>
      <c r="J39" s="5">
        <f t="shared" si="29"/>
        <v>1.356498064596438E-5</v>
      </c>
      <c r="K39" s="1"/>
      <c r="L39" s="1">
        <f t="shared" si="30"/>
        <v>-16.400000000000002</v>
      </c>
      <c r="M39" s="1"/>
      <c r="N39" s="5">
        <f t="shared" si="31"/>
        <v>-32.156862745098046</v>
      </c>
      <c r="O39" s="14"/>
      <c r="P39" s="1">
        <f>SUM(OSRRefP22_3x_0)</f>
        <v>-15.89</v>
      </c>
      <c r="Q39" s="1"/>
      <c r="R39" s="5">
        <f t="shared" si="32"/>
        <v>-8.8467737670052651E-4</v>
      </c>
      <c r="S39" s="1"/>
      <c r="T39" s="1">
        <f>SUM(OSRRefT22_3x_0)</f>
        <v>0.51</v>
      </c>
      <c r="U39" s="1"/>
      <c r="V39" s="5">
        <f t="shared" si="33"/>
        <v>1.356498064596438E-5</v>
      </c>
      <c r="W39" s="1"/>
      <c r="X39" s="1">
        <f t="shared" si="34"/>
        <v>-16.400000000000002</v>
      </c>
      <c r="Y39" s="1"/>
      <c r="Z39" s="5">
        <f t="shared" si="35"/>
        <v>-32.156862745098046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-15.89</v>
      </c>
      <c r="E40" s="2"/>
      <c r="F40" s="6">
        <f t="shared" si="28"/>
        <v>-8.8467737670052651E-4</v>
      </c>
      <c r="G40" s="2"/>
      <c r="H40" s="7">
        <v>0.51</v>
      </c>
      <c r="I40" s="2"/>
      <c r="J40" s="6">
        <f t="shared" si="29"/>
        <v>1.356498064596438E-5</v>
      </c>
      <c r="K40" s="2"/>
      <c r="L40" s="7">
        <f t="shared" si="30"/>
        <v>-16.400000000000002</v>
      </c>
      <c r="M40" s="2"/>
      <c r="N40" s="6">
        <f t="shared" si="31"/>
        <v>-32.156862745098046</v>
      </c>
      <c r="O40" s="11"/>
      <c r="P40" s="7">
        <v>-15.89</v>
      </c>
      <c r="Q40" s="2"/>
      <c r="R40" s="6">
        <f t="shared" si="32"/>
        <v>-8.8467737670052651E-4</v>
      </c>
      <c r="S40" s="2"/>
      <c r="T40" s="7">
        <v>0.51</v>
      </c>
      <c r="U40" s="2"/>
      <c r="V40" s="6">
        <f t="shared" si="33"/>
        <v>1.356498064596438E-5</v>
      </c>
      <c r="W40" s="2"/>
      <c r="X40" s="7">
        <f t="shared" si="34"/>
        <v>-16.400000000000002</v>
      </c>
      <c r="Y40" s="2"/>
      <c r="Z40" s="6">
        <f t="shared" si="35"/>
        <v>-32.156862745098046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362.01</v>
      </c>
      <c r="E41" s="1"/>
      <c r="F41" s="5">
        <f t="shared" si="28"/>
        <v>2.0154943809902931E-2</v>
      </c>
      <c r="G41" s="1"/>
      <c r="H41" s="1">
        <f>SUM(OSRRefH22_4x_0)</f>
        <v>919.23</v>
      </c>
      <c r="I41" s="1"/>
      <c r="J41" s="5">
        <f t="shared" si="29"/>
        <v>2.4449680704293798E-2</v>
      </c>
      <c r="K41" s="1"/>
      <c r="L41" s="1">
        <f t="shared" si="30"/>
        <v>-557.22</v>
      </c>
      <c r="M41" s="1"/>
      <c r="N41" s="5">
        <f t="shared" si="31"/>
        <v>-0.60618126040272835</v>
      </c>
      <c r="O41" s="14"/>
      <c r="P41" s="1">
        <f>SUM(OSRRefP22_4x_0)</f>
        <v>362.01</v>
      </c>
      <c r="Q41" s="1"/>
      <c r="R41" s="5">
        <f t="shared" si="32"/>
        <v>2.0154943809902931E-2</v>
      </c>
      <c r="S41" s="1"/>
      <c r="T41" s="1">
        <f>SUM(OSRRefT22_4x_0)</f>
        <v>919.23</v>
      </c>
      <c r="U41" s="1"/>
      <c r="V41" s="5">
        <f t="shared" si="33"/>
        <v>2.4449680704293798E-2</v>
      </c>
      <c r="W41" s="1"/>
      <c r="X41" s="1">
        <f t="shared" si="34"/>
        <v>-557.22</v>
      </c>
      <c r="Y41" s="1"/>
      <c r="Z41" s="5">
        <f t="shared" si="35"/>
        <v>-0.60618126040272835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362.01</v>
      </c>
      <c r="E42" s="2"/>
      <c r="F42" s="6">
        <f t="shared" si="28"/>
        <v>2.0154943809902931E-2</v>
      </c>
      <c r="G42" s="2"/>
      <c r="H42" s="7">
        <v>919.23</v>
      </c>
      <c r="I42" s="2"/>
      <c r="J42" s="6">
        <f t="shared" si="29"/>
        <v>2.4449680704293798E-2</v>
      </c>
      <c r="K42" s="2"/>
      <c r="L42" s="7">
        <f t="shared" si="30"/>
        <v>-557.22</v>
      </c>
      <c r="M42" s="2"/>
      <c r="N42" s="6">
        <f t="shared" si="31"/>
        <v>-0.60618126040272835</v>
      </c>
      <c r="O42" s="11"/>
      <c r="P42" s="7">
        <v>362.01</v>
      </c>
      <c r="Q42" s="2"/>
      <c r="R42" s="6">
        <f t="shared" si="32"/>
        <v>2.0154943809902931E-2</v>
      </c>
      <c r="S42" s="2"/>
      <c r="T42" s="7">
        <v>919.23</v>
      </c>
      <c r="U42" s="2"/>
      <c r="V42" s="6">
        <f t="shared" si="33"/>
        <v>2.4449680704293798E-2</v>
      </c>
      <c r="W42" s="2"/>
      <c r="X42" s="7">
        <f t="shared" si="34"/>
        <v>-557.22</v>
      </c>
      <c r="Y42" s="2"/>
      <c r="Z42" s="6">
        <f t="shared" si="35"/>
        <v>-0.60618126040272835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1647.59</v>
      </c>
      <c r="E43" s="1"/>
      <c r="F43" s="5">
        <f t="shared" si="28"/>
        <v>9.1729741918062949E-2</v>
      </c>
      <c r="G43" s="1"/>
      <c r="H43" s="1">
        <f>SUM(OSRRefH22_5x_0)</f>
        <v>1147.5899999999999</v>
      </c>
      <c r="I43" s="1"/>
      <c r="J43" s="5">
        <f t="shared" si="29"/>
        <v>3.0523600273533846E-2</v>
      </c>
      <c r="K43" s="1"/>
      <c r="L43" s="1">
        <f t="shared" si="30"/>
        <v>500</v>
      </c>
      <c r="M43" s="1"/>
      <c r="N43" s="5">
        <f t="shared" si="31"/>
        <v>0.43569567528472714</v>
      </c>
      <c r="O43" s="14"/>
      <c r="P43" s="1">
        <f>SUM(OSRRefP22_5x_0)</f>
        <v>1647.59</v>
      </c>
      <c r="Q43" s="1"/>
      <c r="R43" s="5">
        <f t="shared" si="32"/>
        <v>9.1729741918062949E-2</v>
      </c>
      <c r="S43" s="1"/>
      <c r="T43" s="1">
        <f>SUM(OSRRefT22_5x_0)</f>
        <v>1147.5899999999999</v>
      </c>
      <c r="U43" s="1"/>
      <c r="V43" s="5">
        <f t="shared" si="33"/>
        <v>3.0523600273533846E-2</v>
      </c>
      <c r="W43" s="1"/>
      <c r="X43" s="1">
        <f t="shared" si="34"/>
        <v>500</v>
      </c>
      <c r="Y43" s="1"/>
      <c r="Z43" s="5">
        <f t="shared" si="35"/>
        <v>0.43569567528472714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1647.59</v>
      </c>
      <c r="E44" s="2"/>
      <c r="F44" s="6">
        <f t="shared" si="28"/>
        <v>9.1729741918062949E-2</v>
      </c>
      <c r="G44" s="2"/>
      <c r="H44" s="7">
        <v>1147.5899999999999</v>
      </c>
      <c r="I44" s="2"/>
      <c r="J44" s="6">
        <f t="shared" si="29"/>
        <v>3.0523600273533846E-2</v>
      </c>
      <c r="K44" s="2"/>
      <c r="L44" s="7">
        <f t="shared" si="30"/>
        <v>500</v>
      </c>
      <c r="M44" s="2"/>
      <c r="N44" s="6">
        <f t="shared" si="31"/>
        <v>0.43569567528472714</v>
      </c>
      <c r="O44" s="11"/>
      <c r="P44" s="7">
        <v>1647.59</v>
      </c>
      <c r="Q44" s="2"/>
      <c r="R44" s="6">
        <f t="shared" si="32"/>
        <v>9.1729741918062949E-2</v>
      </c>
      <c r="S44" s="2"/>
      <c r="T44" s="7">
        <v>1147.5899999999999</v>
      </c>
      <c r="U44" s="2"/>
      <c r="V44" s="6">
        <f t="shared" si="33"/>
        <v>3.0523600273533846E-2</v>
      </c>
      <c r="W44" s="2"/>
      <c r="X44" s="7">
        <f t="shared" si="34"/>
        <v>500</v>
      </c>
      <c r="Y44" s="2"/>
      <c r="Z44" s="6">
        <f t="shared" si="35"/>
        <v>0.43569567528472714</v>
      </c>
    </row>
    <row r="45" spans="1:26" s="28" customFormat="1" outlineLevel="1" collapsed="1" x14ac:dyDescent="0.2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SUM(OSRRefD22_6x_0)</f>
        <v>118.91</v>
      </c>
      <c r="E45" s="1"/>
      <c r="F45" s="5">
        <f t="shared" si="28"/>
        <v>6.6203264231252112E-3</v>
      </c>
      <c r="G45" s="1"/>
      <c r="H45" s="1">
        <f>SUM(OSRRefH22_6x_0)</f>
        <v>118.91</v>
      </c>
      <c r="I45" s="1"/>
      <c r="J45" s="5">
        <f t="shared" si="29"/>
        <v>3.162768330611028E-3</v>
      </c>
      <c r="K45" s="1"/>
      <c r="L45" s="1">
        <f t="shared" si="30"/>
        <v>0</v>
      </c>
      <c r="M45" s="1"/>
      <c r="N45" s="5">
        <f t="shared" si="31"/>
        <v>0</v>
      </c>
      <c r="O45" s="14"/>
      <c r="P45" s="1">
        <f>SUM(OSRRefP22_6x_0)</f>
        <v>118.91</v>
      </c>
      <c r="Q45" s="1"/>
      <c r="R45" s="5">
        <f t="shared" si="32"/>
        <v>6.6203264231252112E-3</v>
      </c>
      <c r="S45" s="1"/>
      <c r="T45" s="1">
        <f>SUM(OSRRefT22_6x_0)</f>
        <v>118.91</v>
      </c>
      <c r="U45" s="1"/>
      <c r="V45" s="5">
        <f t="shared" si="33"/>
        <v>3.162768330611028E-3</v>
      </c>
      <c r="W45" s="1"/>
      <c r="X45" s="1">
        <f t="shared" si="34"/>
        <v>0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"6351", " - ", "EQUIPMENT RENTAL")</f>
        <v xml:space="preserve">          6351 - EQUIPMENT RENTAL</v>
      </c>
      <c r="C46" s="11"/>
      <c r="D46" s="7">
        <v>118.91</v>
      </c>
      <c r="E46" s="2"/>
      <c r="F46" s="6">
        <f t="shared" si="28"/>
        <v>6.6203264231252112E-3</v>
      </c>
      <c r="G46" s="2"/>
      <c r="H46" s="7">
        <v>118.91</v>
      </c>
      <c r="I46" s="2"/>
      <c r="J46" s="6">
        <f t="shared" si="29"/>
        <v>3.162768330611028E-3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118.91</v>
      </c>
      <c r="Q46" s="2"/>
      <c r="R46" s="6">
        <f t="shared" si="32"/>
        <v>6.6203264231252112E-3</v>
      </c>
      <c r="S46" s="2"/>
      <c r="T46" s="7">
        <v>118.91</v>
      </c>
      <c r="U46" s="2"/>
      <c r="V46" s="6">
        <f t="shared" si="33"/>
        <v>3.162768330611028E-3</v>
      </c>
      <c r="W46" s="2"/>
      <c r="X46" s="7">
        <f t="shared" si="34"/>
        <v>0</v>
      </c>
      <c r="Y46" s="2"/>
      <c r="Z46" s="6">
        <f t="shared" si="35"/>
        <v>0</v>
      </c>
    </row>
    <row r="47" spans="1:26" s="28" customFormat="1" outlineLevel="1" collapsed="1" x14ac:dyDescent="0.25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SUM(OSRRefD22_7x_0)</f>
        <v>1066.07</v>
      </c>
      <c r="E47" s="1"/>
      <c r="F47" s="5">
        <f t="shared" si="28"/>
        <v>5.9353556386351806E-2</v>
      </c>
      <c r="G47" s="1"/>
      <c r="H47" s="1">
        <f>SUM(OSRRefH22_7x_0)</f>
        <v>2128.39</v>
      </c>
      <c r="I47" s="1"/>
      <c r="J47" s="5">
        <f t="shared" si="29"/>
        <v>5.6610919915812005E-2</v>
      </c>
      <c r="K47" s="1"/>
      <c r="L47" s="1">
        <f t="shared" si="30"/>
        <v>-1062.32</v>
      </c>
      <c r="M47" s="1"/>
      <c r="N47" s="5">
        <f t="shared" si="31"/>
        <v>-0.49911905242930105</v>
      </c>
      <c r="O47" s="14"/>
      <c r="P47" s="1">
        <f>SUM(OSRRefP22_7x_0)</f>
        <v>1066.07</v>
      </c>
      <c r="Q47" s="1"/>
      <c r="R47" s="5">
        <f t="shared" si="32"/>
        <v>5.9353556386351806E-2</v>
      </c>
      <c r="S47" s="1"/>
      <c r="T47" s="1">
        <f>SUM(OSRRefT22_7x_0)</f>
        <v>2128.39</v>
      </c>
      <c r="U47" s="1"/>
      <c r="V47" s="5">
        <f t="shared" si="33"/>
        <v>5.6610919915812005E-2</v>
      </c>
      <c r="W47" s="1"/>
      <c r="X47" s="1">
        <f t="shared" si="34"/>
        <v>-1062.32</v>
      </c>
      <c r="Y47" s="1"/>
      <c r="Z47" s="5">
        <f t="shared" si="35"/>
        <v>-0.49911905242930105</v>
      </c>
    </row>
    <row r="48" spans="1:26" s="24" customFormat="1" hidden="1" outlineLevel="2" x14ac:dyDescent="0.25">
      <c r="A48" s="29"/>
      <c r="B48" s="11" t="str">
        <f>CONCATENATE("          ", "6279", " - ", "GENERAL EXPENSE")</f>
        <v xml:space="preserve">          6279 - GENERAL EXPENSE</v>
      </c>
      <c r="C48" s="11"/>
      <c r="D48" s="7">
        <v>1066.07</v>
      </c>
      <c r="E48" s="2"/>
      <c r="F48" s="6">
        <f t="shared" si="28"/>
        <v>5.9353556386351806E-2</v>
      </c>
      <c r="G48" s="2"/>
      <c r="H48" s="7">
        <v>2128.39</v>
      </c>
      <c r="I48" s="2"/>
      <c r="J48" s="6">
        <f t="shared" si="29"/>
        <v>5.6610919915812005E-2</v>
      </c>
      <c r="K48" s="2"/>
      <c r="L48" s="7">
        <f t="shared" si="30"/>
        <v>-1062.32</v>
      </c>
      <c r="M48" s="2"/>
      <c r="N48" s="6">
        <f t="shared" si="31"/>
        <v>-0.49911905242930105</v>
      </c>
      <c r="O48" s="11"/>
      <c r="P48" s="7">
        <v>1066.07</v>
      </c>
      <c r="Q48" s="2"/>
      <c r="R48" s="6">
        <f t="shared" si="32"/>
        <v>5.9353556386351806E-2</v>
      </c>
      <c r="S48" s="2"/>
      <c r="T48" s="7">
        <v>2128.39</v>
      </c>
      <c r="U48" s="2"/>
      <c r="V48" s="6">
        <f t="shared" si="33"/>
        <v>5.6610919915812005E-2</v>
      </c>
      <c r="W48" s="2"/>
      <c r="X48" s="7">
        <f t="shared" si="34"/>
        <v>-1062.32</v>
      </c>
      <c r="Y48" s="2"/>
      <c r="Z48" s="6">
        <f t="shared" si="35"/>
        <v>-0.49911905242930105</v>
      </c>
    </row>
    <row r="49" spans="1:26" s="28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2646.57</v>
      </c>
      <c r="E49" s="1"/>
      <c r="F49" s="5">
        <f t="shared" si="28"/>
        <v>0.14734805568623741</v>
      </c>
      <c r="G49" s="1"/>
      <c r="H49" s="1">
        <f>SUM(OSRRefH22_8x_0)</f>
        <v>2892.55</v>
      </c>
      <c r="I49" s="1"/>
      <c r="J49" s="5">
        <f t="shared" si="29"/>
        <v>7.693604856369464E-2</v>
      </c>
      <c r="K49" s="1"/>
      <c r="L49" s="1">
        <f t="shared" si="30"/>
        <v>-245.98000000000002</v>
      </c>
      <c r="M49" s="1"/>
      <c r="N49" s="5">
        <f t="shared" si="31"/>
        <v>-8.5039152305059554E-2</v>
      </c>
      <c r="O49" s="14"/>
      <c r="P49" s="1">
        <f>SUM(OSRRefP22_8x_0)</f>
        <v>2646.57</v>
      </c>
      <c r="Q49" s="1"/>
      <c r="R49" s="5">
        <f t="shared" si="32"/>
        <v>0.14734805568623741</v>
      </c>
      <c r="S49" s="1"/>
      <c r="T49" s="1">
        <f>SUM(OSRRefT22_8x_0)</f>
        <v>2892.55</v>
      </c>
      <c r="U49" s="1"/>
      <c r="V49" s="5">
        <f t="shared" si="33"/>
        <v>7.693604856369464E-2</v>
      </c>
      <c r="W49" s="1"/>
      <c r="X49" s="1">
        <f t="shared" si="34"/>
        <v>-245.98000000000002</v>
      </c>
      <c r="Y49" s="1"/>
      <c r="Z49" s="5">
        <f t="shared" si="35"/>
        <v>-8.5039152305059554E-2</v>
      </c>
    </row>
    <row r="50" spans="1:26" s="24" customFormat="1" hidden="1" outlineLevel="2" x14ac:dyDescent="0.25">
      <c r="A50" s="29"/>
      <c r="B50" s="11" t="str">
        <f>CONCATENATE("          ", "6375", " - ", "OUTSIDE REPAIRS &amp; MAINTENANCE")</f>
        <v xml:space="preserve">          6375 - OUTSIDE REPAIRS &amp; MAINTENANCE</v>
      </c>
      <c r="C50" s="11"/>
      <c r="D50" s="7">
        <v>2646.57</v>
      </c>
      <c r="E50" s="2"/>
      <c r="F50" s="6">
        <f t="shared" si="28"/>
        <v>0.14734805568623741</v>
      </c>
      <c r="G50" s="2"/>
      <c r="H50" s="7">
        <v>2892.55</v>
      </c>
      <c r="I50" s="2"/>
      <c r="J50" s="6">
        <f t="shared" si="29"/>
        <v>7.693604856369464E-2</v>
      </c>
      <c r="K50" s="2"/>
      <c r="L50" s="7">
        <f t="shared" si="30"/>
        <v>-245.98000000000002</v>
      </c>
      <c r="M50" s="2"/>
      <c r="N50" s="6">
        <f t="shared" si="31"/>
        <v>-8.5039152305059554E-2</v>
      </c>
      <c r="O50" s="11"/>
      <c r="P50" s="7">
        <v>2646.57</v>
      </c>
      <c r="Q50" s="2"/>
      <c r="R50" s="6">
        <f t="shared" si="32"/>
        <v>0.14734805568623741</v>
      </c>
      <c r="S50" s="2"/>
      <c r="T50" s="7">
        <v>2892.55</v>
      </c>
      <c r="U50" s="2"/>
      <c r="V50" s="6">
        <f t="shared" si="33"/>
        <v>7.693604856369464E-2</v>
      </c>
      <c r="W50" s="2"/>
      <c r="X50" s="7">
        <f t="shared" si="34"/>
        <v>-245.98000000000002</v>
      </c>
      <c r="Y50" s="2"/>
      <c r="Z50" s="6">
        <f t="shared" si="35"/>
        <v>-8.5039152305059554E-2</v>
      </c>
    </row>
    <row r="51" spans="1:26" s="28" customFormat="1" outlineLevel="1" collapsed="1" x14ac:dyDescent="0.25">
      <c r="A51" s="27"/>
      <c r="B51" s="14" t="str">
        <f>CONCATENATE("     ","Royalty &amp; Commissions                             ")</f>
        <v xml:space="preserve">     Royalty &amp; Commissions                             </v>
      </c>
      <c r="C51" s="14"/>
      <c r="D51" s="1">
        <f>SUM(OSRRefD22_9x_0)</f>
        <v>1436.88</v>
      </c>
      <c r="E51" s="1"/>
      <c r="F51" s="5">
        <f t="shared" si="28"/>
        <v>7.9998441097133582E-2</v>
      </c>
      <c r="G51" s="1"/>
      <c r="H51" s="1">
        <f>SUM(OSRRefH22_9x_0)</f>
        <v>3007.76</v>
      </c>
      <c r="I51" s="1"/>
      <c r="J51" s="5">
        <f t="shared" si="29"/>
        <v>8.0000404289619256E-2</v>
      </c>
      <c r="K51" s="1"/>
      <c r="L51" s="1">
        <f t="shared" si="30"/>
        <v>-1570.88</v>
      </c>
      <c r="M51" s="1"/>
      <c r="N51" s="5">
        <f t="shared" si="31"/>
        <v>-0.52227571348777824</v>
      </c>
      <c r="O51" s="14"/>
      <c r="P51" s="1">
        <f>SUM(OSRRefP22_9x_0)</f>
        <v>1436.88</v>
      </c>
      <c r="Q51" s="1"/>
      <c r="R51" s="5">
        <f t="shared" si="32"/>
        <v>7.9998441097133582E-2</v>
      </c>
      <c r="S51" s="1"/>
      <c r="T51" s="1">
        <f>SUM(OSRRefT22_9x_0)</f>
        <v>3007.76</v>
      </c>
      <c r="U51" s="1"/>
      <c r="V51" s="5">
        <f t="shared" si="33"/>
        <v>8.0000404289619256E-2</v>
      </c>
      <c r="W51" s="1"/>
      <c r="X51" s="1">
        <f t="shared" si="34"/>
        <v>-1570.88</v>
      </c>
      <c r="Y51" s="1"/>
      <c r="Z51" s="5">
        <f t="shared" si="35"/>
        <v>-0.52227571348777824</v>
      </c>
    </row>
    <row r="52" spans="1:26" s="24" customFormat="1" hidden="1" outlineLevel="2" x14ac:dyDescent="0.25">
      <c r="A52" s="29"/>
      <c r="B52" s="11" t="str">
        <f>CONCATENATE("          ", "6259", " - ", "ROYALTY &amp; COMMISSIONS")</f>
        <v xml:space="preserve">          6259 - ROYALTY &amp; COMMISSIONS</v>
      </c>
      <c r="C52" s="11"/>
      <c r="D52" s="7">
        <v>1436.88</v>
      </c>
      <c r="E52" s="2"/>
      <c r="F52" s="6">
        <f t="shared" si="28"/>
        <v>7.9998441097133582E-2</v>
      </c>
      <c r="G52" s="2"/>
      <c r="H52" s="7">
        <v>3007.76</v>
      </c>
      <c r="I52" s="2"/>
      <c r="J52" s="6">
        <f t="shared" si="29"/>
        <v>8.0000404289619256E-2</v>
      </c>
      <c r="K52" s="2"/>
      <c r="L52" s="7">
        <f t="shared" si="30"/>
        <v>-1570.88</v>
      </c>
      <c r="M52" s="2"/>
      <c r="N52" s="6">
        <f t="shared" si="31"/>
        <v>-0.52227571348777824</v>
      </c>
      <c r="O52" s="11"/>
      <c r="P52" s="7">
        <v>1436.88</v>
      </c>
      <c r="Q52" s="2"/>
      <c r="R52" s="6">
        <f t="shared" si="32"/>
        <v>7.9998441097133582E-2</v>
      </c>
      <c r="S52" s="2"/>
      <c r="T52" s="7">
        <v>3007.76</v>
      </c>
      <c r="U52" s="2"/>
      <c r="V52" s="6">
        <f t="shared" si="33"/>
        <v>8.0000404289619256E-2</v>
      </c>
      <c r="W52" s="2"/>
      <c r="X52" s="7">
        <f t="shared" si="34"/>
        <v>-1570.88</v>
      </c>
      <c r="Y52" s="2"/>
      <c r="Z52" s="6">
        <f t="shared" si="35"/>
        <v>-0.52227571348777824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37.36</v>
      </c>
      <c r="E53" s="1"/>
      <c r="F53" s="5">
        <f t="shared" si="28"/>
        <v>2.0800218246401301E-3</v>
      </c>
      <c r="G53" s="1"/>
      <c r="H53" s="1">
        <f>SUM(OSRRefH22_10x_0)</f>
        <v>19.5</v>
      </c>
      <c r="I53" s="1"/>
      <c r="J53" s="5">
        <f t="shared" si="29"/>
        <v>5.1866102469863801E-4</v>
      </c>
      <c r="K53" s="1"/>
      <c r="L53" s="1">
        <f t="shared" si="30"/>
        <v>17.86</v>
      </c>
      <c r="M53" s="1"/>
      <c r="N53" s="5">
        <f t="shared" si="31"/>
        <v>0.91589743589743589</v>
      </c>
      <c r="O53" s="14"/>
      <c r="P53" s="1">
        <f>SUM(OSRRefP22_10x_0)</f>
        <v>37.36</v>
      </c>
      <c r="Q53" s="1"/>
      <c r="R53" s="5">
        <f t="shared" si="32"/>
        <v>2.0800218246401301E-3</v>
      </c>
      <c r="S53" s="1"/>
      <c r="T53" s="1">
        <f>SUM(OSRRefT22_10x_0)</f>
        <v>19.5</v>
      </c>
      <c r="U53" s="1"/>
      <c r="V53" s="5">
        <f t="shared" si="33"/>
        <v>5.1866102469863801E-4</v>
      </c>
      <c r="W53" s="1"/>
      <c r="X53" s="1">
        <f t="shared" si="34"/>
        <v>17.86</v>
      </c>
      <c r="Y53" s="1"/>
      <c r="Z53" s="5">
        <f t="shared" si="35"/>
        <v>0.91589743589743589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>
        <v>37.36</v>
      </c>
      <c r="E54" s="2"/>
      <c r="F54" s="6">
        <f t="shared" si="28"/>
        <v>2.0800218246401301E-3</v>
      </c>
      <c r="G54" s="2"/>
      <c r="H54" s="7">
        <v>19.5</v>
      </c>
      <c r="I54" s="2"/>
      <c r="J54" s="6">
        <f t="shared" si="29"/>
        <v>5.1866102469863801E-4</v>
      </c>
      <c r="K54" s="2"/>
      <c r="L54" s="7">
        <f t="shared" si="30"/>
        <v>17.86</v>
      </c>
      <c r="M54" s="2"/>
      <c r="N54" s="6">
        <f t="shared" si="31"/>
        <v>0.91589743589743589</v>
      </c>
      <c r="O54" s="11"/>
      <c r="P54" s="7">
        <v>37.36</v>
      </c>
      <c r="Q54" s="2"/>
      <c r="R54" s="6">
        <f t="shared" si="32"/>
        <v>2.0800218246401301E-3</v>
      </c>
      <c r="S54" s="2"/>
      <c r="T54" s="7">
        <v>19.5</v>
      </c>
      <c r="U54" s="2"/>
      <c r="V54" s="6">
        <f t="shared" si="33"/>
        <v>5.1866102469863801E-4</v>
      </c>
      <c r="W54" s="2"/>
      <c r="X54" s="7">
        <f t="shared" si="34"/>
        <v>17.86</v>
      </c>
      <c r="Y54" s="2"/>
      <c r="Z54" s="6">
        <f t="shared" si="35"/>
        <v>0.91589743589743589</v>
      </c>
    </row>
    <row r="55" spans="1:26" s="28" customFormat="1" outlineLevel="1" collapsed="1" x14ac:dyDescent="0.25">
      <c r="A55" s="27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0</v>
      </c>
      <c r="E55" s="1"/>
      <c r="F55" s="5">
        <f t="shared" si="28"/>
        <v>0</v>
      </c>
      <c r="G55" s="1"/>
      <c r="H55" s="1">
        <f>SUM(OSRRefH22_11x_0)</f>
        <v>30.68</v>
      </c>
      <c r="I55" s="1"/>
      <c r="J55" s="5">
        <f t="shared" si="29"/>
        <v>8.1602667885919051E-4</v>
      </c>
      <c r="K55" s="1"/>
      <c r="L55" s="1">
        <f t="shared" si="30"/>
        <v>-30.68</v>
      </c>
      <c r="M55" s="1"/>
      <c r="N55" s="5">
        <f t="shared" si="31"/>
        <v>-1</v>
      </c>
      <c r="O55" s="14"/>
      <c r="P55" s="1">
        <f>SUM(OSRRefP22_11x_0)</f>
        <v>0</v>
      </c>
      <c r="Q55" s="1"/>
      <c r="R55" s="5">
        <f t="shared" si="32"/>
        <v>0</v>
      </c>
      <c r="S55" s="1"/>
      <c r="T55" s="1">
        <f>SUM(OSRRefT22_11x_0)</f>
        <v>30.68</v>
      </c>
      <c r="U55" s="1"/>
      <c r="V55" s="5">
        <f t="shared" si="33"/>
        <v>8.1602667885919051E-4</v>
      </c>
      <c r="W55" s="1"/>
      <c r="X55" s="1">
        <f t="shared" si="34"/>
        <v>-30.68</v>
      </c>
      <c r="Y55" s="1"/>
      <c r="Z55" s="5">
        <f t="shared" si="35"/>
        <v>-1</v>
      </c>
    </row>
    <row r="56" spans="1:26" s="24" customFormat="1" hidden="1" outlineLevel="2" x14ac:dyDescent="0.25">
      <c r="A56" s="29"/>
      <c r="B56" s="11" t="str">
        <f>CONCATENATE("          ", "6275", " - ", "SUBSCRIPTIONS")</f>
        <v xml:space="preserve">          6275 - SUBSCRIPTIONS</v>
      </c>
      <c r="C56" s="11"/>
      <c r="D56" s="7"/>
      <c r="E56" s="2"/>
      <c r="F56" s="6">
        <f t="shared" si="28"/>
        <v>0</v>
      </c>
      <c r="G56" s="2"/>
      <c r="H56" s="7">
        <v>30.68</v>
      </c>
      <c r="I56" s="2"/>
      <c r="J56" s="6">
        <f t="shared" si="29"/>
        <v>8.1602667885919051E-4</v>
      </c>
      <c r="K56" s="2"/>
      <c r="L56" s="7">
        <f t="shared" si="30"/>
        <v>-30.68</v>
      </c>
      <c r="M56" s="2"/>
      <c r="N56" s="6">
        <f t="shared" si="31"/>
        <v>-1</v>
      </c>
      <c r="O56" s="11"/>
      <c r="P56" s="7"/>
      <c r="Q56" s="2"/>
      <c r="R56" s="6">
        <f t="shared" si="32"/>
        <v>0</v>
      </c>
      <c r="S56" s="2"/>
      <c r="T56" s="7">
        <v>30.68</v>
      </c>
      <c r="U56" s="2"/>
      <c r="V56" s="6">
        <f t="shared" si="33"/>
        <v>8.1602667885919051E-4</v>
      </c>
      <c r="W56" s="2"/>
      <c r="X56" s="7">
        <f t="shared" si="34"/>
        <v>-30.68</v>
      </c>
      <c r="Y56" s="2"/>
      <c r="Z56" s="6">
        <f t="shared" si="35"/>
        <v>-1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2931.3099999999995</v>
      </c>
      <c r="E57" s="1"/>
      <c r="F57" s="5">
        <f t="shared" si="28"/>
        <v>0.16320098433580993</v>
      </c>
      <c r="G57" s="1"/>
      <c r="H57" s="1">
        <f>SUM(OSRRefH22_12x_0)</f>
        <v>365.71999999999997</v>
      </c>
      <c r="I57" s="1"/>
      <c r="J57" s="5">
        <f t="shared" si="29"/>
        <v>9.7274210232197889E-3</v>
      </c>
      <c r="K57" s="1"/>
      <c r="L57" s="1">
        <f t="shared" si="30"/>
        <v>2565.5899999999997</v>
      </c>
      <c r="M57" s="1"/>
      <c r="N57" s="5">
        <f t="shared" si="31"/>
        <v>7.0151755441321226</v>
      </c>
      <c r="O57" s="14"/>
      <c r="P57" s="1">
        <f>SUM(OSRRefP22_12x_0)</f>
        <v>2931.3099999999995</v>
      </c>
      <c r="Q57" s="1"/>
      <c r="R57" s="5">
        <f t="shared" si="32"/>
        <v>0.16320098433580993</v>
      </c>
      <c r="S57" s="1"/>
      <c r="T57" s="1">
        <f>SUM(OSRRefT22_12x_0)</f>
        <v>365.71999999999997</v>
      </c>
      <c r="U57" s="1"/>
      <c r="V57" s="5">
        <f t="shared" si="33"/>
        <v>9.7274210232197889E-3</v>
      </c>
      <c r="W57" s="1"/>
      <c r="X57" s="1">
        <f t="shared" si="34"/>
        <v>2565.5899999999997</v>
      </c>
      <c r="Y57" s="1"/>
      <c r="Z57" s="5">
        <f t="shared" si="35"/>
        <v>7.0151755441321226</v>
      </c>
    </row>
    <row r="58" spans="1:26" s="24" customFormat="1" hidden="1" outlineLevel="2" x14ac:dyDescent="0.25">
      <c r="A58" s="29"/>
      <c r="B58" s="11" t="str">
        <f>CONCATENATE("          ", "6239", " - ", "KITCHEN SUPPLIES")</f>
        <v xml:space="preserve">          6239 - KITCHEN SUPPLIES</v>
      </c>
      <c r="C58" s="11"/>
      <c r="D58" s="7">
        <v>1176.58</v>
      </c>
      <c r="E58" s="2"/>
      <c r="F58" s="6">
        <f t="shared" si="28"/>
        <v>6.5506211949547227E-2</v>
      </c>
      <c r="G58" s="2"/>
      <c r="H58" s="7">
        <v>147.78</v>
      </c>
      <c r="I58" s="2"/>
      <c r="J58" s="6">
        <f t="shared" si="29"/>
        <v>3.9306526271776785E-3</v>
      </c>
      <c r="K58" s="2"/>
      <c r="L58" s="7">
        <f t="shared" si="30"/>
        <v>1028.8</v>
      </c>
      <c r="M58" s="2"/>
      <c r="N58" s="6">
        <f t="shared" si="31"/>
        <v>6.9616998240627961</v>
      </c>
      <c r="O58" s="11"/>
      <c r="P58" s="7">
        <v>1176.58</v>
      </c>
      <c r="Q58" s="2"/>
      <c r="R58" s="6">
        <f t="shared" si="32"/>
        <v>6.5506211949547227E-2</v>
      </c>
      <c r="S58" s="2"/>
      <c r="T58" s="7">
        <v>147.78</v>
      </c>
      <c r="U58" s="2"/>
      <c r="V58" s="6">
        <f t="shared" si="33"/>
        <v>3.9306526271776785E-3</v>
      </c>
      <c r="W58" s="2"/>
      <c r="X58" s="7">
        <f t="shared" si="34"/>
        <v>1028.8</v>
      </c>
      <c r="Y58" s="2"/>
      <c r="Z58" s="6">
        <f t="shared" si="35"/>
        <v>6.9616998240627961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7">
        <v>1074.28</v>
      </c>
      <c r="E59" s="2"/>
      <c r="F59" s="6">
        <f t="shared" si="28"/>
        <v>5.9810648976830812E-2</v>
      </c>
      <c r="G59" s="2"/>
      <c r="H59" s="7">
        <v>50</v>
      </c>
      <c r="I59" s="2"/>
      <c r="J59" s="6">
        <f t="shared" si="29"/>
        <v>1.3299000633298411E-3</v>
      </c>
      <c r="K59" s="2"/>
      <c r="L59" s="7">
        <f t="shared" si="30"/>
        <v>1024.28</v>
      </c>
      <c r="M59" s="2"/>
      <c r="N59" s="6">
        <f t="shared" si="31"/>
        <v>20.485599999999998</v>
      </c>
      <c r="O59" s="11"/>
      <c r="P59" s="7">
        <v>1074.28</v>
      </c>
      <c r="Q59" s="2"/>
      <c r="R59" s="6">
        <f t="shared" si="32"/>
        <v>5.9810648976830812E-2</v>
      </c>
      <c r="S59" s="2"/>
      <c r="T59" s="7">
        <v>50</v>
      </c>
      <c r="U59" s="2"/>
      <c r="V59" s="6">
        <f t="shared" si="33"/>
        <v>1.3299000633298411E-3</v>
      </c>
      <c r="W59" s="2"/>
      <c r="X59" s="7">
        <f t="shared" si="34"/>
        <v>1024.28</v>
      </c>
      <c r="Y59" s="2"/>
      <c r="Z59" s="6">
        <f t="shared" si="35"/>
        <v>20.485599999999998</v>
      </c>
    </row>
    <row r="60" spans="1:26" s="24" customFormat="1" hidden="1" outlineLevel="2" x14ac:dyDescent="0.25">
      <c r="A60" s="29"/>
      <c r="B60" s="11" t="str">
        <f>CONCATENATE("          ", "6243", " - ", "PAPER SUPPLIES")</f>
        <v xml:space="preserve">          6243 - PAPER SUPPLIES</v>
      </c>
      <c r="C60" s="11"/>
      <c r="D60" s="7">
        <v>565.70000000000005</v>
      </c>
      <c r="E60" s="2"/>
      <c r="F60" s="6">
        <f t="shared" si="28"/>
        <v>3.1495405412176707E-2</v>
      </c>
      <c r="G60" s="2"/>
      <c r="H60" s="7">
        <v>67.739999999999995</v>
      </c>
      <c r="I60" s="2"/>
      <c r="J60" s="6">
        <f t="shared" si="29"/>
        <v>1.8017486057992685E-3</v>
      </c>
      <c r="K60" s="2"/>
      <c r="L60" s="7">
        <f t="shared" si="30"/>
        <v>497.96000000000004</v>
      </c>
      <c r="M60" s="2"/>
      <c r="N60" s="6">
        <f t="shared" si="31"/>
        <v>7.3510481251845299</v>
      </c>
      <c r="O60" s="11"/>
      <c r="P60" s="7">
        <v>565.70000000000005</v>
      </c>
      <c r="Q60" s="2"/>
      <c r="R60" s="6">
        <f t="shared" si="32"/>
        <v>3.1495405412176707E-2</v>
      </c>
      <c r="S60" s="2"/>
      <c r="T60" s="7">
        <v>67.739999999999995</v>
      </c>
      <c r="U60" s="2"/>
      <c r="V60" s="6">
        <f t="shared" si="33"/>
        <v>1.8017486057992685E-3</v>
      </c>
      <c r="W60" s="2"/>
      <c r="X60" s="7">
        <f t="shared" si="34"/>
        <v>497.96000000000004</v>
      </c>
      <c r="Y60" s="2"/>
      <c r="Z60" s="6">
        <f t="shared" si="35"/>
        <v>7.3510481251845299</v>
      </c>
    </row>
    <row r="61" spans="1:26" s="24" customFormat="1" hidden="1" outlineLevel="2" x14ac:dyDescent="0.25">
      <c r="A61" s="29"/>
      <c r="B61" s="11" t="str">
        <f>CONCATENATE("          ", "6245", " - ", "PRINTING")</f>
        <v xml:space="preserve">          6245 - PRINTING</v>
      </c>
      <c r="C61" s="11"/>
      <c r="D61" s="7">
        <v>114.75</v>
      </c>
      <c r="E61" s="2"/>
      <c r="F61" s="6">
        <f t="shared" si="28"/>
        <v>6.388717997255218E-3</v>
      </c>
      <c r="G61" s="2"/>
      <c r="H61" s="7"/>
      <c r="I61" s="2"/>
      <c r="J61" s="6">
        <f t="shared" si="29"/>
        <v>0</v>
      </c>
      <c r="K61" s="2"/>
      <c r="L61" s="7">
        <f t="shared" si="30"/>
        <v>114.75</v>
      </c>
      <c r="M61" s="2"/>
      <c r="N61" s="6">
        <f t="shared" si="31"/>
        <v>0</v>
      </c>
      <c r="O61" s="11"/>
      <c r="P61" s="7">
        <v>114.75</v>
      </c>
      <c r="Q61" s="2"/>
      <c r="R61" s="6">
        <f t="shared" si="32"/>
        <v>6.388717997255218E-3</v>
      </c>
      <c r="S61" s="2"/>
      <c r="T61" s="7"/>
      <c r="U61" s="2"/>
      <c r="V61" s="6">
        <f t="shared" si="33"/>
        <v>0</v>
      </c>
      <c r="W61" s="2"/>
      <c r="X61" s="7">
        <f t="shared" si="34"/>
        <v>114.75</v>
      </c>
      <c r="Y61" s="2"/>
      <c r="Z61" s="6">
        <f t="shared" si="35"/>
        <v>0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28"/>
        <v>0</v>
      </c>
      <c r="G62" s="2"/>
      <c r="H62" s="7">
        <v>100.2</v>
      </c>
      <c r="I62" s="2"/>
      <c r="J62" s="6">
        <f t="shared" si="29"/>
        <v>2.6651197269130017E-3</v>
      </c>
      <c r="K62" s="2"/>
      <c r="L62" s="7">
        <f t="shared" si="30"/>
        <v>-100.2</v>
      </c>
      <c r="M62" s="2"/>
      <c r="N62" s="6">
        <f t="shared" si="31"/>
        <v>-1</v>
      </c>
      <c r="O62" s="11"/>
      <c r="P62" s="7"/>
      <c r="Q62" s="2"/>
      <c r="R62" s="6">
        <f t="shared" si="32"/>
        <v>0</v>
      </c>
      <c r="S62" s="2"/>
      <c r="T62" s="7">
        <v>100.2</v>
      </c>
      <c r="U62" s="2"/>
      <c r="V62" s="6">
        <f t="shared" si="33"/>
        <v>2.6651197269130017E-3</v>
      </c>
      <c r="W62" s="2"/>
      <c r="X62" s="7">
        <f t="shared" si="34"/>
        <v>-100.2</v>
      </c>
      <c r="Y62" s="2"/>
      <c r="Z62" s="6">
        <f t="shared" si="35"/>
        <v>-1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SUM(OSRRefD22_13x_0)</f>
        <v>-95</v>
      </c>
      <c r="E63" s="1"/>
      <c r="F63" s="5">
        <f t="shared" ref="F63:F64" si="36">IF(D$12=0,0,D63/D$12)</f>
        <v>-5.2891347253964764E-3</v>
      </c>
      <c r="G63" s="1"/>
      <c r="H63" s="1">
        <f>SUM(OSRRefH22_13x_0)</f>
        <v>-45</v>
      </c>
      <c r="I63" s="1"/>
      <c r="J63" s="5">
        <f t="shared" ref="J63:J64" si="37">IF(H$12=0,0,H63/H$12)</f>
        <v>-1.1969100569968569E-3</v>
      </c>
      <c r="K63" s="1"/>
      <c r="L63" s="1">
        <f t="shared" ref="L63:L64" si="38">+D63-H63</f>
        <v>-50</v>
      </c>
      <c r="M63" s="1"/>
      <c r="N63" s="5">
        <f t="shared" ref="N63:N64" si="39">IF(H63=0,0,L63/H63)</f>
        <v>1.1111111111111112</v>
      </c>
      <c r="O63" s="14"/>
      <c r="P63" s="1">
        <f>SUM(OSRRefP22_13x_0)</f>
        <v>-95</v>
      </c>
      <c r="Q63" s="1"/>
      <c r="R63" s="5">
        <f t="shared" ref="R63:R64" si="40">IF(P$12=0,0,P63/P$12)</f>
        <v>-5.2891347253964764E-3</v>
      </c>
      <c r="S63" s="1"/>
      <c r="T63" s="1">
        <f>SUM(OSRRefT22_13x_0)</f>
        <v>-45</v>
      </c>
      <c r="U63" s="1"/>
      <c r="V63" s="5">
        <f t="shared" ref="V63:V64" si="41">IF(T$12=0,0,T63/T$12)</f>
        <v>-1.1969100569968569E-3</v>
      </c>
      <c r="W63" s="1"/>
      <c r="X63" s="1">
        <f t="shared" ref="X63:X64" si="42">+P63-T63</f>
        <v>-50</v>
      </c>
      <c r="Y63" s="1"/>
      <c r="Z63" s="5">
        <f t="shared" ref="Z63:Z64" si="43">IF(T63=0,0,X63/T63)</f>
        <v>1.1111111111111112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-95</v>
      </c>
      <c r="E64" s="2"/>
      <c r="F64" s="6">
        <f t="shared" si="36"/>
        <v>-5.2891347253964764E-3</v>
      </c>
      <c r="G64" s="2"/>
      <c r="H64" s="7">
        <v>-45</v>
      </c>
      <c r="I64" s="2"/>
      <c r="J64" s="6">
        <f t="shared" si="37"/>
        <v>-1.1969100569968569E-3</v>
      </c>
      <c r="K64" s="2"/>
      <c r="L64" s="7">
        <f t="shared" si="38"/>
        <v>-50</v>
      </c>
      <c r="M64" s="2"/>
      <c r="N64" s="6">
        <f t="shared" si="39"/>
        <v>1.1111111111111112</v>
      </c>
      <c r="O64" s="11"/>
      <c r="P64" s="7">
        <v>-95</v>
      </c>
      <c r="Q64" s="2"/>
      <c r="R64" s="6">
        <f t="shared" si="40"/>
        <v>-5.2891347253964764E-3</v>
      </c>
      <c r="S64" s="2"/>
      <c r="T64" s="7">
        <v>-45</v>
      </c>
      <c r="U64" s="2"/>
      <c r="V64" s="6">
        <f t="shared" si="41"/>
        <v>-1.1969100569968569E-3</v>
      </c>
      <c r="W64" s="2"/>
      <c r="X64" s="7">
        <f t="shared" si="42"/>
        <v>-50</v>
      </c>
      <c r="Y64" s="2"/>
      <c r="Z64" s="6">
        <f t="shared" si="43"/>
        <v>1.1111111111111112</v>
      </c>
    </row>
    <row r="65" spans="1:26" s="54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5" t="s">
        <v>3</v>
      </c>
      <c r="C68" s="25"/>
      <c r="D68" s="21">
        <f>+D20-D22+D66</f>
        <v>-13670.500000000004</v>
      </c>
      <c r="E68" s="13"/>
      <c r="F68" s="20">
        <f>IF(D$12=0,0,D68/D$12)</f>
        <v>-0.76110648698455319</v>
      </c>
      <c r="G68" s="13"/>
      <c r="H68" s="21">
        <f>+H20-H22+H66</f>
        <v>-6631.4900000000016</v>
      </c>
      <c r="I68" s="13"/>
      <c r="J68" s="20">
        <f>IF(H$12=0,0,H68/H$12)</f>
        <v>-0.1763843794194242</v>
      </c>
      <c r="K68" s="16"/>
      <c r="L68" s="21">
        <f>+D68-H68</f>
        <v>-7039.010000000002</v>
      </c>
      <c r="M68" s="16"/>
      <c r="N68" s="20">
        <f>IF(H68=0,0,L68/H68)</f>
        <v>1.0614522528119623</v>
      </c>
      <c r="O68" s="26"/>
      <c r="P68" s="21">
        <f>+P20-P22+P66</f>
        <v>-13670.500000000004</v>
      </c>
      <c r="Q68" s="13"/>
      <c r="R68" s="20">
        <f>IF(P$12=0,0,P68/P$12)</f>
        <v>-0.76110648698455319</v>
      </c>
      <c r="S68" s="13"/>
      <c r="T68" s="21">
        <f>+T20-T22+T66</f>
        <v>-6631.4900000000016</v>
      </c>
      <c r="U68" s="13"/>
      <c r="V68" s="20">
        <f>IF(T$12=0,0,T68/T$12)</f>
        <v>-0.1763843794194242</v>
      </c>
      <c r="W68" s="16"/>
      <c r="X68" s="21">
        <f>+P68-T68</f>
        <v>-7039.010000000002</v>
      </c>
      <c r="Y68" s="16"/>
      <c r="Z68" s="20">
        <f>IF(T68=0,0,X68/T68)</f>
        <v>1.0614522528119623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3734.69</v>
      </c>
      <c r="E70" s="4"/>
      <c r="F70" s="12">
        <f>IF(D$12=0,0,D70/D$12)</f>
        <v>0.20792924807990493</v>
      </c>
      <c r="G70" s="4"/>
      <c r="H70" s="4">
        <v>7718.65</v>
      </c>
      <c r="I70" s="4"/>
      <c r="J70" s="12">
        <f>IF(H$12=0,0,H70/H$12)</f>
        <v>0.20530066247641754</v>
      </c>
      <c r="K70" s="4"/>
      <c r="L70" s="4">
        <f>+D70-H70</f>
        <v>-3983.9599999999996</v>
      </c>
      <c r="M70" s="4"/>
      <c r="N70" s="12">
        <f>IF(H70=0,0,L70/H70)</f>
        <v>-0.51614725372960291</v>
      </c>
      <c r="O70" s="10"/>
      <c r="P70" s="4">
        <v>3734.69</v>
      </c>
      <c r="Q70" s="4"/>
      <c r="R70" s="12">
        <f>IF(P$12=0,0,P70/P$12)</f>
        <v>0.20792924807990493</v>
      </c>
      <c r="S70" s="4"/>
      <c r="T70" s="4">
        <v>7718.65</v>
      </c>
      <c r="U70" s="4"/>
      <c r="V70" s="12">
        <f>IF(T$12=0,0,T70/T$12)</f>
        <v>0.20530066247641754</v>
      </c>
      <c r="W70" s="4"/>
      <c r="X70" s="4">
        <f>+P70-T70</f>
        <v>-3983.9599999999996</v>
      </c>
      <c r="Y70" s="4"/>
      <c r="Z70" s="12">
        <f>IF(T70=0,0,X70/T70)</f>
        <v>-0.51614725372960291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4</v>
      </c>
      <c r="C72" s="25"/>
      <c r="D72" s="33">
        <f>+D68-D70</f>
        <v>-17405.190000000002</v>
      </c>
      <c r="E72" s="13"/>
      <c r="F72" s="34">
        <f>IF(D$12=0,0,D72/D$12)</f>
        <v>-0.96903573506445806</v>
      </c>
      <c r="G72" s="13"/>
      <c r="H72" s="33">
        <f>+H68-H70</f>
        <v>-14350.140000000001</v>
      </c>
      <c r="I72" s="13"/>
      <c r="J72" s="34">
        <f>IF(H$12=0,0,H72/H$12)</f>
        <v>-0.38168504189584174</v>
      </c>
      <c r="K72" s="16"/>
      <c r="L72" s="33">
        <f>D72-H72</f>
        <v>-3055.0500000000011</v>
      </c>
      <c r="M72" s="16"/>
      <c r="N72" s="34">
        <f>IF(H72=0,0,L72/H72)</f>
        <v>0.21289339337455948</v>
      </c>
      <c r="O72" s="26"/>
      <c r="P72" s="33">
        <f>+P68-P70</f>
        <v>-17405.190000000002</v>
      </c>
      <c r="Q72" s="13"/>
      <c r="R72" s="34">
        <f>IF(P$12=0,0,P72/P$12)</f>
        <v>-0.96903573506445806</v>
      </c>
      <c r="S72" s="13"/>
      <c r="T72" s="33">
        <f>+T68-T70</f>
        <v>-14350.140000000001</v>
      </c>
      <c r="U72" s="13"/>
      <c r="V72" s="34">
        <f>IF(T$12=0,0,T72/T$12)</f>
        <v>-0.38168504189584174</v>
      </c>
      <c r="W72" s="16"/>
      <c r="X72" s="33">
        <f>P72-T72</f>
        <v>-3055.0500000000011</v>
      </c>
      <c r="Y72" s="16"/>
      <c r="Z72" s="34">
        <f>IF(T72=0,0,X72/T72)</f>
        <v>0.21289339337455948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5</v>
      </c>
      <c r="C75" s="25"/>
      <c r="D75" s="31">
        <f>SUM(D72:D74)</f>
        <v>-17405.190000000002</v>
      </c>
      <c r="E75" s="13"/>
      <c r="F75" s="30">
        <f>IF(D$12=0,0,D75/D$12)</f>
        <v>-0.96903573506445806</v>
      </c>
      <c r="G75" s="13"/>
      <c r="H75" s="31">
        <f>SUM(H72:H74)</f>
        <v>-14350.140000000001</v>
      </c>
      <c r="I75" s="13"/>
      <c r="J75" s="30">
        <f>IF(H$12=0,0,H75/H$12)</f>
        <v>-0.38168504189584174</v>
      </c>
      <c r="K75" s="16"/>
      <c r="L75" s="31">
        <f>+D75-H75</f>
        <v>-3055.0500000000011</v>
      </c>
      <c r="M75" s="16"/>
      <c r="N75" s="30">
        <f>IF(H75=0,0,L75/H75)</f>
        <v>0.21289339337455948</v>
      </c>
      <c r="O75" s="26"/>
      <c r="P75" s="31">
        <f>SUM(P72:P74)</f>
        <v>-17405.190000000002</v>
      </c>
      <c r="Q75" s="13"/>
      <c r="R75" s="30">
        <f>IF(P$12=0,0,P75/P$12)</f>
        <v>-0.96903573506445806</v>
      </c>
      <c r="S75" s="13"/>
      <c r="T75" s="31">
        <f>SUM(T72:T74)</f>
        <v>-14350.140000000001</v>
      </c>
      <c r="U75" s="13"/>
      <c r="V75" s="30">
        <f>IF(T$12=0,0,T75/T$12)</f>
        <v>-0.38168504189584174</v>
      </c>
      <c r="W75" s="16"/>
      <c r="X75" s="31">
        <f>+P75-T75</f>
        <v>-3055.0500000000011</v>
      </c>
      <c r="Y75" s="16"/>
      <c r="Z75" s="30">
        <f>IF(T75=0,0,X75/T75)</f>
        <v>0.21289339337455948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43726.682250081016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3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25312.87</v>
      </c>
      <c r="E12" s="4"/>
      <c r="F12" s="12"/>
      <c r="G12" s="4"/>
      <c r="H12" s="4">
        <f>SUM(OSRRefH13x_0)</f>
        <v>23913.599999999999</v>
      </c>
      <c r="I12" s="4"/>
      <c r="J12" s="12"/>
      <c r="K12" s="4"/>
      <c r="L12" s="4">
        <f t="shared" ref="L12:L14" si="0">+D12-H12</f>
        <v>1399.2700000000004</v>
      </c>
      <c r="M12" s="4"/>
      <c r="N12" s="12">
        <f t="shared" ref="N12:N14" si="1">IF(H12=0,0,L12/H12)</f>
        <v>5.8513565502475599E-2</v>
      </c>
      <c r="O12" s="10"/>
      <c r="P12" s="4">
        <f>SUM(OSRRefP13x_0)</f>
        <v>25312.87</v>
      </c>
      <c r="Q12" s="4"/>
      <c r="R12" s="12"/>
      <c r="S12" s="4"/>
      <c r="T12" s="4">
        <f>SUM(OSRRefT13x_0)</f>
        <v>23913.599999999999</v>
      </c>
      <c r="U12" s="4"/>
      <c r="V12" s="12"/>
      <c r="W12" s="4"/>
      <c r="X12" s="4">
        <f t="shared" ref="X12:X14" si="2">+P12-T12</f>
        <v>1399.2700000000004</v>
      </c>
      <c r="Y12" s="4"/>
      <c r="Z12" s="12">
        <f t="shared" ref="Z12:Z14" si="3">IF(T12=0,0,X12/T12)</f>
        <v>5.8513565502475599E-2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--9771.4</f>
        <v>9771.4</v>
      </c>
      <c r="E13" s="2"/>
      <c r="F13" s="22"/>
      <c r="G13" s="2"/>
      <c r="H13" s="2">
        <f>--15434.05</f>
        <v>15434.05</v>
      </c>
      <c r="I13" s="2"/>
      <c r="J13" s="22"/>
      <c r="K13" s="2"/>
      <c r="L13" s="2">
        <f t="shared" si="0"/>
        <v>-5662.65</v>
      </c>
      <c r="M13" s="2"/>
      <c r="N13" s="22">
        <f t="shared" si="1"/>
        <v>-0.36689333000735386</v>
      </c>
      <c r="O13" s="11"/>
      <c r="P13" s="2">
        <f>--9771.4</f>
        <v>9771.4</v>
      </c>
      <c r="Q13" s="2"/>
      <c r="R13" s="22"/>
      <c r="S13" s="2"/>
      <c r="T13" s="2">
        <f>--15434.05</f>
        <v>15434.05</v>
      </c>
      <c r="U13" s="2"/>
      <c r="V13" s="22"/>
      <c r="W13" s="2"/>
      <c r="X13" s="2">
        <f t="shared" si="2"/>
        <v>-5662.65</v>
      </c>
      <c r="Y13" s="2"/>
      <c r="Z13" s="22">
        <f t="shared" si="3"/>
        <v>-0.36689333000735386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--15541.47</f>
        <v>15541.47</v>
      </c>
      <c r="E14" s="2"/>
      <c r="F14" s="22"/>
      <c r="G14" s="2"/>
      <c r="H14" s="2">
        <f>--8479.55</f>
        <v>8479.5499999999993</v>
      </c>
      <c r="I14" s="2"/>
      <c r="J14" s="22"/>
      <c r="K14" s="2"/>
      <c r="L14" s="2">
        <f t="shared" si="0"/>
        <v>7061.92</v>
      </c>
      <c r="M14" s="2"/>
      <c r="N14" s="22">
        <f t="shared" si="1"/>
        <v>0.83281777924536093</v>
      </c>
      <c r="O14" s="11"/>
      <c r="P14" s="2">
        <f>--15541.47</f>
        <v>15541.47</v>
      </c>
      <c r="Q14" s="2"/>
      <c r="R14" s="22"/>
      <c r="S14" s="2"/>
      <c r="T14" s="2">
        <f>--8479.55</f>
        <v>8479.5499999999993</v>
      </c>
      <c r="U14" s="2"/>
      <c r="V14" s="22"/>
      <c r="W14" s="2"/>
      <c r="X14" s="2">
        <f t="shared" si="2"/>
        <v>7061.92</v>
      </c>
      <c r="Y14" s="2"/>
      <c r="Z14" s="22">
        <f t="shared" si="3"/>
        <v>0.83281777924536093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6079.92</v>
      </c>
      <c r="E16" s="4"/>
      <c r="F16" s="12">
        <f t="shared" ref="F16:F18" si="4">IF(D$12=0,0,D16/D$12)</f>
        <v>0.24019085943237573</v>
      </c>
      <c r="G16" s="4"/>
      <c r="H16" s="4">
        <f>SUM(OSRRefH16x_0)</f>
        <v>8179.15</v>
      </c>
      <c r="I16" s="4"/>
      <c r="J16" s="12">
        <f t="shared" ref="J16:J18" si="5">IF(H$12=0,0,H16/H$12)</f>
        <v>0.34202922186538204</v>
      </c>
      <c r="K16" s="4"/>
      <c r="L16" s="4">
        <f t="shared" ref="L16:L18" si="6">+D16-H16</f>
        <v>-2099.2299999999996</v>
      </c>
      <c r="M16" s="4"/>
      <c r="N16" s="12">
        <f t="shared" ref="N16:N18" si="7">IF(H16=0,0,L16/H16)</f>
        <v>-0.25665625401172487</v>
      </c>
      <c r="O16" s="10"/>
      <c r="P16" s="4">
        <f>SUM(OSRRefP16x_0)</f>
        <v>6079.92</v>
      </c>
      <c r="Q16" s="4"/>
      <c r="R16" s="12">
        <f t="shared" ref="R16:R18" si="8">IF(P$12=0,0,P16/P$12)</f>
        <v>0.24019085943237573</v>
      </c>
      <c r="S16" s="4"/>
      <c r="T16" s="4">
        <f>SUM(OSRRefT16x_0)</f>
        <v>8179.15</v>
      </c>
      <c r="U16" s="4"/>
      <c r="V16" s="12">
        <f t="shared" ref="V16:V18" si="9">IF(T$12=0,0,T16/T$12)</f>
        <v>0.34202922186538204</v>
      </c>
      <c r="W16" s="4"/>
      <c r="X16" s="4">
        <f t="shared" ref="X16:X18" si="10">+P16-T16</f>
        <v>-2099.2299999999996</v>
      </c>
      <c r="Y16" s="4"/>
      <c r="Z16" s="12">
        <f t="shared" ref="Z16:Z18" si="11">IF(T16=0,0,X16/T16)</f>
        <v>-0.25665625401172487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8059.92</v>
      </c>
      <c r="E17" s="2"/>
      <c r="F17" s="22">
        <f t="shared" si="4"/>
        <v>0.31841193827487757</v>
      </c>
      <c r="G17" s="2"/>
      <c r="H17" s="2">
        <v>7995.15</v>
      </c>
      <c r="I17" s="2"/>
      <c r="J17" s="22">
        <f t="shared" si="5"/>
        <v>0.33433485547972702</v>
      </c>
      <c r="K17" s="2"/>
      <c r="L17" s="2">
        <f t="shared" si="6"/>
        <v>64.770000000000437</v>
      </c>
      <c r="M17" s="2"/>
      <c r="N17" s="22">
        <f t="shared" si="7"/>
        <v>8.1011613290557956E-3</v>
      </c>
      <c r="O17" s="11"/>
      <c r="P17" s="2">
        <v>8059.92</v>
      </c>
      <c r="Q17" s="2"/>
      <c r="R17" s="22">
        <f t="shared" si="8"/>
        <v>0.31841193827487757</v>
      </c>
      <c r="S17" s="2"/>
      <c r="T17" s="2">
        <v>7995.15</v>
      </c>
      <c r="U17" s="2"/>
      <c r="V17" s="22">
        <f t="shared" si="9"/>
        <v>0.33433485547972702</v>
      </c>
      <c r="W17" s="2"/>
      <c r="X17" s="2">
        <f t="shared" si="10"/>
        <v>64.770000000000437</v>
      </c>
      <c r="Y17" s="2"/>
      <c r="Z17" s="22">
        <f t="shared" si="11"/>
        <v>8.1011613290557956E-3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-1980</v>
      </c>
      <c r="E18" s="2"/>
      <c r="F18" s="22">
        <f t="shared" si="4"/>
        <v>-7.8221078842501859E-2</v>
      </c>
      <c r="G18" s="2"/>
      <c r="H18" s="2">
        <v>184</v>
      </c>
      <c r="I18" s="2"/>
      <c r="J18" s="22">
        <f t="shared" si="5"/>
        <v>7.6943663856550255E-3</v>
      </c>
      <c r="K18" s="2"/>
      <c r="L18" s="2">
        <f t="shared" si="6"/>
        <v>-2164</v>
      </c>
      <c r="M18" s="2"/>
      <c r="N18" s="22">
        <f t="shared" si="7"/>
        <v>-11.760869565217391</v>
      </c>
      <c r="O18" s="11"/>
      <c r="P18" s="2">
        <v>-1980</v>
      </c>
      <c r="Q18" s="2"/>
      <c r="R18" s="22">
        <f t="shared" si="8"/>
        <v>-7.8221078842501859E-2</v>
      </c>
      <c r="S18" s="2"/>
      <c r="T18" s="2">
        <v>184</v>
      </c>
      <c r="U18" s="2"/>
      <c r="V18" s="22">
        <f t="shared" si="9"/>
        <v>7.6943663856550255E-3</v>
      </c>
      <c r="W18" s="2"/>
      <c r="X18" s="2">
        <f t="shared" si="10"/>
        <v>-2164</v>
      </c>
      <c r="Y18" s="2"/>
      <c r="Z18" s="22">
        <f t="shared" si="11"/>
        <v>-11.760869565217391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19232.949999999997</v>
      </c>
      <c r="E20" s="13"/>
      <c r="F20" s="20">
        <f>IF(D$12=0,0,D20/D$12)</f>
        <v>0.75980914056762416</v>
      </c>
      <c r="G20" s="13"/>
      <c r="H20" s="21">
        <f>H12-H16</f>
        <v>15734.449999999999</v>
      </c>
      <c r="I20" s="13"/>
      <c r="J20" s="20">
        <f>IF(H$12=0,0,H20/H$12)</f>
        <v>0.65797077813461791</v>
      </c>
      <c r="K20" s="16"/>
      <c r="L20" s="21">
        <f>+D20-H20</f>
        <v>3498.4999999999982</v>
      </c>
      <c r="M20" s="16"/>
      <c r="N20" s="20">
        <f>IF(H20=0,0,L20/H20)</f>
        <v>0.22234650718646018</v>
      </c>
      <c r="O20" s="26"/>
      <c r="P20" s="21">
        <f>P12-P16</f>
        <v>19232.949999999997</v>
      </c>
      <c r="Q20" s="13"/>
      <c r="R20" s="20">
        <f>IF(P$12=0,0,P20/P$12)</f>
        <v>0.75980914056762416</v>
      </c>
      <c r="S20" s="13"/>
      <c r="T20" s="21">
        <f>T12-T16</f>
        <v>15734.449999999999</v>
      </c>
      <c r="U20" s="13"/>
      <c r="V20" s="20">
        <f>IF(T$12=0,0,T20/T$12)</f>
        <v>0.65797077813461791</v>
      </c>
      <c r="W20" s="16"/>
      <c r="X20" s="21">
        <f>+P20-T20</f>
        <v>3498.4999999999982</v>
      </c>
      <c r="Y20" s="16"/>
      <c r="Z20" s="20">
        <f>IF(T20=0,0,X20/T20)</f>
        <v>0.22234650718646018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62615.51</v>
      </c>
      <c r="E22" s="19"/>
      <c r="F22" s="35">
        <f t="shared" ref="F22:F31" si="12">IF(D$12=0,0,D22/D$12)</f>
        <v>2.4736630022593253</v>
      </c>
      <c r="G22" s="19"/>
      <c r="H22" s="19">
        <f>SUM(OSRRefH22x_0)</f>
        <v>57461.790000000008</v>
      </c>
      <c r="I22" s="19"/>
      <c r="J22" s="35">
        <f t="shared" ref="J22:J31" si="13">IF(H$12=0,0,H22/H$12)</f>
        <v>2.4028916599759138</v>
      </c>
      <c r="K22" s="4"/>
      <c r="L22" s="19">
        <f t="shared" ref="L22:L31" si="14">+D22-H22</f>
        <v>5153.7199999999939</v>
      </c>
      <c r="M22" s="4"/>
      <c r="N22" s="35">
        <f t="shared" ref="N22:N31" si="15">IF(H22=0,0,L22/H22)</f>
        <v>8.9689513675087276E-2</v>
      </c>
      <c r="O22" s="10"/>
      <c r="P22" s="19">
        <f>SUM(OSRRefP22x_0)</f>
        <v>62615.51</v>
      </c>
      <c r="Q22" s="19"/>
      <c r="R22" s="35">
        <f t="shared" ref="R22:R31" si="16">IF(P$12=0,0,P22/P$12)</f>
        <v>2.4736630022593253</v>
      </c>
      <c r="S22" s="19"/>
      <c r="T22" s="19">
        <f>SUM(OSRRefT22x_0)</f>
        <v>57461.790000000008</v>
      </c>
      <c r="U22" s="19"/>
      <c r="V22" s="35">
        <f t="shared" ref="V22:V31" si="17">IF(T$12=0,0,T22/T$12)</f>
        <v>2.4028916599759138</v>
      </c>
      <c r="W22" s="4"/>
      <c r="X22" s="19">
        <f t="shared" ref="X22:X31" si="18">+P22-T22</f>
        <v>5153.7199999999939</v>
      </c>
      <c r="Y22" s="4"/>
      <c r="Z22" s="35">
        <f t="shared" ref="Z22:Z31" si="19">IF(T22=0,0,X22/T22)</f>
        <v>8.9689513675087276E-2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11148.38</v>
      </c>
      <c r="E23" s="1"/>
      <c r="F23" s="5">
        <f t="shared" si="12"/>
        <v>0.44042338936675296</v>
      </c>
      <c r="G23" s="1"/>
      <c r="H23" s="1">
        <f>SUM(OSRRefH22_0x_0)</f>
        <v>6480.92</v>
      </c>
      <c r="I23" s="1"/>
      <c r="J23" s="5">
        <f t="shared" si="13"/>
        <v>0.27101398367456175</v>
      </c>
      <c r="K23" s="1"/>
      <c r="L23" s="1">
        <f t="shared" si="14"/>
        <v>4667.4599999999991</v>
      </c>
      <c r="M23" s="1"/>
      <c r="N23" s="5">
        <f t="shared" si="15"/>
        <v>0.72018478857939905</v>
      </c>
      <c r="O23" s="14"/>
      <c r="P23" s="1">
        <f>SUM(OSRRefP22_0x_0)</f>
        <v>11148.38</v>
      </c>
      <c r="Q23" s="1"/>
      <c r="R23" s="5">
        <f t="shared" si="16"/>
        <v>0.44042338936675296</v>
      </c>
      <c r="S23" s="1"/>
      <c r="T23" s="1">
        <f>SUM(OSRRefT22_0x_0)</f>
        <v>6480.92</v>
      </c>
      <c r="U23" s="1"/>
      <c r="V23" s="5">
        <f t="shared" si="17"/>
        <v>0.27101398367456175</v>
      </c>
      <c r="W23" s="1"/>
      <c r="X23" s="1">
        <f t="shared" si="18"/>
        <v>4667.4599999999991</v>
      </c>
      <c r="Y23" s="1"/>
      <c r="Z23" s="5">
        <f t="shared" si="19"/>
        <v>0.72018478857939905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1109.3800000000001</v>
      </c>
      <c r="E24" s="2"/>
      <c r="F24" s="6">
        <f t="shared" si="12"/>
        <v>4.3826717397118548E-2</v>
      </c>
      <c r="G24" s="2"/>
      <c r="H24" s="7">
        <v>1048.06</v>
      </c>
      <c r="I24" s="2"/>
      <c r="J24" s="6">
        <f t="shared" si="13"/>
        <v>4.3826943663856553E-2</v>
      </c>
      <c r="K24" s="2"/>
      <c r="L24" s="7">
        <f t="shared" si="14"/>
        <v>61.320000000000164</v>
      </c>
      <c r="M24" s="2"/>
      <c r="N24" s="6">
        <f t="shared" si="15"/>
        <v>5.8508100681258869E-2</v>
      </c>
      <c r="O24" s="11"/>
      <c r="P24" s="7">
        <v>1109.3800000000001</v>
      </c>
      <c r="Q24" s="2"/>
      <c r="R24" s="6">
        <f t="shared" si="16"/>
        <v>4.3826717397118548E-2</v>
      </c>
      <c r="S24" s="2"/>
      <c r="T24" s="7">
        <v>1048.06</v>
      </c>
      <c r="U24" s="2"/>
      <c r="V24" s="6">
        <f t="shared" si="17"/>
        <v>4.3826943663856553E-2</v>
      </c>
      <c r="W24" s="2"/>
      <c r="X24" s="7">
        <f t="shared" si="18"/>
        <v>61.320000000000164</v>
      </c>
      <c r="Y24" s="2"/>
      <c r="Z24" s="6">
        <f t="shared" si="19"/>
        <v>5.8508100681258869E-2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564.29999999999995</v>
      </c>
      <c r="E25" s="2"/>
      <c r="F25" s="6">
        <f t="shared" si="12"/>
        <v>2.2293007470113028E-2</v>
      </c>
      <c r="G25" s="2"/>
      <c r="H25" s="7">
        <v>642.92999999999995</v>
      </c>
      <c r="I25" s="2"/>
      <c r="J25" s="6">
        <f t="shared" si="13"/>
        <v>2.6885537936571658E-2</v>
      </c>
      <c r="K25" s="2"/>
      <c r="L25" s="7">
        <f t="shared" si="14"/>
        <v>-78.63</v>
      </c>
      <c r="M25" s="2"/>
      <c r="N25" s="6">
        <f t="shared" si="15"/>
        <v>-0.12229947272642434</v>
      </c>
      <c r="O25" s="11"/>
      <c r="P25" s="7">
        <v>564.29999999999995</v>
      </c>
      <c r="Q25" s="2"/>
      <c r="R25" s="6">
        <f t="shared" si="16"/>
        <v>2.2293007470113028E-2</v>
      </c>
      <c r="S25" s="2"/>
      <c r="T25" s="7">
        <v>642.92999999999995</v>
      </c>
      <c r="U25" s="2"/>
      <c r="V25" s="6">
        <f t="shared" si="17"/>
        <v>2.6885537936571658E-2</v>
      </c>
      <c r="W25" s="2"/>
      <c r="X25" s="7">
        <f t="shared" si="18"/>
        <v>-78.63</v>
      </c>
      <c r="Y25" s="2"/>
      <c r="Z25" s="6">
        <f t="shared" si="19"/>
        <v>-0.12229947272642434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3090.11</v>
      </c>
      <c r="E26" s="2"/>
      <c r="F26" s="6">
        <f t="shared" si="12"/>
        <v>0.12207663532424416</v>
      </c>
      <c r="G26" s="2"/>
      <c r="H26" s="7">
        <v>1258.22</v>
      </c>
      <c r="I26" s="2"/>
      <c r="J26" s="6">
        <f t="shared" si="13"/>
        <v>5.2615248226950358E-2</v>
      </c>
      <c r="K26" s="2"/>
      <c r="L26" s="7">
        <f t="shared" si="14"/>
        <v>1831.89</v>
      </c>
      <c r="M26" s="2"/>
      <c r="N26" s="6">
        <f t="shared" si="15"/>
        <v>1.4559377533340752</v>
      </c>
      <c r="O26" s="11"/>
      <c r="P26" s="7">
        <v>3090.11</v>
      </c>
      <c r="Q26" s="2"/>
      <c r="R26" s="6">
        <f t="shared" si="16"/>
        <v>0.12207663532424416</v>
      </c>
      <c r="S26" s="2"/>
      <c r="T26" s="7">
        <v>1258.22</v>
      </c>
      <c r="U26" s="2"/>
      <c r="V26" s="6">
        <f t="shared" si="17"/>
        <v>5.2615248226950358E-2</v>
      </c>
      <c r="W26" s="2"/>
      <c r="X26" s="7">
        <f t="shared" si="18"/>
        <v>1831.89</v>
      </c>
      <c r="Y26" s="2"/>
      <c r="Z26" s="6">
        <f t="shared" si="19"/>
        <v>1.4559377533340752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37.81</v>
      </c>
      <c r="E27" s="2"/>
      <c r="F27" s="6">
        <f t="shared" si="12"/>
        <v>1.4937065611287856E-3</v>
      </c>
      <c r="G27" s="2"/>
      <c r="H27" s="7">
        <v>47.76</v>
      </c>
      <c r="I27" s="2"/>
      <c r="J27" s="6">
        <f t="shared" si="13"/>
        <v>1.9971898835808911E-3</v>
      </c>
      <c r="K27" s="2"/>
      <c r="L27" s="7">
        <f t="shared" si="14"/>
        <v>-9.9499999999999957</v>
      </c>
      <c r="M27" s="2"/>
      <c r="N27" s="6">
        <f t="shared" si="15"/>
        <v>-0.20833333333333326</v>
      </c>
      <c r="O27" s="11"/>
      <c r="P27" s="7">
        <v>37.81</v>
      </c>
      <c r="Q27" s="2"/>
      <c r="R27" s="6">
        <f t="shared" si="16"/>
        <v>1.4937065611287856E-3</v>
      </c>
      <c r="S27" s="2"/>
      <c r="T27" s="7">
        <v>47.76</v>
      </c>
      <c r="U27" s="2"/>
      <c r="V27" s="6">
        <f t="shared" si="17"/>
        <v>1.9971898835808911E-3</v>
      </c>
      <c r="W27" s="2"/>
      <c r="X27" s="7">
        <f t="shared" si="18"/>
        <v>-9.9499999999999957</v>
      </c>
      <c r="Y27" s="2"/>
      <c r="Z27" s="6">
        <f t="shared" si="19"/>
        <v>-0.20833333333333326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581.80999999999995</v>
      </c>
      <c r="E28" s="2"/>
      <c r="F28" s="6">
        <f t="shared" si="12"/>
        <v>2.2984750445129296E-2</v>
      </c>
      <c r="G28" s="2"/>
      <c r="H28" s="7">
        <v>700.3</v>
      </c>
      <c r="I28" s="2"/>
      <c r="J28" s="6">
        <f t="shared" si="13"/>
        <v>2.9284591194968554E-2</v>
      </c>
      <c r="K28" s="2"/>
      <c r="L28" s="7">
        <f t="shared" si="14"/>
        <v>-118.49000000000001</v>
      </c>
      <c r="M28" s="2"/>
      <c r="N28" s="6">
        <f t="shared" si="15"/>
        <v>-0.16919891475082111</v>
      </c>
      <c r="O28" s="11"/>
      <c r="P28" s="7">
        <v>581.80999999999995</v>
      </c>
      <c r="Q28" s="2"/>
      <c r="R28" s="6">
        <f t="shared" si="16"/>
        <v>2.2984750445129296E-2</v>
      </c>
      <c r="S28" s="2"/>
      <c r="T28" s="7">
        <v>700.3</v>
      </c>
      <c r="U28" s="2"/>
      <c r="V28" s="6">
        <f t="shared" si="17"/>
        <v>2.9284591194968554E-2</v>
      </c>
      <c r="W28" s="2"/>
      <c r="X28" s="7">
        <f t="shared" si="18"/>
        <v>-118.49000000000001</v>
      </c>
      <c r="Y28" s="2"/>
      <c r="Z28" s="6">
        <f t="shared" si="19"/>
        <v>-0.16919891475082111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1739.39</v>
      </c>
      <c r="E29" s="2"/>
      <c r="F29" s="6">
        <f t="shared" si="12"/>
        <v>6.8715637539322888E-2</v>
      </c>
      <c r="G29" s="2"/>
      <c r="H29" s="7">
        <v>951.21</v>
      </c>
      <c r="I29" s="2"/>
      <c r="J29" s="6">
        <f t="shared" si="13"/>
        <v>3.9776947009233246E-2</v>
      </c>
      <c r="K29" s="2"/>
      <c r="L29" s="7">
        <f t="shared" si="14"/>
        <v>788.18000000000006</v>
      </c>
      <c r="M29" s="2"/>
      <c r="N29" s="6">
        <f t="shared" si="15"/>
        <v>0.82860777325721979</v>
      </c>
      <c r="O29" s="11"/>
      <c r="P29" s="7">
        <v>1739.39</v>
      </c>
      <c r="Q29" s="2"/>
      <c r="R29" s="6">
        <f t="shared" si="16"/>
        <v>6.8715637539322888E-2</v>
      </c>
      <c r="S29" s="2"/>
      <c r="T29" s="7">
        <v>951.21</v>
      </c>
      <c r="U29" s="2"/>
      <c r="V29" s="6">
        <f t="shared" si="17"/>
        <v>3.9776947009233246E-2</v>
      </c>
      <c r="W29" s="2"/>
      <c r="X29" s="7">
        <f t="shared" si="18"/>
        <v>788.18000000000006</v>
      </c>
      <c r="Y29" s="2"/>
      <c r="Z29" s="6">
        <f t="shared" si="19"/>
        <v>0.82860777325721979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3757.53</v>
      </c>
      <c r="E30" s="2"/>
      <c r="F30" s="6">
        <f t="shared" si="12"/>
        <v>0.1484434597894273</v>
      </c>
      <c r="G30" s="2"/>
      <c r="H30" s="7">
        <v>1538.32</v>
      </c>
      <c r="I30" s="2"/>
      <c r="J30" s="6">
        <f t="shared" si="13"/>
        <v>6.4328248360765422E-2</v>
      </c>
      <c r="K30" s="2"/>
      <c r="L30" s="7">
        <f t="shared" si="14"/>
        <v>2219.21</v>
      </c>
      <c r="M30" s="2"/>
      <c r="N30" s="6">
        <f t="shared" si="15"/>
        <v>1.4426192209683291</v>
      </c>
      <c r="O30" s="11"/>
      <c r="P30" s="7">
        <v>3757.53</v>
      </c>
      <c r="Q30" s="2"/>
      <c r="R30" s="6">
        <f t="shared" si="16"/>
        <v>0.1484434597894273</v>
      </c>
      <c r="S30" s="2"/>
      <c r="T30" s="7">
        <v>1538.32</v>
      </c>
      <c r="U30" s="2"/>
      <c r="V30" s="6">
        <f t="shared" si="17"/>
        <v>6.4328248360765422E-2</v>
      </c>
      <c r="W30" s="2"/>
      <c r="X30" s="7">
        <f t="shared" si="18"/>
        <v>2219.21</v>
      </c>
      <c r="Y30" s="2"/>
      <c r="Z30" s="6">
        <f t="shared" si="19"/>
        <v>1.4426192209683291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268.05</v>
      </c>
      <c r="E31" s="2"/>
      <c r="F31" s="6">
        <f t="shared" si="12"/>
        <v>1.0589474840269002E-2</v>
      </c>
      <c r="G31" s="2"/>
      <c r="H31" s="7">
        <v>294.12</v>
      </c>
      <c r="I31" s="2"/>
      <c r="J31" s="6">
        <f t="shared" si="13"/>
        <v>1.2299277398635088E-2</v>
      </c>
      <c r="K31" s="2"/>
      <c r="L31" s="7">
        <f t="shared" si="14"/>
        <v>-26.069999999999993</v>
      </c>
      <c r="M31" s="2"/>
      <c r="N31" s="6">
        <f t="shared" si="15"/>
        <v>-8.8637290901672758E-2</v>
      </c>
      <c r="O31" s="11"/>
      <c r="P31" s="7">
        <v>268.05</v>
      </c>
      <c r="Q31" s="2"/>
      <c r="R31" s="6">
        <f t="shared" si="16"/>
        <v>1.0589474840269002E-2</v>
      </c>
      <c r="S31" s="2"/>
      <c r="T31" s="7">
        <v>294.12</v>
      </c>
      <c r="U31" s="2"/>
      <c r="V31" s="6">
        <f t="shared" si="17"/>
        <v>1.2299277398635088E-2</v>
      </c>
      <c r="W31" s="2"/>
      <c r="X31" s="7">
        <f t="shared" si="18"/>
        <v>-26.069999999999993</v>
      </c>
      <c r="Y31" s="2"/>
      <c r="Z31" s="6">
        <f t="shared" si="19"/>
        <v>-8.8637290901672758E-2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17485.48</v>
      </c>
      <c r="E32" s="1"/>
      <c r="F32" s="5">
        <f t="shared" ref="F32:F36" si="20">IF(D$12=0,0,D32/D$12)</f>
        <v>0.69077429781767141</v>
      </c>
      <c r="G32" s="1"/>
      <c r="H32" s="1">
        <f>SUM(OSRRefH22_1x_0)</f>
        <v>16181.050000000001</v>
      </c>
      <c r="I32" s="1"/>
      <c r="J32" s="5">
        <f t="shared" ref="J32:J36" si="21">IF(H$12=0,0,H32/H$12)</f>
        <v>0.67664634350327857</v>
      </c>
      <c r="K32" s="1"/>
      <c r="L32" s="1">
        <f t="shared" ref="L32:L36" si="22">+D32-H32</f>
        <v>1304.4299999999985</v>
      </c>
      <c r="M32" s="1"/>
      <c r="N32" s="5">
        <f t="shared" ref="N32:N36" si="23">IF(H32=0,0,L32/H32)</f>
        <v>8.061466962897948E-2</v>
      </c>
      <c r="O32" s="14"/>
      <c r="P32" s="1">
        <f>SUM(OSRRefP22_1x_0)</f>
        <v>17485.48</v>
      </c>
      <c r="Q32" s="1"/>
      <c r="R32" s="5">
        <f t="shared" ref="R32:R36" si="24">IF(P$12=0,0,P32/P$12)</f>
        <v>0.69077429781767141</v>
      </c>
      <c r="S32" s="1"/>
      <c r="T32" s="1">
        <f>SUM(OSRRefT22_1x_0)</f>
        <v>16181.050000000001</v>
      </c>
      <c r="U32" s="1"/>
      <c r="V32" s="5">
        <f t="shared" ref="V32:V36" si="25">IF(T$12=0,0,T32/T$12)</f>
        <v>0.67664634350327857</v>
      </c>
      <c r="W32" s="1"/>
      <c r="X32" s="1">
        <f t="shared" ref="X32:X36" si="26">+P32-T32</f>
        <v>1304.4299999999985</v>
      </c>
      <c r="Y32" s="1"/>
      <c r="Z32" s="5">
        <f t="shared" ref="Z32:Z36" si="27">IF(T32=0,0,X32/T32)</f>
        <v>8.061466962897948E-2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5692.21</v>
      </c>
      <c r="E33" s="2"/>
      <c r="F33" s="6">
        <f t="shared" si="20"/>
        <v>0.2248741450495341</v>
      </c>
      <c r="G33" s="2"/>
      <c r="H33" s="7">
        <v>5779.56</v>
      </c>
      <c r="I33" s="2"/>
      <c r="J33" s="6">
        <f t="shared" si="21"/>
        <v>0.24168506623845848</v>
      </c>
      <c r="K33" s="2"/>
      <c r="L33" s="7">
        <f t="shared" si="22"/>
        <v>-87.350000000000364</v>
      </c>
      <c r="M33" s="2"/>
      <c r="N33" s="6">
        <f t="shared" si="23"/>
        <v>-1.5113607264220867E-2</v>
      </c>
      <c r="O33" s="11"/>
      <c r="P33" s="7">
        <v>5692.21</v>
      </c>
      <c r="Q33" s="2"/>
      <c r="R33" s="6">
        <f t="shared" si="24"/>
        <v>0.2248741450495341</v>
      </c>
      <c r="S33" s="2"/>
      <c r="T33" s="7">
        <v>5779.56</v>
      </c>
      <c r="U33" s="2"/>
      <c r="V33" s="6">
        <f t="shared" si="25"/>
        <v>0.24168506623845848</v>
      </c>
      <c r="W33" s="2"/>
      <c r="X33" s="7">
        <f t="shared" si="26"/>
        <v>-87.350000000000364</v>
      </c>
      <c r="Y33" s="2"/>
      <c r="Z33" s="6">
        <f t="shared" si="27"/>
        <v>-1.5113607264220867E-2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3249.32</v>
      </c>
      <c r="E34" s="2"/>
      <c r="F34" s="6">
        <f t="shared" si="20"/>
        <v>0.12836632116389807</v>
      </c>
      <c r="G34" s="2"/>
      <c r="H34" s="7">
        <v>2961.25</v>
      </c>
      <c r="I34" s="2"/>
      <c r="J34" s="6">
        <f t="shared" si="21"/>
        <v>0.12383120901913557</v>
      </c>
      <c r="K34" s="2"/>
      <c r="L34" s="7">
        <f t="shared" si="22"/>
        <v>288.07000000000016</v>
      </c>
      <c r="M34" s="2"/>
      <c r="N34" s="6">
        <f t="shared" si="23"/>
        <v>9.727986492190803E-2</v>
      </c>
      <c r="O34" s="11"/>
      <c r="P34" s="7">
        <v>3249.32</v>
      </c>
      <c r="Q34" s="2"/>
      <c r="R34" s="6">
        <f t="shared" si="24"/>
        <v>0.12836632116389807</v>
      </c>
      <c r="S34" s="2"/>
      <c r="T34" s="7">
        <v>2961.25</v>
      </c>
      <c r="U34" s="2"/>
      <c r="V34" s="6">
        <f t="shared" si="25"/>
        <v>0.12383120901913557</v>
      </c>
      <c r="W34" s="2"/>
      <c r="X34" s="7">
        <f t="shared" si="26"/>
        <v>288.07000000000016</v>
      </c>
      <c r="Y34" s="2"/>
      <c r="Z34" s="6">
        <f t="shared" si="27"/>
        <v>9.727986492190803E-2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3458.39</v>
      </c>
      <c r="E35" s="2"/>
      <c r="F35" s="6">
        <f t="shared" si="20"/>
        <v>0.13662575598894949</v>
      </c>
      <c r="G35" s="2"/>
      <c r="H35" s="7">
        <v>2050.08</v>
      </c>
      <c r="I35" s="2"/>
      <c r="J35" s="6">
        <f t="shared" si="21"/>
        <v>8.5728623042954644E-2</v>
      </c>
      <c r="K35" s="2"/>
      <c r="L35" s="7">
        <f t="shared" si="22"/>
        <v>1408.31</v>
      </c>
      <c r="M35" s="2"/>
      <c r="N35" s="6">
        <f t="shared" si="23"/>
        <v>0.68695367985639588</v>
      </c>
      <c r="O35" s="11"/>
      <c r="P35" s="7">
        <v>3458.39</v>
      </c>
      <c r="Q35" s="2"/>
      <c r="R35" s="6">
        <f t="shared" si="24"/>
        <v>0.13662575598894949</v>
      </c>
      <c r="S35" s="2"/>
      <c r="T35" s="7">
        <v>2050.08</v>
      </c>
      <c r="U35" s="2"/>
      <c r="V35" s="6">
        <f t="shared" si="25"/>
        <v>8.5728623042954644E-2</v>
      </c>
      <c r="W35" s="2"/>
      <c r="X35" s="7">
        <f t="shared" si="26"/>
        <v>1408.31</v>
      </c>
      <c r="Y35" s="2"/>
      <c r="Z35" s="6">
        <f t="shared" si="27"/>
        <v>0.68695367985639588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5085.5600000000004</v>
      </c>
      <c r="E36" s="2"/>
      <c r="F36" s="6">
        <f t="shared" si="20"/>
        <v>0.20090807561528978</v>
      </c>
      <c r="G36" s="2"/>
      <c r="H36" s="7">
        <v>5390.16</v>
      </c>
      <c r="I36" s="2"/>
      <c r="J36" s="6">
        <f t="shared" si="21"/>
        <v>0.22540144520272984</v>
      </c>
      <c r="K36" s="2"/>
      <c r="L36" s="7">
        <f t="shared" si="22"/>
        <v>-304.59999999999945</v>
      </c>
      <c r="M36" s="2"/>
      <c r="N36" s="6">
        <f t="shared" si="23"/>
        <v>-5.6510381881057233E-2</v>
      </c>
      <c r="O36" s="11"/>
      <c r="P36" s="7">
        <v>5085.5600000000004</v>
      </c>
      <c r="Q36" s="2"/>
      <c r="R36" s="6">
        <f t="shared" si="24"/>
        <v>0.20090807561528978</v>
      </c>
      <c r="S36" s="2"/>
      <c r="T36" s="7">
        <v>5390.16</v>
      </c>
      <c r="U36" s="2"/>
      <c r="V36" s="6">
        <f t="shared" si="25"/>
        <v>0.22540144520272984</v>
      </c>
      <c r="W36" s="2"/>
      <c r="X36" s="7">
        <f t="shared" si="26"/>
        <v>-304.59999999999945</v>
      </c>
      <c r="Y36" s="2"/>
      <c r="Z36" s="6">
        <f t="shared" si="27"/>
        <v>-5.6510381881057233E-2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1640.28</v>
      </c>
      <c r="E37" s="1"/>
      <c r="F37" s="5">
        <f t="shared" ref="F37:F45" si="28">IF(D$12=0,0,D37/D$12)</f>
        <v>6.4800237981706546E-2</v>
      </c>
      <c r="G37" s="1"/>
      <c r="H37" s="1">
        <f>SUM(OSRRefH22_2x_0)</f>
        <v>21.68</v>
      </c>
      <c r="I37" s="1"/>
      <c r="J37" s="5">
        <f t="shared" ref="J37:J45" si="29">IF(H$12=0,0,H37/H$12)</f>
        <v>9.0659708283152688E-4</v>
      </c>
      <c r="K37" s="1"/>
      <c r="L37" s="1">
        <f t="shared" ref="L37:L45" si="30">+D37-H37</f>
        <v>1618.6</v>
      </c>
      <c r="M37" s="1"/>
      <c r="N37" s="5">
        <f t="shared" ref="N37:N45" si="31">IF(H37=0,0,L37/H37)</f>
        <v>74.658671586715869</v>
      </c>
      <c r="O37" s="14"/>
      <c r="P37" s="1">
        <f>SUM(OSRRefP22_2x_0)</f>
        <v>1640.28</v>
      </c>
      <c r="Q37" s="1"/>
      <c r="R37" s="5">
        <f t="shared" ref="R37:R45" si="32">IF(P$12=0,0,P37/P$12)</f>
        <v>6.4800237981706546E-2</v>
      </c>
      <c r="S37" s="1"/>
      <c r="T37" s="1">
        <f>SUM(OSRRefT22_2x_0)</f>
        <v>21.68</v>
      </c>
      <c r="U37" s="1"/>
      <c r="V37" s="5">
        <f t="shared" ref="V37:V45" si="33">IF(T$12=0,0,T37/T$12)</f>
        <v>9.0659708283152688E-4</v>
      </c>
      <c r="W37" s="1"/>
      <c r="X37" s="1">
        <f t="shared" ref="X37:X45" si="34">+P37-T37</f>
        <v>1618.6</v>
      </c>
      <c r="Y37" s="1"/>
      <c r="Z37" s="5">
        <f t="shared" ref="Z37:Z45" si="35">IF(T37=0,0,X37/T37)</f>
        <v>74.658671586715869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>
        <v>1640.28</v>
      </c>
      <c r="E38" s="2"/>
      <c r="F38" s="6">
        <f t="shared" si="28"/>
        <v>6.4800237981706546E-2</v>
      </c>
      <c r="G38" s="2"/>
      <c r="H38" s="7">
        <v>21.68</v>
      </c>
      <c r="I38" s="2"/>
      <c r="J38" s="6">
        <f t="shared" si="29"/>
        <v>9.0659708283152688E-4</v>
      </c>
      <c r="K38" s="2"/>
      <c r="L38" s="7">
        <f t="shared" si="30"/>
        <v>1618.6</v>
      </c>
      <c r="M38" s="2"/>
      <c r="N38" s="6">
        <f t="shared" si="31"/>
        <v>74.658671586715869</v>
      </c>
      <c r="O38" s="11"/>
      <c r="P38" s="7">
        <v>1640.28</v>
      </c>
      <c r="Q38" s="2"/>
      <c r="R38" s="6">
        <f t="shared" si="32"/>
        <v>6.4800237981706546E-2</v>
      </c>
      <c r="S38" s="2"/>
      <c r="T38" s="7">
        <v>21.68</v>
      </c>
      <c r="U38" s="2"/>
      <c r="V38" s="6">
        <f t="shared" si="33"/>
        <v>9.0659708283152688E-4</v>
      </c>
      <c r="W38" s="2"/>
      <c r="X38" s="7">
        <f t="shared" si="34"/>
        <v>1618.6</v>
      </c>
      <c r="Y38" s="2"/>
      <c r="Z38" s="6">
        <f t="shared" si="35"/>
        <v>74.658671586715869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-4.97</v>
      </c>
      <c r="E39" s="1"/>
      <c r="F39" s="5">
        <f t="shared" si="28"/>
        <v>-1.9634280901375465E-4</v>
      </c>
      <c r="G39" s="1"/>
      <c r="H39" s="1">
        <f>SUM(OSRRefH22_3x_0)</f>
        <v>-7.7</v>
      </c>
      <c r="I39" s="1"/>
      <c r="J39" s="5">
        <f t="shared" si="29"/>
        <v>-3.2199250635621575E-4</v>
      </c>
      <c r="K39" s="1"/>
      <c r="L39" s="1">
        <f t="shared" si="30"/>
        <v>2.7300000000000004</v>
      </c>
      <c r="M39" s="1"/>
      <c r="N39" s="5">
        <f t="shared" si="31"/>
        <v>-0.35454545454545461</v>
      </c>
      <c r="O39" s="14"/>
      <c r="P39" s="1">
        <f>SUM(OSRRefP22_3x_0)</f>
        <v>-4.97</v>
      </c>
      <c r="Q39" s="1"/>
      <c r="R39" s="5">
        <f t="shared" si="32"/>
        <v>-1.9634280901375465E-4</v>
      </c>
      <c r="S39" s="1"/>
      <c r="T39" s="1">
        <f>SUM(OSRRefT22_3x_0)</f>
        <v>-7.7</v>
      </c>
      <c r="U39" s="1"/>
      <c r="V39" s="5">
        <f t="shared" si="33"/>
        <v>-3.2199250635621575E-4</v>
      </c>
      <c r="W39" s="1"/>
      <c r="X39" s="1">
        <f t="shared" si="34"/>
        <v>2.7300000000000004</v>
      </c>
      <c r="Y39" s="1"/>
      <c r="Z39" s="5">
        <f t="shared" si="35"/>
        <v>-0.35454545454545461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-4.97</v>
      </c>
      <c r="E40" s="2"/>
      <c r="F40" s="6">
        <f t="shared" si="28"/>
        <v>-1.9634280901375465E-4</v>
      </c>
      <c r="G40" s="2"/>
      <c r="H40" s="7">
        <v>-7.7</v>
      </c>
      <c r="I40" s="2"/>
      <c r="J40" s="6">
        <f t="shared" si="29"/>
        <v>-3.2199250635621575E-4</v>
      </c>
      <c r="K40" s="2"/>
      <c r="L40" s="7">
        <f t="shared" si="30"/>
        <v>2.7300000000000004</v>
      </c>
      <c r="M40" s="2"/>
      <c r="N40" s="6">
        <f t="shared" si="31"/>
        <v>-0.35454545454545461</v>
      </c>
      <c r="O40" s="11"/>
      <c r="P40" s="7">
        <v>-4.97</v>
      </c>
      <c r="Q40" s="2"/>
      <c r="R40" s="6">
        <f t="shared" si="32"/>
        <v>-1.9634280901375465E-4</v>
      </c>
      <c r="S40" s="2"/>
      <c r="T40" s="7">
        <v>-7.7</v>
      </c>
      <c r="U40" s="2"/>
      <c r="V40" s="6">
        <f t="shared" si="33"/>
        <v>-3.2199250635621575E-4</v>
      </c>
      <c r="W40" s="2"/>
      <c r="X40" s="7">
        <f t="shared" si="34"/>
        <v>2.7300000000000004</v>
      </c>
      <c r="Y40" s="2"/>
      <c r="Z40" s="6">
        <f t="shared" si="35"/>
        <v>-0.35454545454545461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852.21</v>
      </c>
      <c r="E41" s="1"/>
      <c r="F41" s="5">
        <f t="shared" si="28"/>
        <v>3.3667063434529555E-2</v>
      </c>
      <c r="G41" s="1"/>
      <c r="H41" s="1">
        <f>SUM(OSRRefH22_4x_0)</f>
        <v>799.5</v>
      </c>
      <c r="I41" s="1"/>
      <c r="J41" s="5">
        <f t="shared" si="29"/>
        <v>3.3432858289843437E-2</v>
      </c>
      <c r="K41" s="1"/>
      <c r="L41" s="1">
        <f t="shared" si="30"/>
        <v>52.710000000000036</v>
      </c>
      <c r="M41" s="1"/>
      <c r="N41" s="5">
        <f t="shared" si="31"/>
        <v>6.5928705440900612E-2</v>
      </c>
      <c r="O41" s="14"/>
      <c r="P41" s="1">
        <f>SUM(OSRRefP22_4x_0)</f>
        <v>852.21</v>
      </c>
      <c r="Q41" s="1"/>
      <c r="R41" s="5">
        <f t="shared" si="32"/>
        <v>3.3667063434529555E-2</v>
      </c>
      <c r="S41" s="1"/>
      <c r="T41" s="1">
        <f>SUM(OSRRefT22_4x_0)</f>
        <v>799.5</v>
      </c>
      <c r="U41" s="1"/>
      <c r="V41" s="5">
        <f t="shared" si="33"/>
        <v>3.3432858289843437E-2</v>
      </c>
      <c r="W41" s="1"/>
      <c r="X41" s="1">
        <f t="shared" si="34"/>
        <v>52.710000000000036</v>
      </c>
      <c r="Y41" s="1"/>
      <c r="Z41" s="5">
        <f t="shared" si="35"/>
        <v>6.5928705440900612E-2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852.21</v>
      </c>
      <c r="E42" s="2"/>
      <c r="F42" s="6">
        <f t="shared" si="28"/>
        <v>3.3667063434529555E-2</v>
      </c>
      <c r="G42" s="2"/>
      <c r="H42" s="7">
        <v>799.5</v>
      </c>
      <c r="I42" s="2"/>
      <c r="J42" s="6">
        <f t="shared" si="29"/>
        <v>3.3432858289843437E-2</v>
      </c>
      <c r="K42" s="2"/>
      <c r="L42" s="7">
        <f t="shared" si="30"/>
        <v>52.710000000000036</v>
      </c>
      <c r="M42" s="2"/>
      <c r="N42" s="6">
        <f t="shared" si="31"/>
        <v>6.5928705440900612E-2</v>
      </c>
      <c r="O42" s="11"/>
      <c r="P42" s="7">
        <v>852.21</v>
      </c>
      <c r="Q42" s="2"/>
      <c r="R42" s="6">
        <f t="shared" si="32"/>
        <v>3.3667063434529555E-2</v>
      </c>
      <c r="S42" s="2"/>
      <c r="T42" s="7">
        <v>799.5</v>
      </c>
      <c r="U42" s="2"/>
      <c r="V42" s="6">
        <f t="shared" si="33"/>
        <v>3.3432858289843437E-2</v>
      </c>
      <c r="W42" s="2"/>
      <c r="X42" s="7">
        <f t="shared" si="34"/>
        <v>52.710000000000036</v>
      </c>
      <c r="Y42" s="2"/>
      <c r="Z42" s="6">
        <f t="shared" si="35"/>
        <v>6.5928705440900612E-2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13266.91</v>
      </c>
      <c r="E43" s="1"/>
      <c r="F43" s="5">
        <f t="shared" si="28"/>
        <v>0.52411717833655369</v>
      </c>
      <c r="G43" s="1"/>
      <c r="H43" s="1">
        <f>SUM(OSRRefH22_5x_0)</f>
        <v>13266.9</v>
      </c>
      <c r="I43" s="1"/>
      <c r="J43" s="5">
        <f t="shared" si="29"/>
        <v>0.55478472501003617</v>
      </c>
      <c r="K43" s="1"/>
      <c r="L43" s="1">
        <f t="shared" si="30"/>
        <v>1.0000000000218279E-2</v>
      </c>
      <c r="M43" s="1"/>
      <c r="N43" s="5">
        <f t="shared" si="31"/>
        <v>7.537555872297431E-7</v>
      </c>
      <c r="O43" s="14"/>
      <c r="P43" s="1">
        <f>SUM(OSRRefP22_5x_0)</f>
        <v>13266.91</v>
      </c>
      <c r="Q43" s="1"/>
      <c r="R43" s="5">
        <f t="shared" si="32"/>
        <v>0.52411717833655369</v>
      </c>
      <c r="S43" s="1"/>
      <c r="T43" s="1">
        <f>SUM(OSRRefT22_5x_0)</f>
        <v>13266.9</v>
      </c>
      <c r="U43" s="1"/>
      <c r="V43" s="5">
        <f t="shared" si="33"/>
        <v>0.55478472501003617</v>
      </c>
      <c r="W43" s="1"/>
      <c r="X43" s="1">
        <f t="shared" si="34"/>
        <v>1.0000000000218279E-2</v>
      </c>
      <c r="Y43" s="1"/>
      <c r="Z43" s="5">
        <f t="shared" si="35"/>
        <v>7.537555872297431E-7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7">
        <v>10612.46</v>
      </c>
      <c r="E44" s="2"/>
      <c r="F44" s="6">
        <f t="shared" si="28"/>
        <v>0.41925155069338244</v>
      </c>
      <c r="G44" s="2"/>
      <c r="H44" s="7">
        <v>10612.46</v>
      </c>
      <c r="I44" s="2"/>
      <c r="J44" s="6">
        <f t="shared" si="29"/>
        <v>0.44378345376689415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10612.46</v>
      </c>
      <c r="Q44" s="2"/>
      <c r="R44" s="6">
        <f t="shared" si="32"/>
        <v>0.41925155069338244</v>
      </c>
      <c r="S44" s="2"/>
      <c r="T44" s="7">
        <v>10612.46</v>
      </c>
      <c r="U44" s="2"/>
      <c r="V44" s="6">
        <f t="shared" si="33"/>
        <v>0.44378345376689415</v>
      </c>
      <c r="W44" s="2"/>
      <c r="X44" s="7">
        <f t="shared" si="34"/>
        <v>0</v>
      </c>
      <c r="Y44" s="2"/>
      <c r="Z44" s="6">
        <f t="shared" si="35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2654.45</v>
      </c>
      <c r="E45" s="2"/>
      <c r="F45" s="6">
        <f t="shared" si="28"/>
        <v>0.10486562764317124</v>
      </c>
      <c r="G45" s="2"/>
      <c r="H45" s="7">
        <v>2654.44</v>
      </c>
      <c r="I45" s="2"/>
      <c r="J45" s="6">
        <f t="shared" si="29"/>
        <v>0.11100127124314199</v>
      </c>
      <c r="K45" s="2"/>
      <c r="L45" s="7">
        <f t="shared" si="30"/>
        <v>9.9999999997635314E-3</v>
      </c>
      <c r="M45" s="2"/>
      <c r="N45" s="6">
        <f t="shared" si="31"/>
        <v>3.7672729463704327E-6</v>
      </c>
      <c r="O45" s="11"/>
      <c r="P45" s="7">
        <v>2654.45</v>
      </c>
      <c r="Q45" s="2"/>
      <c r="R45" s="6">
        <f t="shared" si="32"/>
        <v>0.10486562764317124</v>
      </c>
      <c r="S45" s="2"/>
      <c r="T45" s="7">
        <v>2654.44</v>
      </c>
      <c r="U45" s="2"/>
      <c r="V45" s="6">
        <f t="shared" si="33"/>
        <v>0.11100127124314199</v>
      </c>
      <c r="W45" s="2"/>
      <c r="X45" s="7">
        <f t="shared" si="34"/>
        <v>9.9999999997635314E-3</v>
      </c>
      <c r="Y45" s="2"/>
      <c r="Z45" s="6">
        <f t="shared" si="35"/>
        <v>3.7672729463704327E-6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15.35</v>
      </c>
      <c r="E46" s="1"/>
      <c r="F46" s="5">
        <f t="shared" ref="F46:F63" si="36">IF(D$12=0,0,D46/D$12)</f>
        <v>6.0641088900626437E-4</v>
      </c>
      <c r="G46" s="1"/>
      <c r="H46" s="1">
        <f>SUM(OSRRefH22_6x_0)</f>
        <v>0</v>
      </c>
      <c r="I46" s="1"/>
      <c r="J46" s="5">
        <f t="shared" ref="J46:J63" si="37">IF(H$12=0,0,H46/H$12)</f>
        <v>0</v>
      </c>
      <c r="K46" s="1"/>
      <c r="L46" s="1">
        <f t="shared" ref="L46:L63" si="38">+D46-H46</f>
        <v>15.35</v>
      </c>
      <c r="M46" s="1"/>
      <c r="N46" s="5">
        <f t="shared" ref="N46:N63" si="39">IF(H46=0,0,L46/H46)</f>
        <v>0</v>
      </c>
      <c r="O46" s="14"/>
      <c r="P46" s="1">
        <f>SUM(OSRRefP22_6x_0)</f>
        <v>15.35</v>
      </c>
      <c r="Q46" s="1"/>
      <c r="R46" s="5">
        <f t="shared" ref="R46:R63" si="40">IF(P$12=0,0,P46/P$12)</f>
        <v>6.0641088900626437E-4</v>
      </c>
      <c r="S46" s="1"/>
      <c r="T46" s="1">
        <f>SUM(OSRRefT22_6x_0)</f>
        <v>0</v>
      </c>
      <c r="U46" s="1"/>
      <c r="V46" s="5">
        <f t="shared" ref="V46:V63" si="41">IF(T$12=0,0,T46/T$12)</f>
        <v>0</v>
      </c>
      <c r="W46" s="1"/>
      <c r="X46" s="1">
        <f t="shared" ref="X46:X63" si="42">+P46-T46</f>
        <v>15.35</v>
      </c>
      <c r="Y46" s="1"/>
      <c r="Z46" s="5">
        <f t="shared" ref="Z46:Z63" si="43">IF(T46=0,0,X46/T46)</f>
        <v>0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7">
        <v>15.35</v>
      </c>
      <c r="E47" s="2"/>
      <c r="F47" s="6">
        <f t="shared" si="36"/>
        <v>6.0641088900626437E-4</v>
      </c>
      <c r="G47" s="2"/>
      <c r="H47" s="7"/>
      <c r="I47" s="2"/>
      <c r="J47" s="6">
        <f t="shared" si="37"/>
        <v>0</v>
      </c>
      <c r="K47" s="2"/>
      <c r="L47" s="7">
        <f t="shared" si="38"/>
        <v>15.35</v>
      </c>
      <c r="M47" s="2"/>
      <c r="N47" s="6">
        <f t="shared" si="39"/>
        <v>0</v>
      </c>
      <c r="O47" s="11"/>
      <c r="P47" s="7">
        <v>15.35</v>
      </c>
      <c r="Q47" s="2"/>
      <c r="R47" s="6">
        <f t="shared" si="40"/>
        <v>6.0641088900626437E-4</v>
      </c>
      <c r="S47" s="2"/>
      <c r="T47" s="7"/>
      <c r="U47" s="2"/>
      <c r="V47" s="6">
        <f t="shared" si="41"/>
        <v>0</v>
      </c>
      <c r="W47" s="2"/>
      <c r="X47" s="7">
        <f t="shared" si="42"/>
        <v>15.35</v>
      </c>
      <c r="Y47" s="2"/>
      <c r="Z47" s="6">
        <f t="shared" si="43"/>
        <v>0</v>
      </c>
    </row>
    <row r="48" spans="1:26" s="28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146.47</v>
      </c>
      <c r="E48" s="1"/>
      <c r="F48" s="5">
        <f t="shared" si="36"/>
        <v>5.7863845545763877E-3</v>
      </c>
      <c r="G48" s="1"/>
      <c r="H48" s="1">
        <f>SUM(OSRRefH22_7x_0)</f>
        <v>144.72999999999999</v>
      </c>
      <c r="I48" s="1"/>
      <c r="J48" s="5">
        <f t="shared" si="37"/>
        <v>6.052204603238325E-3</v>
      </c>
      <c r="K48" s="1"/>
      <c r="L48" s="1">
        <f t="shared" si="38"/>
        <v>1.7400000000000091</v>
      </c>
      <c r="M48" s="1"/>
      <c r="N48" s="5">
        <f t="shared" si="39"/>
        <v>1.2022386512817033E-2</v>
      </c>
      <c r="O48" s="14"/>
      <c r="P48" s="1">
        <f>SUM(OSRRefP22_7x_0)</f>
        <v>146.47</v>
      </c>
      <c r="Q48" s="1"/>
      <c r="R48" s="5">
        <f t="shared" si="40"/>
        <v>5.7863845545763877E-3</v>
      </c>
      <c r="S48" s="1"/>
      <c r="T48" s="1">
        <f>SUM(OSRRefT22_7x_0)</f>
        <v>144.72999999999999</v>
      </c>
      <c r="U48" s="1"/>
      <c r="V48" s="5">
        <f t="shared" si="41"/>
        <v>6.052204603238325E-3</v>
      </c>
      <c r="W48" s="1"/>
      <c r="X48" s="1">
        <f t="shared" si="42"/>
        <v>1.7400000000000091</v>
      </c>
      <c r="Y48" s="1"/>
      <c r="Z48" s="5">
        <f t="shared" si="43"/>
        <v>1.2022386512817033E-2</v>
      </c>
    </row>
    <row r="49" spans="1:26" s="24" customFormat="1" hidden="1" outlineLevel="2" x14ac:dyDescent="0.25">
      <c r="A49" s="29"/>
      <c r="B49" s="11" t="str">
        <f>CONCATENATE("          ", "6351", " - ", "EQUIPMENT RENTAL")</f>
        <v xml:space="preserve">          6351 - EQUIPMENT RENTAL</v>
      </c>
      <c r="C49" s="11"/>
      <c r="D49" s="7">
        <v>146.47</v>
      </c>
      <c r="E49" s="2"/>
      <c r="F49" s="6">
        <f t="shared" si="36"/>
        <v>5.7863845545763877E-3</v>
      </c>
      <c r="G49" s="2"/>
      <c r="H49" s="7">
        <v>144.72999999999999</v>
      </c>
      <c r="I49" s="2"/>
      <c r="J49" s="6">
        <f t="shared" si="37"/>
        <v>6.052204603238325E-3</v>
      </c>
      <c r="K49" s="2"/>
      <c r="L49" s="7">
        <f t="shared" si="38"/>
        <v>1.7400000000000091</v>
      </c>
      <c r="M49" s="2"/>
      <c r="N49" s="6">
        <f t="shared" si="39"/>
        <v>1.2022386512817033E-2</v>
      </c>
      <c r="O49" s="11"/>
      <c r="P49" s="7">
        <v>146.47</v>
      </c>
      <c r="Q49" s="2"/>
      <c r="R49" s="6">
        <f t="shared" si="40"/>
        <v>5.7863845545763877E-3</v>
      </c>
      <c r="S49" s="2"/>
      <c r="T49" s="7">
        <v>144.72999999999999</v>
      </c>
      <c r="U49" s="2"/>
      <c r="V49" s="6">
        <f t="shared" si="41"/>
        <v>6.052204603238325E-3</v>
      </c>
      <c r="W49" s="2"/>
      <c r="X49" s="7">
        <f t="shared" si="42"/>
        <v>1.7400000000000091</v>
      </c>
      <c r="Y49" s="2"/>
      <c r="Z49" s="6">
        <f t="shared" si="43"/>
        <v>1.2022386512817033E-2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1354.55</v>
      </c>
      <c r="E50" s="1"/>
      <c r="F50" s="5">
        <f t="shared" si="36"/>
        <v>5.3512304215207522E-2</v>
      </c>
      <c r="G50" s="1"/>
      <c r="H50" s="1">
        <f>SUM(OSRRefH22_8x_0)</f>
        <v>1304.2</v>
      </c>
      <c r="I50" s="1"/>
      <c r="J50" s="5">
        <f t="shared" si="37"/>
        <v>5.4538003479191764E-2</v>
      </c>
      <c r="K50" s="1"/>
      <c r="L50" s="1">
        <f t="shared" si="38"/>
        <v>50.349999999999909</v>
      </c>
      <c r="M50" s="1"/>
      <c r="N50" s="5">
        <f t="shared" si="39"/>
        <v>3.860604201809531E-2</v>
      </c>
      <c r="O50" s="14"/>
      <c r="P50" s="1">
        <f>SUM(OSRRefP22_8x_0)</f>
        <v>1354.55</v>
      </c>
      <c r="Q50" s="1"/>
      <c r="R50" s="5">
        <f t="shared" si="40"/>
        <v>5.3512304215207522E-2</v>
      </c>
      <c r="S50" s="1"/>
      <c r="T50" s="1">
        <f>SUM(OSRRefT22_8x_0)</f>
        <v>1304.2</v>
      </c>
      <c r="U50" s="1"/>
      <c r="V50" s="5">
        <f t="shared" si="41"/>
        <v>5.4538003479191764E-2</v>
      </c>
      <c r="W50" s="1"/>
      <c r="X50" s="1">
        <f t="shared" si="42"/>
        <v>50.349999999999909</v>
      </c>
      <c r="Y50" s="1"/>
      <c r="Z50" s="5">
        <f t="shared" si="43"/>
        <v>3.860604201809531E-2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>
        <v>1354.55</v>
      </c>
      <c r="E51" s="2"/>
      <c r="F51" s="6">
        <f t="shared" si="36"/>
        <v>5.3512304215207522E-2</v>
      </c>
      <c r="G51" s="2"/>
      <c r="H51" s="7">
        <v>1304.2</v>
      </c>
      <c r="I51" s="2"/>
      <c r="J51" s="6">
        <f t="shared" si="37"/>
        <v>5.4538003479191764E-2</v>
      </c>
      <c r="K51" s="2"/>
      <c r="L51" s="7">
        <f t="shared" si="38"/>
        <v>50.349999999999909</v>
      </c>
      <c r="M51" s="2"/>
      <c r="N51" s="6">
        <f t="shared" si="39"/>
        <v>3.860604201809531E-2</v>
      </c>
      <c r="O51" s="11"/>
      <c r="P51" s="7">
        <v>1354.55</v>
      </c>
      <c r="Q51" s="2"/>
      <c r="R51" s="6">
        <f t="shared" si="40"/>
        <v>5.3512304215207522E-2</v>
      </c>
      <c r="S51" s="2"/>
      <c r="T51" s="7">
        <v>1304.2</v>
      </c>
      <c r="U51" s="2"/>
      <c r="V51" s="6">
        <f t="shared" si="41"/>
        <v>5.4538003479191764E-2</v>
      </c>
      <c r="W51" s="2"/>
      <c r="X51" s="7">
        <f t="shared" si="42"/>
        <v>50.349999999999909</v>
      </c>
      <c r="Y51" s="2"/>
      <c r="Z51" s="6">
        <f t="shared" si="43"/>
        <v>3.860604201809531E-2</v>
      </c>
    </row>
    <row r="52" spans="1:26" s="28" customFormat="1" outlineLevel="1" collapsed="1" x14ac:dyDescent="0.25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SUM(OSRRefD22_9x_0)</f>
        <v>641.28</v>
      </c>
      <c r="E52" s="1"/>
      <c r="F52" s="5">
        <f t="shared" si="36"/>
        <v>2.5334148202080603E-2</v>
      </c>
      <c r="G52" s="1"/>
      <c r="H52" s="1">
        <f>SUM(OSRRefH22_9x_0)</f>
        <v>604.16</v>
      </c>
      <c r="I52" s="1"/>
      <c r="J52" s="5">
        <f t="shared" si="37"/>
        <v>2.5264284758463804E-2</v>
      </c>
      <c r="K52" s="1"/>
      <c r="L52" s="1">
        <f t="shared" si="38"/>
        <v>37.120000000000005</v>
      </c>
      <c r="M52" s="1"/>
      <c r="N52" s="5">
        <f t="shared" si="39"/>
        <v>6.1440677966101705E-2</v>
      </c>
      <c r="O52" s="14"/>
      <c r="P52" s="1">
        <f>SUM(OSRRefP22_9x_0)</f>
        <v>641.28</v>
      </c>
      <c r="Q52" s="1"/>
      <c r="R52" s="5">
        <f t="shared" si="40"/>
        <v>2.5334148202080603E-2</v>
      </c>
      <c r="S52" s="1"/>
      <c r="T52" s="1">
        <f>SUM(OSRRefT22_9x_0)</f>
        <v>604.16</v>
      </c>
      <c r="U52" s="1"/>
      <c r="V52" s="5">
        <f t="shared" si="41"/>
        <v>2.5264284758463804E-2</v>
      </c>
      <c r="W52" s="1"/>
      <c r="X52" s="1">
        <f t="shared" si="42"/>
        <v>37.120000000000005</v>
      </c>
      <c r="Y52" s="1"/>
      <c r="Z52" s="5">
        <f t="shared" si="43"/>
        <v>6.1440677966101705E-2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7">
        <v>641.28</v>
      </c>
      <c r="E53" s="2"/>
      <c r="F53" s="6">
        <f t="shared" si="36"/>
        <v>2.5334148202080603E-2</v>
      </c>
      <c r="G53" s="2"/>
      <c r="H53" s="7">
        <v>604.16</v>
      </c>
      <c r="I53" s="2"/>
      <c r="J53" s="6">
        <f t="shared" si="37"/>
        <v>2.5264284758463804E-2</v>
      </c>
      <c r="K53" s="2"/>
      <c r="L53" s="7">
        <f t="shared" si="38"/>
        <v>37.120000000000005</v>
      </c>
      <c r="M53" s="2"/>
      <c r="N53" s="6">
        <f t="shared" si="39"/>
        <v>6.1440677966101705E-2</v>
      </c>
      <c r="O53" s="11"/>
      <c r="P53" s="7">
        <v>641.28</v>
      </c>
      <c r="Q53" s="2"/>
      <c r="R53" s="6">
        <f t="shared" si="40"/>
        <v>2.5334148202080603E-2</v>
      </c>
      <c r="S53" s="2"/>
      <c r="T53" s="7">
        <v>604.16</v>
      </c>
      <c r="U53" s="2"/>
      <c r="V53" s="6">
        <f t="shared" si="41"/>
        <v>2.5264284758463804E-2</v>
      </c>
      <c r="W53" s="2"/>
      <c r="X53" s="7">
        <f t="shared" si="42"/>
        <v>37.120000000000005</v>
      </c>
      <c r="Y53" s="2"/>
      <c r="Z53" s="6">
        <f t="shared" si="43"/>
        <v>6.1440677966101705E-2</v>
      </c>
    </row>
    <row r="54" spans="1:26" s="28" customFormat="1" outlineLevel="1" collapsed="1" x14ac:dyDescent="0.25">
      <c r="A54" s="27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SUM(OSRRefD22_10x_0)</f>
        <v>7630</v>
      </c>
      <c r="E54" s="1"/>
      <c r="F54" s="5">
        <f t="shared" si="36"/>
        <v>0.30142769271125719</v>
      </c>
      <c r="G54" s="1"/>
      <c r="H54" s="1">
        <f>SUM(OSRRefH22_10x_0)</f>
        <v>7949</v>
      </c>
      <c r="I54" s="1"/>
      <c r="J54" s="5">
        <f t="shared" si="37"/>
        <v>0.33240499130202061</v>
      </c>
      <c r="K54" s="1"/>
      <c r="L54" s="1">
        <f t="shared" si="38"/>
        <v>-319</v>
      </c>
      <c r="M54" s="1"/>
      <c r="N54" s="5">
        <f t="shared" si="39"/>
        <v>-4.013083406717826E-2</v>
      </c>
      <c r="O54" s="14"/>
      <c r="P54" s="1">
        <f>SUM(OSRRefP22_10x_0)</f>
        <v>7630</v>
      </c>
      <c r="Q54" s="1"/>
      <c r="R54" s="5">
        <f t="shared" si="40"/>
        <v>0.30142769271125719</v>
      </c>
      <c r="S54" s="1"/>
      <c r="T54" s="1">
        <f>SUM(OSRRefT22_10x_0)</f>
        <v>7949</v>
      </c>
      <c r="U54" s="1"/>
      <c r="V54" s="5">
        <f t="shared" si="41"/>
        <v>0.33240499130202061</v>
      </c>
      <c r="W54" s="1"/>
      <c r="X54" s="1">
        <f t="shared" si="42"/>
        <v>-319</v>
      </c>
      <c r="Y54" s="1"/>
      <c r="Z54" s="5">
        <f t="shared" si="43"/>
        <v>-4.013083406717826E-2</v>
      </c>
    </row>
    <row r="55" spans="1:26" s="24" customFormat="1" hidden="1" outlineLevel="2" x14ac:dyDescent="0.25">
      <c r="A55" s="29"/>
      <c r="B55" s="11" t="str">
        <f>CONCATENATE("          ", "6401", " - ", "INTEREST EXPENSE")</f>
        <v xml:space="preserve">          6401 - INTEREST EXPENSE</v>
      </c>
      <c r="C55" s="11"/>
      <c r="D55" s="7">
        <v>7630</v>
      </c>
      <c r="E55" s="2"/>
      <c r="F55" s="6">
        <f t="shared" si="36"/>
        <v>0.30142769271125719</v>
      </c>
      <c r="G55" s="2"/>
      <c r="H55" s="7">
        <v>7949</v>
      </c>
      <c r="I55" s="2"/>
      <c r="J55" s="6">
        <f t="shared" si="37"/>
        <v>0.33240499130202061</v>
      </c>
      <c r="K55" s="2"/>
      <c r="L55" s="7">
        <f t="shared" si="38"/>
        <v>-319</v>
      </c>
      <c r="M55" s="2"/>
      <c r="N55" s="6">
        <f t="shared" si="39"/>
        <v>-4.013083406717826E-2</v>
      </c>
      <c r="O55" s="11"/>
      <c r="P55" s="7">
        <v>7630</v>
      </c>
      <c r="Q55" s="2"/>
      <c r="R55" s="6">
        <f t="shared" si="40"/>
        <v>0.30142769271125719</v>
      </c>
      <c r="S55" s="2"/>
      <c r="T55" s="7">
        <v>7949</v>
      </c>
      <c r="U55" s="2"/>
      <c r="V55" s="6">
        <f t="shared" si="41"/>
        <v>0.33240499130202061</v>
      </c>
      <c r="W55" s="2"/>
      <c r="X55" s="7">
        <f t="shared" si="42"/>
        <v>-319</v>
      </c>
      <c r="Y55" s="2"/>
      <c r="Z55" s="6">
        <f t="shared" si="43"/>
        <v>-4.013083406717826E-2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SUM(OSRRefD22_11x_0)</f>
        <v>837.4</v>
      </c>
      <c r="E56" s="1"/>
      <c r="F56" s="5">
        <f t="shared" si="36"/>
        <v>3.3081985567025789E-2</v>
      </c>
      <c r="G56" s="1"/>
      <c r="H56" s="1">
        <f>SUM(OSRRefH22_11x_0)</f>
        <v>1041.1600000000001</v>
      </c>
      <c r="I56" s="1"/>
      <c r="J56" s="5">
        <f t="shared" si="37"/>
        <v>4.3538404924394494E-2</v>
      </c>
      <c r="K56" s="1"/>
      <c r="L56" s="1">
        <f t="shared" si="38"/>
        <v>-203.7600000000001</v>
      </c>
      <c r="M56" s="1"/>
      <c r="N56" s="5">
        <f t="shared" si="39"/>
        <v>-0.19570479081025019</v>
      </c>
      <c r="O56" s="14"/>
      <c r="P56" s="1">
        <f>SUM(OSRRefP22_11x_0)</f>
        <v>837.4</v>
      </c>
      <c r="Q56" s="1"/>
      <c r="R56" s="5">
        <f t="shared" si="40"/>
        <v>3.3081985567025789E-2</v>
      </c>
      <c r="S56" s="1"/>
      <c r="T56" s="1">
        <f>SUM(OSRRefT22_11x_0)</f>
        <v>1041.1600000000001</v>
      </c>
      <c r="U56" s="1"/>
      <c r="V56" s="5">
        <f t="shared" si="41"/>
        <v>4.3538404924394494E-2</v>
      </c>
      <c r="W56" s="1"/>
      <c r="X56" s="1">
        <f t="shared" si="42"/>
        <v>-203.7600000000001</v>
      </c>
      <c r="Y56" s="1"/>
      <c r="Z56" s="5">
        <f t="shared" si="43"/>
        <v>-0.19570479081025019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837.4</v>
      </c>
      <c r="E57" s="2"/>
      <c r="F57" s="6">
        <f t="shared" si="36"/>
        <v>3.3081985567025789E-2</v>
      </c>
      <c r="G57" s="2"/>
      <c r="H57" s="7">
        <v>1041.1600000000001</v>
      </c>
      <c r="I57" s="2"/>
      <c r="J57" s="6">
        <f t="shared" si="37"/>
        <v>4.3538404924394494E-2</v>
      </c>
      <c r="K57" s="2"/>
      <c r="L57" s="7">
        <f t="shared" si="38"/>
        <v>-203.7600000000001</v>
      </c>
      <c r="M57" s="2"/>
      <c r="N57" s="6">
        <f t="shared" si="39"/>
        <v>-0.19570479081025019</v>
      </c>
      <c r="O57" s="11"/>
      <c r="P57" s="7">
        <v>837.4</v>
      </c>
      <c r="Q57" s="2"/>
      <c r="R57" s="6">
        <f t="shared" si="40"/>
        <v>3.3081985567025789E-2</v>
      </c>
      <c r="S57" s="2"/>
      <c r="T57" s="7">
        <v>1041.1600000000001</v>
      </c>
      <c r="U57" s="2"/>
      <c r="V57" s="6">
        <f t="shared" si="41"/>
        <v>4.3538404924394494E-2</v>
      </c>
      <c r="W57" s="2"/>
      <c r="X57" s="7">
        <f t="shared" si="42"/>
        <v>-203.7600000000001</v>
      </c>
      <c r="Y57" s="2"/>
      <c r="Z57" s="6">
        <f t="shared" si="43"/>
        <v>-0.19570479081025019</v>
      </c>
    </row>
    <row r="58" spans="1:26" s="28" customFormat="1" outlineLevel="1" collapsed="1" x14ac:dyDescent="0.25">
      <c r="A58" s="27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SUM(OSRRefD22_12x_0)</f>
        <v>4293.7</v>
      </c>
      <c r="E58" s="1"/>
      <c r="F58" s="5">
        <f t="shared" si="36"/>
        <v>0.16962517486164153</v>
      </c>
      <c r="G58" s="1"/>
      <c r="H58" s="1">
        <f>SUM(OSRRefH22_12x_0)</f>
        <v>4125.46</v>
      </c>
      <c r="I58" s="1"/>
      <c r="J58" s="5">
        <f t="shared" si="37"/>
        <v>0.17251522146393686</v>
      </c>
      <c r="K58" s="1"/>
      <c r="L58" s="1">
        <f t="shared" si="38"/>
        <v>168.23999999999978</v>
      </c>
      <c r="M58" s="1"/>
      <c r="N58" s="5">
        <f t="shared" si="39"/>
        <v>4.0780906856447467E-2</v>
      </c>
      <c r="O58" s="14"/>
      <c r="P58" s="1">
        <f>SUM(OSRRefP22_12x_0)</f>
        <v>4293.7</v>
      </c>
      <c r="Q58" s="1"/>
      <c r="R58" s="5">
        <f t="shared" si="40"/>
        <v>0.16962517486164153</v>
      </c>
      <c r="S58" s="1"/>
      <c r="T58" s="1">
        <f>SUM(OSRRefT22_12x_0)</f>
        <v>4125.46</v>
      </c>
      <c r="U58" s="1"/>
      <c r="V58" s="5">
        <f t="shared" si="41"/>
        <v>0.17251522146393686</v>
      </c>
      <c r="W58" s="1"/>
      <c r="X58" s="1">
        <f t="shared" si="42"/>
        <v>168.23999999999978</v>
      </c>
      <c r="Y58" s="1"/>
      <c r="Z58" s="5">
        <f t="shared" si="43"/>
        <v>4.0780906856447467E-2</v>
      </c>
    </row>
    <row r="59" spans="1:26" s="24" customFormat="1" hidden="1" outlineLevel="2" x14ac:dyDescent="0.25">
      <c r="A59" s="29"/>
      <c r="B59" s="11" t="str">
        <f>CONCATENATE("          ", "6282", " - ", "JANITORIAL/EXTERMINATOR EXPENS")</f>
        <v xml:space="preserve">          6282 - JANITORIAL/EXTERMINATOR EXPENS</v>
      </c>
      <c r="C59" s="11"/>
      <c r="D59" s="7">
        <v>328.54</v>
      </c>
      <c r="E59" s="2"/>
      <c r="F59" s="6">
        <f t="shared" si="36"/>
        <v>1.2979168304502809E-2</v>
      </c>
      <c r="G59" s="2"/>
      <c r="H59" s="7">
        <v>328.54</v>
      </c>
      <c r="I59" s="2"/>
      <c r="J59" s="6">
        <f t="shared" si="37"/>
        <v>1.3738625719255991E-2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328.54</v>
      </c>
      <c r="Q59" s="2"/>
      <c r="R59" s="6">
        <f t="shared" si="40"/>
        <v>1.2979168304502809E-2</v>
      </c>
      <c r="S59" s="2"/>
      <c r="T59" s="7">
        <v>328.54</v>
      </c>
      <c r="U59" s="2"/>
      <c r="V59" s="6">
        <f t="shared" si="41"/>
        <v>1.3738625719255991E-2</v>
      </c>
      <c r="W59" s="2"/>
      <c r="X59" s="7">
        <f t="shared" si="42"/>
        <v>0</v>
      </c>
      <c r="Y59" s="2"/>
      <c r="Z59" s="6">
        <f t="shared" si="43"/>
        <v>0</v>
      </c>
    </row>
    <row r="60" spans="1:26" s="24" customFormat="1" hidden="1" outlineLevel="2" x14ac:dyDescent="0.25">
      <c r="A60" s="29"/>
      <c r="B60" s="11" t="str">
        <f>CONCATENATE("          ", "6283", " - ", "PLANT SERVICE")</f>
        <v xml:space="preserve">          6283 - PLANT SERVICE</v>
      </c>
      <c r="C60" s="11"/>
      <c r="D60" s="7">
        <v>61.55</v>
      </c>
      <c r="E60" s="2"/>
      <c r="F60" s="6">
        <f t="shared" si="36"/>
        <v>2.4315693953313078E-3</v>
      </c>
      <c r="G60" s="2"/>
      <c r="H60" s="7">
        <v>56</v>
      </c>
      <c r="I60" s="2"/>
      <c r="J60" s="6">
        <f t="shared" si="37"/>
        <v>2.34176368259066E-3</v>
      </c>
      <c r="K60" s="2"/>
      <c r="L60" s="7">
        <f t="shared" si="38"/>
        <v>5.5499999999999972</v>
      </c>
      <c r="M60" s="2"/>
      <c r="N60" s="6">
        <f t="shared" si="39"/>
        <v>9.910714285714281E-2</v>
      </c>
      <c r="O60" s="11"/>
      <c r="P60" s="7">
        <v>61.55</v>
      </c>
      <c r="Q60" s="2"/>
      <c r="R60" s="6">
        <f t="shared" si="40"/>
        <v>2.4315693953313078E-3</v>
      </c>
      <c r="S60" s="2"/>
      <c r="T60" s="7">
        <v>56</v>
      </c>
      <c r="U60" s="2"/>
      <c r="V60" s="6">
        <f t="shared" si="41"/>
        <v>2.34176368259066E-3</v>
      </c>
      <c r="W60" s="2"/>
      <c r="X60" s="7">
        <f t="shared" si="42"/>
        <v>5.5499999999999972</v>
      </c>
      <c r="Y60" s="2"/>
      <c r="Z60" s="6">
        <f t="shared" si="43"/>
        <v>9.910714285714281E-2</v>
      </c>
    </row>
    <row r="61" spans="1:26" s="24" customFormat="1" hidden="1" outlineLevel="2" x14ac:dyDescent="0.25">
      <c r="A61" s="29"/>
      <c r="B61" s="11" t="str">
        <f>CONCATENATE("          ", "6284", " - ", "TRASH REMOVAL EXPENSE")</f>
        <v xml:space="preserve">          6284 - TRASH REMOVAL EXPENSE</v>
      </c>
      <c r="C61" s="11"/>
      <c r="D61" s="7">
        <v>623</v>
      </c>
      <c r="E61" s="2"/>
      <c r="F61" s="6">
        <f t="shared" si="36"/>
        <v>2.4611985918625585E-2</v>
      </c>
      <c r="G61" s="2"/>
      <c r="H61" s="7">
        <v>474</v>
      </c>
      <c r="I61" s="2"/>
      <c r="J61" s="6">
        <f t="shared" si="37"/>
        <v>1.982135688478523E-2</v>
      </c>
      <c r="K61" s="2"/>
      <c r="L61" s="7">
        <f t="shared" si="38"/>
        <v>149</v>
      </c>
      <c r="M61" s="2"/>
      <c r="N61" s="6">
        <f t="shared" si="39"/>
        <v>0.31434599156118143</v>
      </c>
      <c r="O61" s="11"/>
      <c r="P61" s="7">
        <v>623</v>
      </c>
      <c r="Q61" s="2"/>
      <c r="R61" s="6">
        <f t="shared" si="40"/>
        <v>2.4611985918625585E-2</v>
      </c>
      <c r="S61" s="2"/>
      <c r="T61" s="7">
        <v>474</v>
      </c>
      <c r="U61" s="2"/>
      <c r="V61" s="6">
        <f t="shared" si="41"/>
        <v>1.982135688478523E-2</v>
      </c>
      <c r="W61" s="2"/>
      <c r="X61" s="7">
        <f t="shared" si="42"/>
        <v>149</v>
      </c>
      <c r="Y61" s="2"/>
      <c r="Z61" s="6">
        <f t="shared" si="43"/>
        <v>0.31434599156118143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7">
        <v>3040.95</v>
      </c>
      <c r="E62" s="2"/>
      <c r="F62" s="6">
        <f t="shared" si="36"/>
        <v>0.1201345402556091</v>
      </c>
      <c r="G62" s="2"/>
      <c r="H62" s="7">
        <v>2997.7</v>
      </c>
      <c r="I62" s="2"/>
      <c r="J62" s="6">
        <f t="shared" si="37"/>
        <v>0.12535544627325038</v>
      </c>
      <c r="K62" s="2"/>
      <c r="L62" s="7">
        <f t="shared" si="38"/>
        <v>43.25</v>
      </c>
      <c r="M62" s="2"/>
      <c r="N62" s="6">
        <f t="shared" si="39"/>
        <v>1.4427727924742303E-2</v>
      </c>
      <c r="O62" s="11"/>
      <c r="P62" s="7">
        <v>3040.95</v>
      </c>
      <c r="Q62" s="2"/>
      <c r="R62" s="6">
        <f t="shared" si="40"/>
        <v>0.1201345402556091</v>
      </c>
      <c r="S62" s="2"/>
      <c r="T62" s="7">
        <v>2997.7</v>
      </c>
      <c r="U62" s="2"/>
      <c r="V62" s="6">
        <f t="shared" si="41"/>
        <v>0.12535544627325038</v>
      </c>
      <c r="W62" s="2"/>
      <c r="X62" s="7">
        <f t="shared" si="42"/>
        <v>43.25</v>
      </c>
      <c r="Y62" s="2"/>
      <c r="Z62" s="6">
        <f t="shared" si="43"/>
        <v>1.4427727924742303E-2</v>
      </c>
    </row>
    <row r="63" spans="1:26" s="24" customFormat="1" hidden="1" outlineLevel="2" x14ac:dyDescent="0.25">
      <c r="A63" s="29"/>
      <c r="B63" s="11" t="str">
        <f>CONCATENATE("          ", "6286", " - ", "LAUNDRY EXPENSE")</f>
        <v xml:space="preserve">          6286 - LAUNDRY EXPENSE</v>
      </c>
      <c r="C63" s="11"/>
      <c r="D63" s="7">
        <v>239.66</v>
      </c>
      <c r="E63" s="2"/>
      <c r="F63" s="6">
        <f t="shared" si="36"/>
        <v>9.4679109875727245E-3</v>
      </c>
      <c r="G63" s="2"/>
      <c r="H63" s="7">
        <v>269.22000000000003</v>
      </c>
      <c r="I63" s="2"/>
      <c r="J63" s="6">
        <f t="shared" si="37"/>
        <v>1.1258028904054598E-2</v>
      </c>
      <c r="K63" s="2"/>
      <c r="L63" s="7">
        <f t="shared" si="38"/>
        <v>-29.560000000000031</v>
      </c>
      <c r="M63" s="2"/>
      <c r="N63" s="6">
        <f t="shared" si="39"/>
        <v>-0.10979867766139227</v>
      </c>
      <c r="O63" s="11"/>
      <c r="P63" s="7">
        <v>239.66</v>
      </c>
      <c r="Q63" s="2"/>
      <c r="R63" s="6">
        <f t="shared" si="40"/>
        <v>9.4679109875727245E-3</v>
      </c>
      <c r="S63" s="2"/>
      <c r="T63" s="7">
        <v>269.22000000000003</v>
      </c>
      <c r="U63" s="2"/>
      <c r="V63" s="6">
        <f t="shared" si="41"/>
        <v>1.1258028904054598E-2</v>
      </c>
      <c r="W63" s="2"/>
      <c r="X63" s="7">
        <f t="shared" si="42"/>
        <v>-29.560000000000031</v>
      </c>
      <c r="Y63" s="2"/>
      <c r="Z63" s="6">
        <f t="shared" si="43"/>
        <v>-0.10979867766139227</v>
      </c>
    </row>
    <row r="64" spans="1:26" s="28" customFormat="1" outlineLevel="1" collapsed="1" x14ac:dyDescent="0.25">
      <c r="A64" s="27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SUM(OSRRefD22_13x_0)</f>
        <v>196.71</v>
      </c>
      <c r="E64" s="1"/>
      <c r="F64" s="5">
        <f t="shared" ref="F64:F72" si="44">IF(D$12=0,0,D64/D$12)</f>
        <v>7.7711456662164355E-3</v>
      </c>
      <c r="G64" s="1"/>
      <c r="H64" s="1">
        <f>SUM(OSRRefH22_13x_0)</f>
        <v>0</v>
      </c>
      <c r="I64" s="1"/>
      <c r="J64" s="5">
        <f t="shared" ref="J64:J72" si="45">IF(H$12=0,0,H64/H$12)</f>
        <v>0</v>
      </c>
      <c r="K64" s="1"/>
      <c r="L64" s="1">
        <f t="shared" ref="L64:L72" si="46">+D64-H64</f>
        <v>196.71</v>
      </c>
      <c r="M64" s="1"/>
      <c r="N64" s="5">
        <f t="shared" ref="N64:N72" si="47">IF(H64=0,0,L64/H64)</f>
        <v>0</v>
      </c>
      <c r="O64" s="14"/>
      <c r="P64" s="1">
        <f>SUM(OSRRefP22_13x_0)</f>
        <v>196.71</v>
      </c>
      <c r="Q64" s="1"/>
      <c r="R64" s="5">
        <f t="shared" ref="R64:R72" si="48">IF(P$12=0,0,P64/P$12)</f>
        <v>7.7711456662164355E-3</v>
      </c>
      <c r="S64" s="1"/>
      <c r="T64" s="1">
        <f>SUM(OSRRefT22_13x_0)</f>
        <v>0</v>
      </c>
      <c r="U64" s="1"/>
      <c r="V64" s="5">
        <f t="shared" ref="V64:V72" si="49">IF(T$12=0,0,T64/T$12)</f>
        <v>0</v>
      </c>
      <c r="W64" s="1"/>
      <c r="X64" s="1">
        <f t="shared" ref="X64:X72" si="50">+P64-T64</f>
        <v>196.71</v>
      </c>
      <c r="Y64" s="1"/>
      <c r="Z64" s="5">
        <f t="shared" ref="Z64:Z72" si="51">IF(T64=0,0,X64/T64)</f>
        <v>0</v>
      </c>
    </row>
    <row r="65" spans="1:26" s="24" customFormat="1" hidden="1" outlineLevel="2" x14ac:dyDescent="0.25">
      <c r="A65" s="29"/>
      <c r="B65" s="11" t="str">
        <f>CONCATENATE("          ", "6275", " - ", "SUBSCRIPTIONS")</f>
        <v xml:space="preserve">          6275 - SUBSCRIPTIONS</v>
      </c>
      <c r="C65" s="11"/>
      <c r="D65" s="7">
        <v>196.71</v>
      </c>
      <c r="E65" s="2"/>
      <c r="F65" s="6">
        <f t="shared" si="44"/>
        <v>7.7711456662164355E-3</v>
      </c>
      <c r="G65" s="2"/>
      <c r="H65" s="7"/>
      <c r="I65" s="2"/>
      <c r="J65" s="6">
        <f t="shared" si="45"/>
        <v>0</v>
      </c>
      <c r="K65" s="2"/>
      <c r="L65" s="7">
        <f t="shared" si="46"/>
        <v>196.71</v>
      </c>
      <c r="M65" s="2"/>
      <c r="N65" s="6">
        <f t="shared" si="47"/>
        <v>0</v>
      </c>
      <c r="O65" s="11"/>
      <c r="P65" s="7">
        <v>196.71</v>
      </c>
      <c r="Q65" s="2"/>
      <c r="R65" s="6">
        <f t="shared" si="48"/>
        <v>7.7711456662164355E-3</v>
      </c>
      <c r="S65" s="2"/>
      <c r="T65" s="7"/>
      <c r="U65" s="2"/>
      <c r="V65" s="6">
        <f t="shared" si="49"/>
        <v>0</v>
      </c>
      <c r="W65" s="2"/>
      <c r="X65" s="7">
        <f t="shared" si="50"/>
        <v>196.71</v>
      </c>
      <c r="Y65" s="2"/>
      <c r="Z65" s="6">
        <f t="shared" si="51"/>
        <v>0</v>
      </c>
    </row>
    <row r="66" spans="1:26" s="28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SUM(OSRRefD22_14x_0)</f>
        <v>988.7600000000001</v>
      </c>
      <c r="E66" s="1"/>
      <c r="F66" s="5">
        <f t="shared" si="44"/>
        <v>3.9061552482985935E-2</v>
      </c>
      <c r="G66" s="1"/>
      <c r="H66" s="1">
        <f>SUM(OSRRefH22_14x_0)</f>
        <v>3015.6500000000005</v>
      </c>
      <c r="I66" s="1"/>
      <c r="J66" s="5">
        <f t="shared" si="45"/>
        <v>0.12610606516793793</v>
      </c>
      <c r="K66" s="1"/>
      <c r="L66" s="1">
        <f t="shared" si="46"/>
        <v>-2026.8900000000003</v>
      </c>
      <c r="M66" s="1"/>
      <c r="N66" s="5">
        <f t="shared" si="47"/>
        <v>-0.67212375441447114</v>
      </c>
      <c r="O66" s="14"/>
      <c r="P66" s="1">
        <f>SUM(OSRRefP22_14x_0)</f>
        <v>988.7600000000001</v>
      </c>
      <c r="Q66" s="1"/>
      <c r="R66" s="5">
        <f t="shared" si="48"/>
        <v>3.9061552482985935E-2</v>
      </c>
      <c r="S66" s="1"/>
      <c r="T66" s="1">
        <f>SUM(OSRRefT22_14x_0)</f>
        <v>3015.6500000000005</v>
      </c>
      <c r="U66" s="1"/>
      <c r="V66" s="5">
        <f t="shared" si="49"/>
        <v>0.12610606516793793</v>
      </c>
      <c r="W66" s="1"/>
      <c r="X66" s="1">
        <f t="shared" si="50"/>
        <v>-2026.8900000000003</v>
      </c>
      <c r="Y66" s="1"/>
      <c r="Z66" s="5">
        <f t="shared" si="51"/>
        <v>-0.67212375441447114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7">
        <v>522.86</v>
      </c>
      <c r="E67" s="2"/>
      <c r="F67" s="6">
        <f t="shared" si="44"/>
        <v>2.0655895597772991E-2</v>
      </c>
      <c r="G67" s="2"/>
      <c r="H67" s="7">
        <v>1465.66</v>
      </c>
      <c r="I67" s="2"/>
      <c r="J67" s="6">
        <f t="shared" si="45"/>
        <v>6.1289809982604047E-2</v>
      </c>
      <c r="K67" s="2"/>
      <c r="L67" s="7">
        <f t="shared" si="46"/>
        <v>-942.80000000000007</v>
      </c>
      <c r="M67" s="2"/>
      <c r="N67" s="6">
        <f t="shared" si="47"/>
        <v>-0.64325969187942633</v>
      </c>
      <c r="O67" s="11"/>
      <c r="P67" s="7">
        <v>522.86</v>
      </c>
      <c r="Q67" s="2"/>
      <c r="R67" s="6">
        <f t="shared" si="48"/>
        <v>2.0655895597772991E-2</v>
      </c>
      <c r="S67" s="2"/>
      <c r="T67" s="7">
        <v>1465.66</v>
      </c>
      <c r="U67" s="2"/>
      <c r="V67" s="6">
        <f t="shared" si="49"/>
        <v>6.1289809982604047E-2</v>
      </c>
      <c r="W67" s="2"/>
      <c r="X67" s="7">
        <f t="shared" si="50"/>
        <v>-942.80000000000007</v>
      </c>
      <c r="Y67" s="2"/>
      <c r="Z67" s="6">
        <f t="shared" si="51"/>
        <v>-0.64325969187942633</v>
      </c>
    </row>
    <row r="68" spans="1:26" s="24" customFormat="1" hidden="1" outlineLevel="2" x14ac:dyDescent="0.25">
      <c r="A68" s="29"/>
      <c r="B68" s="11" t="str">
        <f>CONCATENATE("          ", "6239", " - ", "KITCHEN SUPPLIES")</f>
        <v xml:space="preserve">          6239 - KITCHEN SUPPLIES</v>
      </c>
      <c r="C68" s="11"/>
      <c r="D68" s="7">
        <v>63.23</v>
      </c>
      <c r="E68" s="2"/>
      <c r="F68" s="6">
        <f t="shared" si="44"/>
        <v>2.4979387955613094E-3</v>
      </c>
      <c r="G68" s="2"/>
      <c r="H68" s="7">
        <v>187.29</v>
      </c>
      <c r="I68" s="2"/>
      <c r="J68" s="6">
        <f t="shared" si="45"/>
        <v>7.8319450020072259E-3</v>
      </c>
      <c r="K68" s="2"/>
      <c r="L68" s="7">
        <f t="shared" si="46"/>
        <v>-124.06</v>
      </c>
      <c r="M68" s="2"/>
      <c r="N68" s="6">
        <f t="shared" si="47"/>
        <v>-0.66239521597522566</v>
      </c>
      <c r="O68" s="11"/>
      <c r="P68" s="7">
        <v>63.23</v>
      </c>
      <c r="Q68" s="2"/>
      <c r="R68" s="6">
        <f t="shared" si="48"/>
        <v>2.4979387955613094E-3</v>
      </c>
      <c r="S68" s="2"/>
      <c r="T68" s="7">
        <v>187.29</v>
      </c>
      <c r="U68" s="2"/>
      <c r="V68" s="6">
        <f t="shared" si="49"/>
        <v>7.8319450020072259E-3</v>
      </c>
      <c r="W68" s="2"/>
      <c r="X68" s="7">
        <f t="shared" si="50"/>
        <v>-124.06</v>
      </c>
      <c r="Y68" s="2"/>
      <c r="Z68" s="6">
        <f t="shared" si="51"/>
        <v>-0.66239521597522566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7">
        <v>44.06</v>
      </c>
      <c r="E69" s="2"/>
      <c r="F69" s="6">
        <f t="shared" si="44"/>
        <v>1.7406165322225416E-3</v>
      </c>
      <c r="G69" s="2"/>
      <c r="H69" s="7">
        <v>355.62</v>
      </c>
      <c r="I69" s="2"/>
      <c r="J69" s="6">
        <f t="shared" si="45"/>
        <v>1.4871035728623043E-2</v>
      </c>
      <c r="K69" s="2"/>
      <c r="L69" s="7">
        <f t="shared" si="46"/>
        <v>-311.56</v>
      </c>
      <c r="M69" s="2"/>
      <c r="N69" s="6">
        <f t="shared" si="47"/>
        <v>-0.87610370620325062</v>
      </c>
      <c r="O69" s="11"/>
      <c r="P69" s="7">
        <v>44.06</v>
      </c>
      <c r="Q69" s="2"/>
      <c r="R69" s="6">
        <f t="shared" si="48"/>
        <v>1.7406165322225416E-3</v>
      </c>
      <c r="S69" s="2"/>
      <c r="T69" s="7">
        <v>355.62</v>
      </c>
      <c r="U69" s="2"/>
      <c r="V69" s="6">
        <f t="shared" si="49"/>
        <v>1.4871035728623043E-2</v>
      </c>
      <c r="W69" s="2"/>
      <c r="X69" s="7">
        <f t="shared" si="50"/>
        <v>-311.56</v>
      </c>
      <c r="Y69" s="2"/>
      <c r="Z69" s="6">
        <f t="shared" si="51"/>
        <v>-0.87610370620325062</v>
      </c>
    </row>
    <row r="70" spans="1:26" s="24" customFormat="1" hidden="1" outlineLevel="2" x14ac:dyDescent="0.25">
      <c r="A70" s="29"/>
      <c r="B70" s="11" t="str">
        <f>CONCATENATE("          ", "6243", " - ", "PAPER SUPPLIES")</f>
        <v xml:space="preserve">          6243 - PAPER SUPPLIES</v>
      </c>
      <c r="C70" s="11"/>
      <c r="D70" s="7">
        <v>358.61</v>
      </c>
      <c r="E70" s="2"/>
      <c r="F70" s="6">
        <f t="shared" si="44"/>
        <v>1.4167101557429087E-2</v>
      </c>
      <c r="G70" s="2"/>
      <c r="H70" s="7">
        <v>339.35</v>
      </c>
      <c r="I70" s="2"/>
      <c r="J70" s="6">
        <f t="shared" si="45"/>
        <v>1.4190669744413223E-2</v>
      </c>
      <c r="K70" s="2"/>
      <c r="L70" s="7">
        <f t="shared" si="46"/>
        <v>19.259999999999991</v>
      </c>
      <c r="M70" s="2"/>
      <c r="N70" s="6">
        <f t="shared" si="47"/>
        <v>5.6755562104022363E-2</v>
      </c>
      <c r="O70" s="11"/>
      <c r="P70" s="7">
        <v>358.61</v>
      </c>
      <c r="Q70" s="2"/>
      <c r="R70" s="6">
        <f t="shared" si="48"/>
        <v>1.4167101557429087E-2</v>
      </c>
      <c r="S70" s="2"/>
      <c r="T70" s="7">
        <v>339.35</v>
      </c>
      <c r="U70" s="2"/>
      <c r="V70" s="6">
        <f t="shared" si="49"/>
        <v>1.4190669744413223E-2</v>
      </c>
      <c r="W70" s="2"/>
      <c r="X70" s="7">
        <f t="shared" si="50"/>
        <v>19.259999999999991</v>
      </c>
      <c r="Y70" s="2"/>
      <c r="Z70" s="6">
        <f t="shared" si="51"/>
        <v>5.6755562104022363E-2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44"/>
        <v>0</v>
      </c>
      <c r="G71" s="2"/>
      <c r="H71" s="7">
        <v>138.53</v>
      </c>
      <c r="I71" s="2"/>
      <c r="J71" s="6">
        <f t="shared" si="45"/>
        <v>5.7929379098086448E-3</v>
      </c>
      <c r="K71" s="2"/>
      <c r="L71" s="7">
        <f t="shared" si="46"/>
        <v>-138.53</v>
      </c>
      <c r="M71" s="2"/>
      <c r="N71" s="6">
        <f t="shared" si="47"/>
        <v>-1</v>
      </c>
      <c r="O71" s="11"/>
      <c r="P71" s="7"/>
      <c r="Q71" s="2"/>
      <c r="R71" s="6">
        <f t="shared" si="48"/>
        <v>0</v>
      </c>
      <c r="S71" s="2"/>
      <c r="T71" s="7">
        <v>138.53</v>
      </c>
      <c r="U71" s="2"/>
      <c r="V71" s="6">
        <f t="shared" si="49"/>
        <v>5.7929379098086448E-3</v>
      </c>
      <c r="W71" s="2"/>
      <c r="X71" s="7">
        <f t="shared" si="50"/>
        <v>-138.53</v>
      </c>
      <c r="Y71" s="2"/>
      <c r="Z71" s="6">
        <f t="shared" si="51"/>
        <v>-1</v>
      </c>
    </row>
    <row r="72" spans="1:26" s="24" customFormat="1" hidden="1" outlineLevel="2" x14ac:dyDescent="0.25">
      <c r="A72" s="29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44"/>
        <v>0</v>
      </c>
      <c r="G72" s="2"/>
      <c r="H72" s="7">
        <v>529.20000000000005</v>
      </c>
      <c r="I72" s="2"/>
      <c r="J72" s="6">
        <f t="shared" si="45"/>
        <v>2.2129666800481739E-2</v>
      </c>
      <c r="K72" s="2"/>
      <c r="L72" s="7">
        <f t="shared" si="46"/>
        <v>-529.20000000000005</v>
      </c>
      <c r="M72" s="2"/>
      <c r="N72" s="6">
        <f t="shared" si="47"/>
        <v>-1</v>
      </c>
      <c r="O72" s="11"/>
      <c r="P72" s="7"/>
      <c r="Q72" s="2"/>
      <c r="R72" s="6">
        <f t="shared" si="48"/>
        <v>0</v>
      </c>
      <c r="S72" s="2"/>
      <c r="T72" s="7">
        <v>529.20000000000005</v>
      </c>
      <c r="U72" s="2"/>
      <c r="V72" s="6">
        <f t="shared" si="49"/>
        <v>2.2129666800481739E-2</v>
      </c>
      <c r="W72" s="2"/>
      <c r="X72" s="7">
        <f t="shared" si="50"/>
        <v>-529.20000000000005</v>
      </c>
      <c r="Y72" s="2"/>
      <c r="Z72" s="6">
        <f t="shared" si="51"/>
        <v>-1</v>
      </c>
    </row>
    <row r="73" spans="1:26" s="28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SUM(OSRRefD22_15x_0)</f>
        <v>92</v>
      </c>
      <c r="E73" s="1"/>
      <c r="F73" s="5">
        <f t="shared" ref="F73:F78" si="52">IF(D$12=0,0,D73/D$12)</f>
        <v>3.6345147745000866E-3</v>
      </c>
      <c r="G73" s="1"/>
      <c r="H73" s="1">
        <f>SUM(OSRRefH22_15x_0)</f>
        <v>149.25</v>
      </c>
      <c r="I73" s="1"/>
      <c r="J73" s="5">
        <f t="shared" ref="J73:J78" si="53">IF(H$12=0,0,H73/H$12)</f>
        <v>6.2412183861902852E-3</v>
      </c>
      <c r="K73" s="1"/>
      <c r="L73" s="1">
        <f t="shared" ref="L73:L78" si="54">+D73-H73</f>
        <v>-57.25</v>
      </c>
      <c r="M73" s="1"/>
      <c r="N73" s="5">
        <f t="shared" ref="N73:N78" si="55">IF(H73=0,0,L73/H73)</f>
        <v>-0.38358458961474035</v>
      </c>
      <c r="O73" s="14"/>
      <c r="P73" s="1">
        <f>SUM(OSRRefP22_15x_0)</f>
        <v>92</v>
      </c>
      <c r="Q73" s="1"/>
      <c r="R73" s="5">
        <f t="shared" ref="R73:R78" si="56">IF(P$12=0,0,P73/P$12)</f>
        <v>3.6345147745000866E-3</v>
      </c>
      <c r="S73" s="1"/>
      <c r="T73" s="1">
        <f>SUM(OSRRefT22_15x_0)</f>
        <v>149.25</v>
      </c>
      <c r="U73" s="1"/>
      <c r="V73" s="5">
        <f t="shared" ref="V73:V78" si="57">IF(T$12=0,0,T73/T$12)</f>
        <v>6.2412183861902852E-3</v>
      </c>
      <c r="W73" s="1"/>
      <c r="X73" s="1">
        <f t="shared" ref="X73:X78" si="58">+P73-T73</f>
        <v>-57.25</v>
      </c>
      <c r="Y73" s="1"/>
      <c r="Z73" s="5">
        <f t="shared" ref="Z73:Z78" si="59">IF(T73=0,0,X73/T73)</f>
        <v>-0.38358458961474035</v>
      </c>
    </row>
    <row r="74" spans="1:26" s="24" customFormat="1" hidden="1" outlineLevel="2" x14ac:dyDescent="0.25">
      <c r="A74" s="29"/>
      <c r="B74" s="11" t="str">
        <f>CONCATENATE("          ", "6309", " - ", "TELEPHONE")</f>
        <v xml:space="preserve">          6309 - TELEPHONE</v>
      </c>
      <c r="C74" s="11"/>
      <c r="D74" s="7">
        <v>92</v>
      </c>
      <c r="E74" s="2"/>
      <c r="F74" s="6">
        <f t="shared" si="52"/>
        <v>3.6345147745000866E-3</v>
      </c>
      <c r="G74" s="2"/>
      <c r="H74" s="7">
        <v>149.25</v>
      </c>
      <c r="I74" s="2"/>
      <c r="J74" s="6">
        <f t="shared" si="53"/>
        <v>6.2412183861902852E-3</v>
      </c>
      <c r="K74" s="2"/>
      <c r="L74" s="7">
        <f t="shared" si="54"/>
        <v>-57.25</v>
      </c>
      <c r="M74" s="2"/>
      <c r="N74" s="6">
        <f t="shared" si="55"/>
        <v>-0.38358458961474035</v>
      </c>
      <c r="O74" s="11"/>
      <c r="P74" s="7">
        <v>92</v>
      </c>
      <c r="Q74" s="2"/>
      <c r="R74" s="6">
        <f t="shared" si="56"/>
        <v>3.6345147745000866E-3</v>
      </c>
      <c r="S74" s="2"/>
      <c r="T74" s="7">
        <v>149.25</v>
      </c>
      <c r="U74" s="2"/>
      <c r="V74" s="6">
        <f t="shared" si="57"/>
        <v>6.2412183861902852E-3</v>
      </c>
      <c r="W74" s="2"/>
      <c r="X74" s="7">
        <f t="shared" si="58"/>
        <v>-57.25</v>
      </c>
      <c r="Y74" s="2"/>
      <c r="Z74" s="6">
        <f t="shared" si="59"/>
        <v>-0.38358458961474035</v>
      </c>
    </row>
    <row r="75" spans="1:26" s="28" customFormat="1" outlineLevel="1" collapsed="1" x14ac:dyDescent="0.25">
      <c r="A75" s="27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SUM(OSRRefD22_16x_0)</f>
        <v>0</v>
      </c>
      <c r="E75" s="1"/>
      <c r="F75" s="5">
        <f t="shared" si="52"/>
        <v>0</v>
      </c>
      <c r="G75" s="1"/>
      <c r="H75" s="1">
        <f>SUM(OSRRefH22_16x_0)</f>
        <v>98.83</v>
      </c>
      <c r="I75" s="1"/>
      <c r="J75" s="5">
        <f t="shared" si="53"/>
        <v>4.1327947276863378E-3</v>
      </c>
      <c r="K75" s="1"/>
      <c r="L75" s="1">
        <f t="shared" si="54"/>
        <v>-98.83</v>
      </c>
      <c r="M75" s="1"/>
      <c r="N75" s="5">
        <f t="shared" si="55"/>
        <v>-1</v>
      </c>
      <c r="O75" s="14"/>
      <c r="P75" s="1">
        <f>SUM(OSRRefP22_16x_0)</f>
        <v>0</v>
      </c>
      <c r="Q75" s="1"/>
      <c r="R75" s="5">
        <f t="shared" si="56"/>
        <v>0</v>
      </c>
      <c r="S75" s="1"/>
      <c r="T75" s="1">
        <f>SUM(OSRRefT22_16x_0)</f>
        <v>98.83</v>
      </c>
      <c r="U75" s="1"/>
      <c r="V75" s="5">
        <f t="shared" si="57"/>
        <v>4.1327947276863378E-3</v>
      </c>
      <c r="W75" s="1"/>
      <c r="X75" s="1">
        <f t="shared" si="58"/>
        <v>-98.83</v>
      </c>
      <c r="Y75" s="1"/>
      <c r="Z75" s="5">
        <f t="shared" si="59"/>
        <v>-1</v>
      </c>
    </row>
    <row r="76" spans="1:26" s="24" customFormat="1" hidden="1" outlineLevel="2" x14ac:dyDescent="0.25">
      <c r="A76" s="29"/>
      <c r="B76" s="11" t="str">
        <f>CONCATENATE("          ", "6376", " - ", "TRAINING")</f>
        <v xml:space="preserve">          6376 - TRAINING</v>
      </c>
      <c r="C76" s="11"/>
      <c r="D76" s="7"/>
      <c r="E76" s="2"/>
      <c r="F76" s="6">
        <f t="shared" si="52"/>
        <v>0</v>
      </c>
      <c r="G76" s="2"/>
      <c r="H76" s="7">
        <v>98.83</v>
      </c>
      <c r="I76" s="2"/>
      <c r="J76" s="6">
        <f t="shared" si="53"/>
        <v>4.1327947276863378E-3</v>
      </c>
      <c r="K76" s="2"/>
      <c r="L76" s="7">
        <f t="shared" si="54"/>
        <v>-98.83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98.83</v>
      </c>
      <c r="U76" s="2"/>
      <c r="V76" s="6">
        <f t="shared" si="57"/>
        <v>4.1327947276863378E-3</v>
      </c>
      <c r="W76" s="2"/>
      <c r="X76" s="7">
        <f t="shared" si="58"/>
        <v>-98.83</v>
      </c>
      <c r="Y76" s="2"/>
      <c r="Z76" s="6">
        <f t="shared" si="59"/>
        <v>-1</v>
      </c>
    </row>
    <row r="77" spans="1:26" s="28" customFormat="1" outlineLevel="1" collapsed="1" x14ac:dyDescent="0.25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SUM(OSRRefD22_17x_0)</f>
        <v>2031</v>
      </c>
      <c r="E77" s="1"/>
      <c r="F77" s="5">
        <f t="shared" si="52"/>
        <v>8.0235864206626914E-2</v>
      </c>
      <c r="G77" s="1"/>
      <c r="H77" s="1">
        <f>SUM(OSRRefH22_17x_0)</f>
        <v>2287</v>
      </c>
      <c r="I77" s="1"/>
      <c r="J77" s="5">
        <f t="shared" si="53"/>
        <v>9.5635956108657841E-2</v>
      </c>
      <c r="K77" s="1"/>
      <c r="L77" s="1">
        <f t="shared" si="54"/>
        <v>-256</v>
      </c>
      <c r="M77" s="1"/>
      <c r="N77" s="5">
        <f t="shared" si="55"/>
        <v>-0.11193703541757762</v>
      </c>
      <c r="O77" s="14"/>
      <c r="P77" s="1">
        <f>SUM(OSRRefP22_17x_0)</f>
        <v>2031</v>
      </c>
      <c r="Q77" s="1"/>
      <c r="R77" s="5">
        <f t="shared" si="56"/>
        <v>8.0235864206626914E-2</v>
      </c>
      <c r="S77" s="1"/>
      <c r="T77" s="1">
        <f>SUM(OSRRefT22_17x_0)</f>
        <v>2287</v>
      </c>
      <c r="U77" s="1"/>
      <c r="V77" s="5">
        <f t="shared" si="57"/>
        <v>9.5635956108657841E-2</v>
      </c>
      <c r="W77" s="1"/>
      <c r="X77" s="1">
        <f t="shared" si="58"/>
        <v>-256</v>
      </c>
      <c r="Y77" s="1"/>
      <c r="Z77" s="5">
        <f t="shared" si="59"/>
        <v>-0.11193703541757762</v>
      </c>
    </row>
    <row r="78" spans="1:26" s="24" customFormat="1" hidden="1" outlineLevel="2" x14ac:dyDescent="0.25">
      <c r="A78" s="29"/>
      <c r="B78" s="11" t="str">
        <f>CONCATENATE("          ", "6274", " - ", "UTILITIES")</f>
        <v xml:space="preserve">          6274 - UTILITIES</v>
      </c>
      <c r="C78" s="11"/>
      <c r="D78" s="7">
        <v>2031</v>
      </c>
      <c r="E78" s="2"/>
      <c r="F78" s="6">
        <f t="shared" si="52"/>
        <v>8.0235864206626914E-2</v>
      </c>
      <c r="G78" s="2"/>
      <c r="H78" s="7">
        <v>2287</v>
      </c>
      <c r="I78" s="2"/>
      <c r="J78" s="6">
        <f t="shared" si="53"/>
        <v>9.5635956108657841E-2</v>
      </c>
      <c r="K78" s="2"/>
      <c r="L78" s="7">
        <f t="shared" si="54"/>
        <v>-256</v>
      </c>
      <c r="M78" s="2"/>
      <c r="N78" s="6">
        <f t="shared" si="55"/>
        <v>-0.11193703541757762</v>
      </c>
      <c r="O78" s="11"/>
      <c r="P78" s="7">
        <v>2031</v>
      </c>
      <c r="Q78" s="2"/>
      <c r="R78" s="6">
        <f t="shared" si="56"/>
        <v>8.0235864206626914E-2</v>
      </c>
      <c r="S78" s="2"/>
      <c r="T78" s="7">
        <v>2287</v>
      </c>
      <c r="U78" s="2"/>
      <c r="V78" s="6">
        <f t="shared" si="57"/>
        <v>9.5635956108657841E-2</v>
      </c>
      <c r="W78" s="2"/>
      <c r="X78" s="7">
        <f t="shared" si="58"/>
        <v>-256</v>
      </c>
      <c r="Y78" s="2"/>
      <c r="Z78" s="6">
        <f t="shared" si="59"/>
        <v>-0.11193703541757762</v>
      </c>
    </row>
    <row r="79" spans="1:26" s="54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6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3</v>
      </c>
      <c r="C82" s="25"/>
      <c r="D82" s="21">
        <f>+D20-D22+D80</f>
        <v>-43382.560000000005</v>
      </c>
      <c r="E82" s="13"/>
      <c r="F82" s="20">
        <f>IF(D$12=0,0,D82/D$12)</f>
        <v>-1.713853861691701</v>
      </c>
      <c r="G82" s="13"/>
      <c r="H82" s="21">
        <f>+H20-H22+H80</f>
        <v>-41727.340000000011</v>
      </c>
      <c r="I82" s="13"/>
      <c r="J82" s="20">
        <f>IF(H$12=0,0,H82/H$12)</f>
        <v>-1.7449208818412958</v>
      </c>
      <c r="K82" s="16"/>
      <c r="L82" s="21">
        <f>+D82-H82</f>
        <v>-1655.2199999999939</v>
      </c>
      <c r="M82" s="16"/>
      <c r="N82" s="20">
        <f>IF(H82=0,0,L82/H82)</f>
        <v>3.9667517747356849E-2</v>
      </c>
      <c r="O82" s="26"/>
      <c r="P82" s="21">
        <f>+P20-P22+P80</f>
        <v>-43382.560000000005</v>
      </c>
      <c r="Q82" s="13"/>
      <c r="R82" s="20">
        <f>IF(P$12=0,0,P82/P$12)</f>
        <v>-1.713853861691701</v>
      </c>
      <c r="S82" s="13"/>
      <c r="T82" s="21">
        <f>+T20-T22+T80</f>
        <v>-41727.340000000011</v>
      </c>
      <c r="U82" s="13"/>
      <c r="V82" s="20">
        <f>IF(T$12=0,0,T82/T$12)</f>
        <v>-1.7449208818412958</v>
      </c>
      <c r="W82" s="16"/>
      <c r="X82" s="21">
        <f>+P82-T82</f>
        <v>-1655.2199999999939</v>
      </c>
      <c r="Y82" s="16"/>
      <c r="Z82" s="20">
        <f>IF(T82=0,0,X82/T82)</f>
        <v>3.9667517747356849E-2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5263.29</v>
      </c>
      <c r="E84" s="4"/>
      <c r="F84" s="12">
        <f>IF(D$12=0,0,D84/D$12)</f>
        <v>0.20792940508128868</v>
      </c>
      <c r="G84" s="4"/>
      <c r="H84" s="4">
        <v>4909.4799999999996</v>
      </c>
      <c r="I84" s="4"/>
      <c r="J84" s="12">
        <f>IF(H$12=0,0,H84/H$12)</f>
        <v>0.20530074936437842</v>
      </c>
      <c r="K84" s="4"/>
      <c r="L84" s="4">
        <f>+D84-H84</f>
        <v>353.8100000000004</v>
      </c>
      <c r="M84" s="4"/>
      <c r="N84" s="12">
        <f>IF(H84=0,0,L84/H84)</f>
        <v>7.2066695454508514E-2</v>
      </c>
      <c r="O84" s="10"/>
      <c r="P84" s="4">
        <v>5263.29</v>
      </c>
      <c r="Q84" s="4"/>
      <c r="R84" s="12">
        <f>IF(P$12=0,0,P84/P$12)</f>
        <v>0.20792940508128868</v>
      </c>
      <c r="S84" s="4"/>
      <c r="T84" s="4">
        <v>4909.4799999999996</v>
      </c>
      <c r="U84" s="4"/>
      <c r="V84" s="12">
        <f>IF(T$12=0,0,T84/T$12)</f>
        <v>0.20530074936437842</v>
      </c>
      <c r="W84" s="4"/>
      <c r="X84" s="4">
        <f>+P84-T84</f>
        <v>353.8100000000004</v>
      </c>
      <c r="Y84" s="4"/>
      <c r="Z84" s="12">
        <f>IF(T84=0,0,X84/T84)</f>
        <v>7.2066695454508514E-2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4</v>
      </c>
      <c r="C86" s="25"/>
      <c r="D86" s="33">
        <f>+D82-D84</f>
        <v>-48645.850000000006</v>
      </c>
      <c r="E86" s="13"/>
      <c r="F86" s="34">
        <f>IF(D$12=0,0,D86/D$12)</f>
        <v>-1.9217832667729897</v>
      </c>
      <c r="G86" s="13"/>
      <c r="H86" s="33">
        <f>+H82-H84</f>
        <v>-46636.820000000007</v>
      </c>
      <c r="I86" s="13"/>
      <c r="J86" s="34">
        <f>IF(H$12=0,0,H86/H$12)</f>
        <v>-1.9502216312056742</v>
      </c>
      <c r="K86" s="16"/>
      <c r="L86" s="33">
        <f>D86-H86</f>
        <v>-2009.0299999999988</v>
      </c>
      <c r="M86" s="16"/>
      <c r="N86" s="34">
        <f>IF(H86=0,0,L86/H86)</f>
        <v>4.3078194439500776E-2</v>
      </c>
      <c r="O86" s="26"/>
      <c r="P86" s="33">
        <f>+P82-P84</f>
        <v>-48645.850000000006</v>
      </c>
      <c r="Q86" s="13"/>
      <c r="R86" s="34">
        <f>IF(P$12=0,0,P86/P$12)</f>
        <v>-1.9217832667729897</v>
      </c>
      <c r="S86" s="13"/>
      <c r="T86" s="33">
        <f>+T82-T84</f>
        <v>-46636.820000000007</v>
      </c>
      <c r="U86" s="13"/>
      <c r="V86" s="34">
        <f>IF(T$12=0,0,T86/T$12)</f>
        <v>-1.9502216312056742</v>
      </c>
      <c r="W86" s="16"/>
      <c r="X86" s="33">
        <f>P86-T86</f>
        <v>-2009.0299999999988</v>
      </c>
      <c r="Y86" s="16"/>
      <c r="Z86" s="34">
        <f>IF(T86=0,0,X86/T86)</f>
        <v>4.3078194439500776E-2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5</v>
      </c>
      <c r="C89" s="25"/>
      <c r="D89" s="31">
        <f>SUM(D86:D88)</f>
        <v>-48645.850000000006</v>
      </c>
      <c r="E89" s="13"/>
      <c r="F89" s="30">
        <f>IF(D$12=0,0,D89/D$12)</f>
        <v>-1.9217832667729897</v>
      </c>
      <c r="G89" s="13"/>
      <c r="H89" s="31">
        <f>SUM(H86:H88)</f>
        <v>-46636.820000000007</v>
      </c>
      <c r="I89" s="13"/>
      <c r="J89" s="30">
        <f>IF(H$12=0,0,H89/H$12)</f>
        <v>-1.9502216312056742</v>
      </c>
      <c r="K89" s="16"/>
      <c r="L89" s="31">
        <f>+D89-H89</f>
        <v>-2009.0299999999988</v>
      </c>
      <c r="M89" s="16"/>
      <c r="N89" s="30">
        <f>IF(H89=0,0,L89/H89)</f>
        <v>4.3078194439500776E-2</v>
      </c>
      <c r="O89" s="26"/>
      <c r="P89" s="31">
        <f>SUM(P86:P88)</f>
        <v>-48645.850000000006</v>
      </c>
      <c r="Q89" s="13"/>
      <c r="R89" s="30">
        <f>IF(P$12=0,0,P89/P$12)</f>
        <v>-1.9217832667729897</v>
      </c>
      <c r="S89" s="13"/>
      <c r="T89" s="31">
        <f>SUM(T86:T88)</f>
        <v>-46636.820000000007</v>
      </c>
      <c r="U89" s="13"/>
      <c r="V89" s="30">
        <f>IF(T$12=0,0,T89/T$12)</f>
        <v>-1.9502216312056742</v>
      </c>
      <c r="W89" s="16"/>
      <c r="X89" s="31">
        <f>+P89-T89</f>
        <v>-2009.0299999999988</v>
      </c>
      <c r="Y89" s="16"/>
      <c r="Z89" s="30">
        <f>IF(T89=0,0,X89/T89)</f>
        <v>4.3078194439500776E-2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>
        <v>43726.682267592594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3" t="s">
        <v>313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39880.29</v>
      </c>
      <c r="E12" s="4"/>
      <c r="F12" s="12"/>
      <c r="G12" s="4"/>
      <c r="H12" s="4">
        <f>SUM(OSRRefH13x_0)</f>
        <v>40363.33</v>
      </c>
      <c r="I12" s="4"/>
      <c r="J12" s="12"/>
      <c r="K12" s="4"/>
      <c r="L12" s="4">
        <f t="shared" ref="L12:L14" si="0">+D12-H12</f>
        <v>-483.04000000000087</v>
      </c>
      <c r="M12" s="4"/>
      <c r="N12" s="12">
        <f t="shared" ref="N12:N14" si="1">IF(H12=0,0,L12/H12)</f>
        <v>-1.1967298040077488E-2</v>
      </c>
      <c r="O12" s="10"/>
      <c r="P12" s="4">
        <f>SUM(OSRRefP13x_0)</f>
        <v>39880.29</v>
      </c>
      <c r="Q12" s="4"/>
      <c r="R12" s="12"/>
      <c r="S12" s="4"/>
      <c r="T12" s="4">
        <f>SUM(OSRRefT13x_0)</f>
        <v>40363.33</v>
      </c>
      <c r="U12" s="4"/>
      <c r="V12" s="12"/>
      <c r="W12" s="4"/>
      <c r="X12" s="4">
        <f t="shared" ref="X12:X14" si="2">+P12-T12</f>
        <v>-483.04000000000087</v>
      </c>
      <c r="Y12" s="4"/>
      <c r="Z12" s="12">
        <f t="shared" ref="Z12:Z14" si="3">IF(T12=0,0,X12/T12)</f>
        <v>-1.1967298040077488E-2</v>
      </c>
    </row>
    <row r="13" spans="1:26" s="24" customFormat="1" hidden="1" outlineLevel="1" x14ac:dyDescent="0.25">
      <c r="A13" s="50"/>
      <c r="B13" s="11" t="str">
        <f>CONCATENATE("          ", "4055", " - ", "TAXABLE SALES-FOOD")</f>
        <v xml:space="preserve">          4055 - TAXABLE SALES-FOOD</v>
      </c>
      <c r="C13" s="11"/>
      <c r="D13" s="2">
        <f>--14243.63</f>
        <v>14243.63</v>
      </c>
      <c r="E13" s="2"/>
      <c r="F13" s="22"/>
      <c r="G13" s="2"/>
      <c r="H13" s="2">
        <f>--18095.82</f>
        <v>18095.82</v>
      </c>
      <c r="I13" s="2"/>
      <c r="J13" s="22"/>
      <c r="K13" s="2"/>
      <c r="L13" s="2">
        <f t="shared" si="0"/>
        <v>-3852.1900000000005</v>
      </c>
      <c r="M13" s="2"/>
      <c r="N13" s="22">
        <f t="shared" si="1"/>
        <v>-0.21287733852348226</v>
      </c>
      <c r="O13" s="11"/>
      <c r="P13" s="2">
        <f>--14243.63</f>
        <v>14243.63</v>
      </c>
      <c r="Q13" s="2"/>
      <c r="R13" s="22"/>
      <c r="S13" s="2"/>
      <c r="T13" s="2">
        <f>--18095.82</f>
        <v>18095.82</v>
      </c>
      <c r="U13" s="2"/>
      <c r="V13" s="22"/>
      <c r="W13" s="2"/>
      <c r="X13" s="2">
        <f t="shared" si="2"/>
        <v>-3852.1900000000005</v>
      </c>
      <c r="Y13" s="2"/>
      <c r="Z13" s="22">
        <f t="shared" si="3"/>
        <v>-0.21287733852348226</v>
      </c>
    </row>
    <row r="14" spans="1:26" s="24" customFormat="1" hidden="1" outlineLevel="1" x14ac:dyDescent="0.25">
      <c r="A14" s="50"/>
      <c r="B14" s="11" t="str">
        <f>CONCATENATE("          ", "4155", " - ", "NON-TAXABLE SALES-FOOD")</f>
        <v xml:space="preserve">          4155 - NON-TAXABLE SALES-FOOD</v>
      </c>
      <c r="C14" s="11"/>
      <c r="D14" s="2">
        <f>--25636.66</f>
        <v>25636.66</v>
      </c>
      <c r="E14" s="2"/>
      <c r="F14" s="22"/>
      <c r="G14" s="2"/>
      <c r="H14" s="2">
        <f>--22267.51</f>
        <v>22267.51</v>
      </c>
      <c r="I14" s="2"/>
      <c r="J14" s="22"/>
      <c r="K14" s="2"/>
      <c r="L14" s="2">
        <f t="shared" si="0"/>
        <v>3369.1500000000015</v>
      </c>
      <c r="M14" s="2"/>
      <c r="N14" s="22">
        <f t="shared" si="1"/>
        <v>0.15130340123345634</v>
      </c>
      <c r="O14" s="11"/>
      <c r="P14" s="2">
        <f>--25636.66</f>
        <v>25636.66</v>
      </c>
      <c r="Q14" s="2"/>
      <c r="R14" s="22"/>
      <c r="S14" s="2"/>
      <c r="T14" s="2">
        <f>--22267.51</f>
        <v>22267.51</v>
      </c>
      <c r="U14" s="2"/>
      <c r="V14" s="22"/>
      <c r="W14" s="2"/>
      <c r="X14" s="2">
        <f t="shared" si="2"/>
        <v>3369.1500000000015</v>
      </c>
      <c r="Y14" s="2"/>
      <c r="Z14" s="22">
        <f t="shared" si="3"/>
        <v>0.15130340123345634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16032.14</v>
      </c>
      <c r="E16" s="4"/>
      <c r="F16" s="12">
        <f t="shared" ref="F16:F18" si="4">IF(D$12=0,0,D16/D$12)</f>
        <v>0.40200660526791554</v>
      </c>
      <c r="G16" s="4"/>
      <c r="H16" s="4">
        <f>SUM(OSRRefH16x_0)</f>
        <v>12915.86</v>
      </c>
      <c r="I16" s="4"/>
      <c r="J16" s="12">
        <f t="shared" ref="J16:J18" si="5">IF(H$12=0,0,H16/H$12)</f>
        <v>0.31998995127508062</v>
      </c>
      <c r="K16" s="4"/>
      <c r="L16" s="4">
        <f t="shared" ref="L16:L18" si="6">+D16-H16</f>
        <v>3116.2799999999988</v>
      </c>
      <c r="M16" s="4"/>
      <c r="N16" s="12">
        <f t="shared" ref="N16:N18" si="7">IF(H16=0,0,L16/H16)</f>
        <v>0.24127545513810142</v>
      </c>
      <c r="O16" s="10"/>
      <c r="P16" s="4">
        <f>SUM(OSRRefP16x_0)</f>
        <v>16032.14</v>
      </c>
      <c r="Q16" s="4"/>
      <c r="R16" s="12">
        <f t="shared" ref="R16:R18" si="8">IF(P$12=0,0,P16/P$12)</f>
        <v>0.40200660526791554</v>
      </c>
      <c r="S16" s="4"/>
      <c r="T16" s="4">
        <f>SUM(OSRRefT16x_0)</f>
        <v>12915.86</v>
      </c>
      <c r="U16" s="4"/>
      <c r="V16" s="12">
        <f t="shared" ref="V16:V18" si="9">IF(T$12=0,0,T16/T$12)</f>
        <v>0.31998995127508062</v>
      </c>
      <c r="W16" s="4"/>
      <c r="X16" s="4">
        <f t="shared" ref="X16:X18" si="10">+P16-T16</f>
        <v>3116.2799999999988</v>
      </c>
      <c r="Y16" s="4"/>
      <c r="Z16" s="12">
        <f t="shared" ref="Z16:Z18" si="11">IF(T16=0,0,X16/T16)</f>
        <v>0.24127545513810142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15005.14</v>
      </c>
      <c r="E17" s="2"/>
      <c r="F17" s="22">
        <f t="shared" si="4"/>
        <v>0.37625453576190143</v>
      </c>
      <c r="G17" s="2"/>
      <c r="H17" s="2">
        <v>14935.86</v>
      </c>
      <c r="I17" s="2"/>
      <c r="J17" s="22">
        <f t="shared" si="5"/>
        <v>0.37003537616940924</v>
      </c>
      <c r="K17" s="2"/>
      <c r="L17" s="2">
        <f t="shared" si="6"/>
        <v>69.279999999998836</v>
      </c>
      <c r="M17" s="2"/>
      <c r="N17" s="22">
        <f t="shared" si="7"/>
        <v>4.6385008965000229E-3</v>
      </c>
      <c r="O17" s="11"/>
      <c r="P17" s="2">
        <v>15005.14</v>
      </c>
      <c r="Q17" s="2"/>
      <c r="R17" s="22">
        <f t="shared" si="8"/>
        <v>0.37625453576190143</v>
      </c>
      <c r="S17" s="2"/>
      <c r="T17" s="2">
        <v>14935.86</v>
      </c>
      <c r="U17" s="2"/>
      <c r="V17" s="22">
        <f t="shared" si="9"/>
        <v>0.37003537616940924</v>
      </c>
      <c r="W17" s="2"/>
      <c r="X17" s="2">
        <f t="shared" si="10"/>
        <v>69.279999999998836</v>
      </c>
      <c r="Y17" s="2"/>
      <c r="Z17" s="22">
        <f t="shared" si="11"/>
        <v>4.6385008965000229E-3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1027</v>
      </c>
      <c r="E18" s="2"/>
      <c r="F18" s="22">
        <f t="shared" si="4"/>
        <v>2.5752069506014122E-2</v>
      </c>
      <c r="G18" s="2"/>
      <c r="H18" s="2">
        <v>-2020</v>
      </c>
      <c r="I18" s="2"/>
      <c r="J18" s="22">
        <f t="shared" si="5"/>
        <v>-5.0045424894328588E-2</v>
      </c>
      <c r="K18" s="2"/>
      <c r="L18" s="2">
        <f t="shared" si="6"/>
        <v>3047</v>
      </c>
      <c r="M18" s="2"/>
      <c r="N18" s="22">
        <f t="shared" si="7"/>
        <v>-1.5084158415841584</v>
      </c>
      <c r="O18" s="11"/>
      <c r="P18" s="2">
        <v>1027</v>
      </c>
      <c r="Q18" s="2"/>
      <c r="R18" s="22">
        <f t="shared" si="8"/>
        <v>2.5752069506014122E-2</v>
      </c>
      <c r="S18" s="2"/>
      <c r="T18" s="2">
        <v>-2020</v>
      </c>
      <c r="U18" s="2"/>
      <c r="V18" s="22">
        <f t="shared" si="9"/>
        <v>-5.0045424894328588E-2</v>
      </c>
      <c r="W18" s="2"/>
      <c r="X18" s="2">
        <f t="shared" si="10"/>
        <v>3047</v>
      </c>
      <c r="Y18" s="2"/>
      <c r="Z18" s="22">
        <f t="shared" si="11"/>
        <v>-1.5084158415841584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23848.15</v>
      </c>
      <c r="E20" s="13"/>
      <c r="F20" s="20">
        <f>IF(D$12=0,0,D20/D$12)</f>
        <v>0.59799339473208446</v>
      </c>
      <c r="G20" s="13"/>
      <c r="H20" s="21">
        <f>H12-H16</f>
        <v>27447.47</v>
      </c>
      <c r="I20" s="13"/>
      <c r="J20" s="20">
        <f>IF(H$12=0,0,H20/H$12)</f>
        <v>0.68001004872491932</v>
      </c>
      <c r="K20" s="16"/>
      <c r="L20" s="21">
        <f>+D20-H20</f>
        <v>-3599.3199999999997</v>
      </c>
      <c r="M20" s="16"/>
      <c r="N20" s="20">
        <f>IF(H20=0,0,L20/H20)</f>
        <v>-0.13113485505221426</v>
      </c>
      <c r="O20" s="26"/>
      <c r="P20" s="21">
        <f>P12-P16</f>
        <v>23848.15</v>
      </c>
      <c r="Q20" s="13"/>
      <c r="R20" s="20">
        <f>IF(P$12=0,0,P20/P$12)</f>
        <v>0.59799339473208446</v>
      </c>
      <c r="S20" s="13"/>
      <c r="T20" s="21">
        <f>T12-T16</f>
        <v>27447.47</v>
      </c>
      <c r="U20" s="13"/>
      <c r="V20" s="20">
        <f>IF(T$12=0,0,T20/T$12)</f>
        <v>0.68001004872491932</v>
      </c>
      <c r="W20" s="16"/>
      <c r="X20" s="21">
        <f>+P20-T20</f>
        <v>-3599.3199999999997</v>
      </c>
      <c r="Y20" s="16"/>
      <c r="Z20" s="20">
        <f>IF(T20=0,0,X20/T20)</f>
        <v>-0.13113485505221426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36747.24</v>
      </c>
      <c r="E22" s="19"/>
      <c r="F22" s="35">
        <f t="shared" ref="F22:F31" si="12">IF(D$12=0,0,D22/D$12)</f>
        <v>0.92143863547632165</v>
      </c>
      <c r="G22" s="19"/>
      <c r="H22" s="19">
        <f>SUM(OSRRefH22x_0)</f>
        <v>39846.720000000008</v>
      </c>
      <c r="I22" s="19"/>
      <c r="J22" s="35">
        <f t="shared" ref="J22:J31" si="13">IF(H$12=0,0,H22/H$12)</f>
        <v>0.98720100645808972</v>
      </c>
      <c r="K22" s="4"/>
      <c r="L22" s="19">
        <f t="shared" ref="L22:L31" si="14">+D22-H22</f>
        <v>-3099.4800000000105</v>
      </c>
      <c r="M22" s="4"/>
      <c r="N22" s="35">
        <f t="shared" ref="N22:N31" si="15">IF(H22=0,0,L22/H22)</f>
        <v>-7.7785072397427185E-2</v>
      </c>
      <c r="O22" s="10"/>
      <c r="P22" s="19">
        <f>SUM(OSRRefP22x_0)</f>
        <v>36747.24</v>
      </c>
      <c r="Q22" s="19"/>
      <c r="R22" s="35">
        <f t="shared" ref="R22:R31" si="16">IF(P$12=0,0,P22/P$12)</f>
        <v>0.92143863547632165</v>
      </c>
      <c r="S22" s="19"/>
      <c r="T22" s="19">
        <f>SUM(OSRRefT22x_0)</f>
        <v>39846.720000000008</v>
      </c>
      <c r="U22" s="19"/>
      <c r="V22" s="35">
        <f t="shared" ref="V22:V31" si="17">IF(T$12=0,0,T22/T$12)</f>
        <v>0.98720100645808972</v>
      </c>
      <c r="W22" s="4"/>
      <c r="X22" s="19">
        <f t="shared" ref="X22:X31" si="18">+P22-T22</f>
        <v>-3099.4800000000105</v>
      </c>
      <c r="Y22" s="4"/>
      <c r="Z22" s="35">
        <f t="shared" ref="Z22:Z31" si="19">IF(T22=0,0,X22/T22)</f>
        <v>-7.7785072397427185E-2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5261.35</v>
      </c>
      <c r="E23" s="1"/>
      <c r="F23" s="5">
        <f t="shared" si="12"/>
        <v>0.13192857925556711</v>
      </c>
      <c r="G23" s="1"/>
      <c r="H23" s="1">
        <f>SUM(OSRRefH22_0x_0)</f>
        <v>6163.67</v>
      </c>
      <c r="I23" s="1"/>
      <c r="J23" s="5">
        <f t="shared" si="13"/>
        <v>0.15270469507842885</v>
      </c>
      <c r="K23" s="1"/>
      <c r="L23" s="1">
        <f t="shared" si="14"/>
        <v>-902.31999999999971</v>
      </c>
      <c r="M23" s="1"/>
      <c r="N23" s="5">
        <f t="shared" si="15"/>
        <v>-0.14639330139348791</v>
      </c>
      <c r="O23" s="14"/>
      <c r="P23" s="1">
        <f>SUM(OSRRefP22_0x_0)</f>
        <v>5261.35</v>
      </c>
      <c r="Q23" s="1"/>
      <c r="R23" s="5">
        <f t="shared" si="16"/>
        <v>0.13192857925556711</v>
      </c>
      <c r="S23" s="1"/>
      <c r="T23" s="1">
        <f>SUM(OSRRefT22_0x_0)</f>
        <v>6163.67</v>
      </c>
      <c r="U23" s="1"/>
      <c r="V23" s="5">
        <f t="shared" si="17"/>
        <v>0.15270469507842885</v>
      </c>
      <c r="W23" s="1"/>
      <c r="X23" s="1">
        <f t="shared" si="18"/>
        <v>-902.31999999999971</v>
      </c>
      <c r="Y23" s="1"/>
      <c r="Z23" s="5">
        <f t="shared" si="19"/>
        <v>-0.14639330139348791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1117.83</v>
      </c>
      <c r="E24" s="2"/>
      <c r="F24" s="6">
        <f t="shared" si="12"/>
        <v>2.8029635692217884E-2</v>
      </c>
      <c r="G24" s="2"/>
      <c r="H24" s="7">
        <v>1219.42</v>
      </c>
      <c r="I24" s="2"/>
      <c r="J24" s="6">
        <f t="shared" si="13"/>
        <v>3.0211085160713944E-2</v>
      </c>
      <c r="K24" s="2"/>
      <c r="L24" s="7">
        <f t="shared" si="14"/>
        <v>-101.59000000000015</v>
      </c>
      <c r="M24" s="2"/>
      <c r="N24" s="6">
        <f t="shared" si="15"/>
        <v>-8.3310098243427319E-2</v>
      </c>
      <c r="O24" s="11"/>
      <c r="P24" s="7">
        <v>1117.83</v>
      </c>
      <c r="Q24" s="2"/>
      <c r="R24" s="6">
        <f t="shared" si="16"/>
        <v>2.8029635692217884E-2</v>
      </c>
      <c r="S24" s="2"/>
      <c r="T24" s="7">
        <v>1219.42</v>
      </c>
      <c r="U24" s="2"/>
      <c r="V24" s="6">
        <f t="shared" si="17"/>
        <v>3.0211085160713944E-2</v>
      </c>
      <c r="W24" s="2"/>
      <c r="X24" s="7">
        <f t="shared" si="18"/>
        <v>-101.59000000000015</v>
      </c>
      <c r="Y24" s="2"/>
      <c r="Z24" s="6">
        <f t="shared" si="19"/>
        <v>-8.3310098243427319E-2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503.05</v>
      </c>
      <c r="E25" s="2"/>
      <c r="F25" s="6">
        <f t="shared" si="12"/>
        <v>1.2614000550146451E-2</v>
      </c>
      <c r="G25" s="2"/>
      <c r="H25" s="7">
        <v>902.72</v>
      </c>
      <c r="I25" s="2"/>
      <c r="J25" s="6">
        <f t="shared" si="13"/>
        <v>2.2364854435944704E-2</v>
      </c>
      <c r="K25" s="2"/>
      <c r="L25" s="7">
        <f t="shared" si="14"/>
        <v>-399.67</v>
      </c>
      <c r="M25" s="2"/>
      <c r="N25" s="6">
        <f t="shared" si="15"/>
        <v>-0.44273971995746192</v>
      </c>
      <c r="O25" s="11"/>
      <c r="P25" s="7">
        <v>503.05</v>
      </c>
      <c r="Q25" s="2"/>
      <c r="R25" s="6">
        <f t="shared" si="16"/>
        <v>1.2614000550146451E-2</v>
      </c>
      <c r="S25" s="2"/>
      <c r="T25" s="7">
        <v>902.72</v>
      </c>
      <c r="U25" s="2"/>
      <c r="V25" s="6">
        <f t="shared" si="17"/>
        <v>2.2364854435944704E-2</v>
      </c>
      <c r="W25" s="2"/>
      <c r="X25" s="7">
        <f t="shared" si="18"/>
        <v>-399.67</v>
      </c>
      <c r="Y25" s="2"/>
      <c r="Z25" s="6">
        <f t="shared" si="19"/>
        <v>-0.44273971995746192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2533.4</v>
      </c>
      <c r="E26" s="2"/>
      <c r="F26" s="6">
        <f t="shared" si="12"/>
        <v>6.3525114787279638E-2</v>
      </c>
      <c r="G26" s="2"/>
      <c r="H26" s="7">
        <v>1525.94</v>
      </c>
      <c r="I26" s="2"/>
      <c r="J26" s="6">
        <f t="shared" si="13"/>
        <v>3.7805106763986025E-2</v>
      </c>
      <c r="K26" s="2"/>
      <c r="L26" s="7">
        <f t="shared" si="14"/>
        <v>1007.46</v>
      </c>
      <c r="M26" s="2"/>
      <c r="N26" s="6">
        <f t="shared" si="15"/>
        <v>0.6602225513454002</v>
      </c>
      <c r="O26" s="11"/>
      <c r="P26" s="7">
        <v>2533.4</v>
      </c>
      <c r="Q26" s="2"/>
      <c r="R26" s="6">
        <f t="shared" si="16"/>
        <v>6.3525114787279638E-2</v>
      </c>
      <c r="S26" s="2"/>
      <c r="T26" s="7">
        <v>1525.94</v>
      </c>
      <c r="U26" s="2"/>
      <c r="V26" s="6">
        <f t="shared" si="17"/>
        <v>3.7805106763986025E-2</v>
      </c>
      <c r="W26" s="2"/>
      <c r="X26" s="7">
        <f t="shared" si="18"/>
        <v>1007.46</v>
      </c>
      <c r="Y26" s="2"/>
      <c r="Z26" s="6">
        <f t="shared" si="19"/>
        <v>0.6602225513454002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33.71</v>
      </c>
      <c r="E27" s="2"/>
      <c r="F27" s="6">
        <f t="shared" si="12"/>
        <v>8.4527971085466029E-4</v>
      </c>
      <c r="G27" s="2"/>
      <c r="H27" s="7">
        <v>67.06</v>
      </c>
      <c r="I27" s="2"/>
      <c r="J27" s="6">
        <f t="shared" si="13"/>
        <v>1.6614090066404332E-3</v>
      </c>
      <c r="K27" s="2"/>
      <c r="L27" s="7">
        <f t="shared" si="14"/>
        <v>-33.35</v>
      </c>
      <c r="M27" s="2"/>
      <c r="N27" s="6">
        <f t="shared" si="15"/>
        <v>-0.49731583656427081</v>
      </c>
      <c r="O27" s="11"/>
      <c r="P27" s="7">
        <v>33.71</v>
      </c>
      <c r="Q27" s="2"/>
      <c r="R27" s="6">
        <f t="shared" si="16"/>
        <v>8.4527971085466029E-4</v>
      </c>
      <c r="S27" s="2"/>
      <c r="T27" s="7">
        <v>67.06</v>
      </c>
      <c r="U27" s="2"/>
      <c r="V27" s="6">
        <f t="shared" si="17"/>
        <v>1.6614090066404332E-3</v>
      </c>
      <c r="W27" s="2"/>
      <c r="X27" s="7">
        <f t="shared" si="18"/>
        <v>-33.35</v>
      </c>
      <c r="Y27" s="2"/>
      <c r="Z27" s="6">
        <f t="shared" si="19"/>
        <v>-0.49731583656427081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268.22000000000003</v>
      </c>
      <c r="E28" s="2"/>
      <c r="F28" s="6">
        <f t="shared" si="12"/>
        <v>6.7256281235668052E-3</v>
      </c>
      <c r="G28" s="2"/>
      <c r="H28" s="7">
        <v>861.3</v>
      </c>
      <c r="I28" s="2"/>
      <c r="J28" s="6">
        <f t="shared" si="13"/>
        <v>2.1338675475982779E-2</v>
      </c>
      <c r="K28" s="2"/>
      <c r="L28" s="7">
        <f t="shared" si="14"/>
        <v>-593.07999999999993</v>
      </c>
      <c r="M28" s="2"/>
      <c r="N28" s="6">
        <f t="shared" si="15"/>
        <v>-0.68858701962150237</v>
      </c>
      <c r="O28" s="11"/>
      <c r="P28" s="7">
        <v>268.22000000000003</v>
      </c>
      <c r="Q28" s="2"/>
      <c r="R28" s="6">
        <f t="shared" si="16"/>
        <v>6.7256281235668052E-3</v>
      </c>
      <c r="S28" s="2"/>
      <c r="T28" s="7">
        <v>861.3</v>
      </c>
      <c r="U28" s="2"/>
      <c r="V28" s="6">
        <f t="shared" si="17"/>
        <v>2.1338675475982779E-2</v>
      </c>
      <c r="W28" s="2"/>
      <c r="X28" s="7">
        <f t="shared" si="18"/>
        <v>-593.07999999999993</v>
      </c>
      <c r="Y28" s="2"/>
      <c r="Z28" s="6">
        <f t="shared" si="19"/>
        <v>-0.68858701962150237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367.51</v>
      </c>
      <c r="E29" s="2"/>
      <c r="F29" s="6">
        <f t="shared" si="12"/>
        <v>9.2153291763926483E-3</v>
      </c>
      <c r="G29" s="2"/>
      <c r="H29" s="7">
        <v>512.64</v>
      </c>
      <c r="I29" s="2"/>
      <c r="J29" s="6">
        <f t="shared" si="13"/>
        <v>1.2700636939519111E-2</v>
      </c>
      <c r="K29" s="2"/>
      <c r="L29" s="7">
        <f t="shared" si="14"/>
        <v>-145.13</v>
      </c>
      <c r="M29" s="2"/>
      <c r="N29" s="6">
        <f t="shared" si="15"/>
        <v>-0.28310315230961297</v>
      </c>
      <c r="O29" s="11"/>
      <c r="P29" s="7">
        <v>367.51</v>
      </c>
      <c r="Q29" s="2"/>
      <c r="R29" s="6">
        <f t="shared" si="16"/>
        <v>9.2153291763926483E-3</v>
      </c>
      <c r="S29" s="2"/>
      <c r="T29" s="7">
        <v>512.64</v>
      </c>
      <c r="U29" s="2"/>
      <c r="V29" s="6">
        <f t="shared" si="17"/>
        <v>1.2700636939519111E-2</v>
      </c>
      <c r="W29" s="2"/>
      <c r="X29" s="7">
        <f t="shared" si="18"/>
        <v>-145.13</v>
      </c>
      <c r="Y29" s="2"/>
      <c r="Z29" s="6">
        <f t="shared" si="19"/>
        <v>-0.28310315230961297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325.74</v>
      </c>
      <c r="E30" s="2"/>
      <c r="F30" s="6">
        <f t="shared" si="12"/>
        <v>8.1679446162502833E-3</v>
      </c>
      <c r="G30" s="2"/>
      <c r="H30" s="7">
        <v>776.02</v>
      </c>
      <c r="I30" s="2"/>
      <c r="J30" s="6">
        <f t="shared" si="13"/>
        <v>1.922586664678063E-2</v>
      </c>
      <c r="K30" s="2"/>
      <c r="L30" s="7">
        <f t="shared" si="14"/>
        <v>-450.28</v>
      </c>
      <c r="M30" s="2"/>
      <c r="N30" s="6">
        <f t="shared" si="15"/>
        <v>-0.5802427772480091</v>
      </c>
      <c r="O30" s="11"/>
      <c r="P30" s="7">
        <v>325.74</v>
      </c>
      <c r="Q30" s="2"/>
      <c r="R30" s="6">
        <f t="shared" si="16"/>
        <v>8.1679446162502833E-3</v>
      </c>
      <c r="S30" s="2"/>
      <c r="T30" s="7">
        <v>776.02</v>
      </c>
      <c r="U30" s="2"/>
      <c r="V30" s="6">
        <f t="shared" si="17"/>
        <v>1.922586664678063E-2</v>
      </c>
      <c r="W30" s="2"/>
      <c r="X30" s="7">
        <f t="shared" si="18"/>
        <v>-450.28</v>
      </c>
      <c r="Y30" s="2"/>
      <c r="Z30" s="6">
        <f t="shared" si="19"/>
        <v>-0.5802427772480091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111.89</v>
      </c>
      <c r="E31" s="2"/>
      <c r="F31" s="6">
        <f t="shared" si="12"/>
        <v>2.8056465988587345E-3</v>
      </c>
      <c r="G31" s="2"/>
      <c r="H31" s="7">
        <v>298.57</v>
      </c>
      <c r="I31" s="2"/>
      <c r="J31" s="6">
        <f t="shared" si="13"/>
        <v>7.3970606488612308E-3</v>
      </c>
      <c r="K31" s="2"/>
      <c r="L31" s="7">
        <f t="shared" si="14"/>
        <v>-186.68</v>
      </c>
      <c r="M31" s="2"/>
      <c r="N31" s="6">
        <f t="shared" si="15"/>
        <v>-0.62524701075124767</v>
      </c>
      <c r="O31" s="11"/>
      <c r="P31" s="7">
        <v>111.89</v>
      </c>
      <c r="Q31" s="2"/>
      <c r="R31" s="6">
        <f t="shared" si="16"/>
        <v>2.8056465988587345E-3</v>
      </c>
      <c r="S31" s="2"/>
      <c r="T31" s="7">
        <v>298.57</v>
      </c>
      <c r="U31" s="2"/>
      <c r="V31" s="6">
        <f t="shared" si="17"/>
        <v>7.3970606488612308E-3</v>
      </c>
      <c r="W31" s="2"/>
      <c r="X31" s="7">
        <f t="shared" si="18"/>
        <v>-186.68</v>
      </c>
      <c r="Y31" s="2"/>
      <c r="Z31" s="6">
        <f t="shared" si="19"/>
        <v>-0.62524701075124767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15742.359999999999</v>
      </c>
      <c r="E32" s="1"/>
      <c r="F32" s="5">
        <f t="shared" ref="F32:F38" si="20">IF(D$12=0,0,D32/D$12)</f>
        <v>0.39474035921002576</v>
      </c>
      <c r="G32" s="1"/>
      <c r="H32" s="1">
        <f>SUM(OSRRefH22_1x_0)</f>
        <v>18636.069999999996</v>
      </c>
      <c r="I32" s="1"/>
      <c r="J32" s="5">
        <f t="shared" ref="J32:J38" si="21">IF(H$12=0,0,H32/H$12)</f>
        <v>0.46170794134180693</v>
      </c>
      <c r="K32" s="1"/>
      <c r="L32" s="1">
        <f t="shared" ref="L32:L38" si="22">+D32-H32</f>
        <v>-2893.7099999999973</v>
      </c>
      <c r="M32" s="1"/>
      <c r="N32" s="5">
        <f t="shared" ref="N32:N38" si="23">IF(H32=0,0,L32/H32)</f>
        <v>-0.15527469042561001</v>
      </c>
      <c r="O32" s="14"/>
      <c r="P32" s="1">
        <f>SUM(OSRRefP22_1x_0)</f>
        <v>15742.359999999999</v>
      </c>
      <c r="Q32" s="1"/>
      <c r="R32" s="5">
        <f t="shared" ref="R32:R38" si="24">IF(P$12=0,0,P32/P$12)</f>
        <v>0.39474035921002576</v>
      </c>
      <c r="S32" s="1"/>
      <c r="T32" s="1">
        <f>SUM(OSRRefT22_1x_0)</f>
        <v>18636.069999999996</v>
      </c>
      <c r="U32" s="1"/>
      <c r="V32" s="5">
        <f t="shared" ref="V32:V38" si="25">IF(T$12=0,0,T32/T$12)</f>
        <v>0.46170794134180693</v>
      </c>
      <c r="W32" s="1"/>
      <c r="X32" s="1">
        <f t="shared" ref="X32:X38" si="26">+P32-T32</f>
        <v>-2893.7099999999973</v>
      </c>
      <c r="Y32" s="1"/>
      <c r="Z32" s="5">
        <f t="shared" ref="Z32:Z38" si="27">IF(T32=0,0,X32/T32)</f>
        <v>-0.15527469042561001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3840</v>
      </c>
      <c r="E33" s="2"/>
      <c r="F33" s="6">
        <f t="shared" si="20"/>
        <v>9.6288166410023593E-2</v>
      </c>
      <c r="G33" s="2"/>
      <c r="H33" s="7">
        <v>9564.81</v>
      </c>
      <c r="I33" s="2"/>
      <c r="J33" s="6">
        <f t="shared" si="21"/>
        <v>0.23696781212055593</v>
      </c>
      <c r="K33" s="2"/>
      <c r="L33" s="7">
        <f t="shared" si="22"/>
        <v>-5724.8099999999995</v>
      </c>
      <c r="M33" s="2"/>
      <c r="N33" s="6">
        <f t="shared" si="23"/>
        <v>-0.59852835550314121</v>
      </c>
      <c r="O33" s="11"/>
      <c r="P33" s="7">
        <v>3840</v>
      </c>
      <c r="Q33" s="2"/>
      <c r="R33" s="6">
        <f t="shared" si="24"/>
        <v>9.6288166410023593E-2</v>
      </c>
      <c r="S33" s="2"/>
      <c r="T33" s="7">
        <v>9564.81</v>
      </c>
      <c r="U33" s="2"/>
      <c r="V33" s="6">
        <f t="shared" si="25"/>
        <v>0.23696781212055593</v>
      </c>
      <c r="W33" s="2"/>
      <c r="X33" s="7">
        <f t="shared" si="26"/>
        <v>-5724.8099999999995</v>
      </c>
      <c r="Y33" s="2"/>
      <c r="Z33" s="6">
        <f t="shared" si="27"/>
        <v>-0.59852835550314121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140.08000000000001</v>
      </c>
      <c r="E34" s="2"/>
      <c r="F34" s="6">
        <f t="shared" si="20"/>
        <v>3.5125120704989862E-3</v>
      </c>
      <c r="G34" s="2"/>
      <c r="H34" s="7">
        <v>136</v>
      </c>
      <c r="I34" s="2"/>
      <c r="J34" s="6">
        <f t="shared" si="21"/>
        <v>3.3693949433805386E-3</v>
      </c>
      <c r="K34" s="2"/>
      <c r="L34" s="7">
        <f t="shared" si="22"/>
        <v>4.0800000000000125</v>
      </c>
      <c r="M34" s="2"/>
      <c r="N34" s="6">
        <f t="shared" si="23"/>
        <v>3.0000000000000093E-2</v>
      </c>
      <c r="O34" s="11"/>
      <c r="P34" s="7">
        <v>140.08000000000001</v>
      </c>
      <c r="Q34" s="2"/>
      <c r="R34" s="6">
        <f t="shared" si="24"/>
        <v>3.5125120704989862E-3</v>
      </c>
      <c r="S34" s="2"/>
      <c r="T34" s="7">
        <v>136</v>
      </c>
      <c r="U34" s="2"/>
      <c r="V34" s="6">
        <f t="shared" si="25"/>
        <v>3.3693949433805386E-3</v>
      </c>
      <c r="W34" s="2"/>
      <c r="X34" s="7">
        <f t="shared" si="26"/>
        <v>4.0800000000000125</v>
      </c>
      <c r="Y34" s="2"/>
      <c r="Z34" s="6">
        <f t="shared" si="27"/>
        <v>3.0000000000000093E-2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6196.15</v>
      </c>
      <c r="E35" s="2"/>
      <c r="F35" s="6">
        <f t="shared" si="20"/>
        <v>0.15536872976600721</v>
      </c>
      <c r="G35" s="2"/>
      <c r="H35" s="7">
        <v>3174.81</v>
      </c>
      <c r="I35" s="2"/>
      <c r="J35" s="6">
        <f t="shared" si="21"/>
        <v>7.8655799707308585E-2</v>
      </c>
      <c r="K35" s="2"/>
      <c r="L35" s="7">
        <f t="shared" si="22"/>
        <v>3021.3399999999997</v>
      </c>
      <c r="M35" s="2"/>
      <c r="N35" s="6">
        <f t="shared" si="23"/>
        <v>0.95166009934452767</v>
      </c>
      <c r="O35" s="11"/>
      <c r="P35" s="7">
        <v>6196.15</v>
      </c>
      <c r="Q35" s="2"/>
      <c r="R35" s="6">
        <f t="shared" si="24"/>
        <v>0.15536872976600721</v>
      </c>
      <c r="S35" s="2"/>
      <c r="T35" s="7">
        <v>3174.81</v>
      </c>
      <c r="U35" s="2"/>
      <c r="V35" s="6">
        <f t="shared" si="25"/>
        <v>7.8655799707308585E-2</v>
      </c>
      <c r="W35" s="2"/>
      <c r="X35" s="7">
        <f t="shared" si="26"/>
        <v>3021.3399999999997</v>
      </c>
      <c r="Y35" s="2"/>
      <c r="Z35" s="6">
        <f t="shared" si="27"/>
        <v>0.95166009934452767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970.13</v>
      </c>
      <c r="E36" s="2"/>
      <c r="F36" s="6">
        <f t="shared" si="20"/>
        <v>2.4326051791499007E-2</v>
      </c>
      <c r="G36" s="2"/>
      <c r="H36" s="7"/>
      <c r="I36" s="2"/>
      <c r="J36" s="6">
        <f t="shared" si="21"/>
        <v>0</v>
      </c>
      <c r="K36" s="2"/>
      <c r="L36" s="7">
        <f t="shared" si="22"/>
        <v>970.13</v>
      </c>
      <c r="M36" s="2"/>
      <c r="N36" s="6">
        <f t="shared" si="23"/>
        <v>0</v>
      </c>
      <c r="O36" s="11"/>
      <c r="P36" s="7">
        <v>970.13</v>
      </c>
      <c r="Q36" s="2"/>
      <c r="R36" s="6">
        <f t="shared" si="24"/>
        <v>2.4326051791499007E-2</v>
      </c>
      <c r="S36" s="2"/>
      <c r="T36" s="7"/>
      <c r="U36" s="2"/>
      <c r="V36" s="6">
        <f t="shared" si="25"/>
        <v>0</v>
      </c>
      <c r="W36" s="2"/>
      <c r="X36" s="7">
        <f t="shared" si="26"/>
        <v>970.13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4596</v>
      </c>
      <c r="E37" s="2"/>
      <c r="F37" s="6">
        <f t="shared" si="20"/>
        <v>0.115244899171997</v>
      </c>
      <c r="G37" s="2"/>
      <c r="H37" s="7">
        <v>4756.76</v>
      </c>
      <c r="I37" s="2"/>
      <c r="J37" s="6">
        <f t="shared" si="21"/>
        <v>0.11784855213878538</v>
      </c>
      <c r="K37" s="2"/>
      <c r="L37" s="7">
        <f t="shared" si="22"/>
        <v>-160.76000000000022</v>
      </c>
      <c r="M37" s="2"/>
      <c r="N37" s="6">
        <f t="shared" si="23"/>
        <v>-3.3796113320831871E-2</v>
      </c>
      <c r="O37" s="11"/>
      <c r="P37" s="7">
        <v>4596</v>
      </c>
      <c r="Q37" s="2"/>
      <c r="R37" s="6">
        <f t="shared" si="24"/>
        <v>0.115244899171997</v>
      </c>
      <c r="S37" s="2"/>
      <c r="T37" s="7">
        <v>4756.76</v>
      </c>
      <c r="U37" s="2"/>
      <c r="V37" s="6">
        <f t="shared" si="25"/>
        <v>0.11784855213878538</v>
      </c>
      <c r="W37" s="2"/>
      <c r="X37" s="7">
        <f t="shared" si="26"/>
        <v>-160.76000000000022</v>
      </c>
      <c r="Y37" s="2"/>
      <c r="Z37" s="6">
        <f t="shared" si="27"/>
        <v>-3.3796113320831871E-2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1003.69</v>
      </c>
      <c r="I38" s="2"/>
      <c r="J38" s="6">
        <f t="shared" si="21"/>
        <v>2.4866382431776565E-2</v>
      </c>
      <c r="K38" s="2"/>
      <c r="L38" s="7">
        <f t="shared" si="22"/>
        <v>-1003.69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1003.69</v>
      </c>
      <c r="U38" s="2"/>
      <c r="V38" s="6">
        <f t="shared" si="25"/>
        <v>2.4866382431776565E-2</v>
      </c>
      <c r="W38" s="2"/>
      <c r="X38" s="7">
        <f t="shared" si="26"/>
        <v>-1003.69</v>
      </c>
      <c r="Y38" s="2"/>
      <c r="Z38" s="6">
        <f t="shared" si="27"/>
        <v>-1</v>
      </c>
    </row>
    <row r="39" spans="1:26" s="28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309.99</v>
      </c>
      <c r="E39" s="1"/>
      <c r="F39" s="5">
        <f t="shared" ref="F39:F47" si="28">IF(D$12=0,0,D39/D$12)</f>
        <v>7.773012683709171E-3</v>
      </c>
      <c r="G39" s="1"/>
      <c r="H39" s="1">
        <f>SUM(OSRRefH22_2x_0)</f>
        <v>255.59</v>
      </c>
      <c r="I39" s="1"/>
      <c r="J39" s="5">
        <f t="shared" ref="J39:J47" si="29">IF(H$12=0,0,H39/H$12)</f>
        <v>6.3322327469017047E-3</v>
      </c>
      <c r="K39" s="1"/>
      <c r="L39" s="1">
        <f t="shared" ref="L39:L47" si="30">+D39-H39</f>
        <v>54.400000000000006</v>
      </c>
      <c r="M39" s="1"/>
      <c r="N39" s="5">
        <f t="shared" ref="N39:N47" si="31">IF(H39=0,0,L39/H39)</f>
        <v>0.21284087796862164</v>
      </c>
      <c r="O39" s="14"/>
      <c r="P39" s="1">
        <f>SUM(OSRRefP22_2x_0)</f>
        <v>309.99</v>
      </c>
      <c r="Q39" s="1"/>
      <c r="R39" s="5">
        <f t="shared" ref="R39:R47" si="32">IF(P$12=0,0,P39/P$12)</f>
        <v>7.773012683709171E-3</v>
      </c>
      <c r="S39" s="1"/>
      <c r="T39" s="1">
        <f>SUM(OSRRefT22_2x_0)</f>
        <v>255.59</v>
      </c>
      <c r="U39" s="1"/>
      <c r="V39" s="5">
        <f t="shared" ref="V39:V47" si="33">IF(T$12=0,0,T39/T$12)</f>
        <v>6.3322327469017047E-3</v>
      </c>
      <c r="W39" s="1"/>
      <c r="X39" s="1">
        <f t="shared" ref="X39:X47" si="34">+P39-T39</f>
        <v>54.400000000000006</v>
      </c>
      <c r="Y39" s="1"/>
      <c r="Z39" s="5">
        <f t="shared" ref="Z39:Z47" si="35">IF(T39=0,0,X39/T39)</f>
        <v>0.21284087796862164</v>
      </c>
    </row>
    <row r="40" spans="1:26" s="24" customFormat="1" hidden="1" outlineLevel="2" x14ac:dyDescent="0.25">
      <c r="A40" s="29"/>
      <c r="B40" s="11" t="str">
        <f>CONCATENATE("          ", "6362", " - ", "ADVERTISING EXPENSE")</f>
        <v xml:space="preserve">          6362 - ADVERTISING EXPENSE</v>
      </c>
      <c r="C40" s="11"/>
      <c r="D40" s="7">
        <v>309.99</v>
      </c>
      <c r="E40" s="2"/>
      <c r="F40" s="6">
        <f t="shared" si="28"/>
        <v>7.773012683709171E-3</v>
      </c>
      <c r="G40" s="2"/>
      <c r="H40" s="7">
        <v>255.59</v>
      </c>
      <c r="I40" s="2"/>
      <c r="J40" s="6">
        <f t="shared" si="29"/>
        <v>6.3322327469017047E-3</v>
      </c>
      <c r="K40" s="2"/>
      <c r="L40" s="7">
        <f t="shared" si="30"/>
        <v>54.400000000000006</v>
      </c>
      <c r="M40" s="2"/>
      <c r="N40" s="6">
        <f t="shared" si="31"/>
        <v>0.21284087796862164</v>
      </c>
      <c r="O40" s="11"/>
      <c r="P40" s="7">
        <v>309.99</v>
      </c>
      <c r="Q40" s="2"/>
      <c r="R40" s="6">
        <f t="shared" si="32"/>
        <v>7.773012683709171E-3</v>
      </c>
      <c r="S40" s="2"/>
      <c r="T40" s="7">
        <v>255.59</v>
      </c>
      <c r="U40" s="2"/>
      <c r="V40" s="6">
        <f t="shared" si="33"/>
        <v>6.3322327469017047E-3</v>
      </c>
      <c r="W40" s="2"/>
      <c r="X40" s="7">
        <f t="shared" si="34"/>
        <v>54.400000000000006</v>
      </c>
      <c r="Y40" s="2"/>
      <c r="Z40" s="6">
        <f t="shared" si="35"/>
        <v>0.21284087796862164</v>
      </c>
    </row>
    <row r="41" spans="1:26" s="28" customFormat="1" outlineLevel="1" collapsed="1" x14ac:dyDescent="0.25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10.53</v>
      </c>
      <c r="E41" s="1"/>
      <c r="F41" s="5">
        <f t="shared" si="28"/>
        <v>2.6404020632748656E-4</v>
      </c>
      <c r="G41" s="1"/>
      <c r="H41" s="1">
        <f>SUM(OSRRefH22_3x_0)</f>
        <v>6.86</v>
      </c>
      <c r="I41" s="1"/>
      <c r="J41" s="5">
        <f t="shared" si="29"/>
        <v>1.699562449381654E-4</v>
      </c>
      <c r="K41" s="1"/>
      <c r="L41" s="1">
        <f t="shared" si="30"/>
        <v>3.669999999999999</v>
      </c>
      <c r="M41" s="1"/>
      <c r="N41" s="5">
        <f t="shared" si="31"/>
        <v>0.53498542274052463</v>
      </c>
      <c r="O41" s="14"/>
      <c r="P41" s="1">
        <f>SUM(OSRRefP22_3x_0)</f>
        <v>10.53</v>
      </c>
      <c r="Q41" s="1"/>
      <c r="R41" s="5">
        <f t="shared" si="32"/>
        <v>2.6404020632748656E-4</v>
      </c>
      <c r="S41" s="1"/>
      <c r="T41" s="1">
        <f>SUM(OSRRefT22_3x_0)</f>
        <v>6.86</v>
      </c>
      <c r="U41" s="1"/>
      <c r="V41" s="5">
        <f t="shared" si="33"/>
        <v>1.699562449381654E-4</v>
      </c>
      <c r="W41" s="1"/>
      <c r="X41" s="1">
        <f t="shared" si="34"/>
        <v>3.669999999999999</v>
      </c>
      <c r="Y41" s="1"/>
      <c r="Z41" s="5">
        <f t="shared" si="35"/>
        <v>0.53498542274052463</v>
      </c>
    </row>
    <row r="42" spans="1:26" s="24" customFormat="1" hidden="1" outlineLevel="2" x14ac:dyDescent="0.25">
      <c r="A42" s="29"/>
      <c r="B42" s="11" t="str">
        <f>CONCATENATE("          ", "6272", " - ", "CASH (OVER/SHORT)")</f>
        <v xml:space="preserve">          6272 - CASH (OVER/SHORT)</v>
      </c>
      <c r="C42" s="11"/>
      <c r="D42" s="7">
        <v>10.53</v>
      </c>
      <c r="E42" s="2"/>
      <c r="F42" s="6">
        <f t="shared" si="28"/>
        <v>2.6404020632748656E-4</v>
      </c>
      <c r="G42" s="2"/>
      <c r="H42" s="7">
        <v>6.86</v>
      </c>
      <c r="I42" s="2"/>
      <c r="J42" s="6">
        <f t="shared" si="29"/>
        <v>1.699562449381654E-4</v>
      </c>
      <c r="K42" s="2"/>
      <c r="L42" s="7">
        <f t="shared" si="30"/>
        <v>3.669999999999999</v>
      </c>
      <c r="M42" s="2"/>
      <c r="N42" s="6">
        <f t="shared" si="31"/>
        <v>0.53498542274052463</v>
      </c>
      <c r="O42" s="11"/>
      <c r="P42" s="7">
        <v>10.53</v>
      </c>
      <c r="Q42" s="2"/>
      <c r="R42" s="6">
        <f t="shared" si="32"/>
        <v>2.6404020632748656E-4</v>
      </c>
      <c r="S42" s="2"/>
      <c r="T42" s="7">
        <v>6.86</v>
      </c>
      <c r="U42" s="2"/>
      <c r="V42" s="6">
        <f t="shared" si="33"/>
        <v>1.699562449381654E-4</v>
      </c>
      <c r="W42" s="2"/>
      <c r="X42" s="7">
        <f t="shared" si="34"/>
        <v>3.669999999999999</v>
      </c>
      <c r="Y42" s="2"/>
      <c r="Z42" s="6">
        <f t="shared" si="35"/>
        <v>0.53498542274052463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1293.3399999999999</v>
      </c>
      <c r="E43" s="1"/>
      <c r="F43" s="5">
        <f t="shared" si="28"/>
        <v>3.2430556548109349E-2</v>
      </c>
      <c r="G43" s="1"/>
      <c r="H43" s="1">
        <f>SUM(OSRRefH22_4x_0)</f>
        <v>1515.13</v>
      </c>
      <c r="I43" s="1"/>
      <c r="J43" s="5">
        <f t="shared" si="29"/>
        <v>3.753728941591291E-2</v>
      </c>
      <c r="K43" s="1"/>
      <c r="L43" s="1">
        <f t="shared" si="30"/>
        <v>-221.79000000000019</v>
      </c>
      <c r="M43" s="1"/>
      <c r="N43" s="5">
        <f t="shared" si="31"/>
        <v>-0.14638347864539689</v>
      </c>
      <c r="O43" s="14"/>
      <c r="P43" s="1">
        <f>SUM(OSRRefP22_4x_0)</f>
        <v>1293.3399999999999</v>
      </c>
      <c r="Q43" s="1"/>
      <c r="R43" s="5">
        <f t="shared" si="32"/>
        <v>3.2430556548109349E-2</v>
      </c>
      <c r="S43" s="1"/>
      <c r="T43" s="1">
        <f>SUM(OSRRefT22_4x_0)</f>
        <v>1515.13</v>
      </c>
      <c r="U43" s="1"/>
      <c r="V43" s="5">
        <f t="shared" si="33"/>
        <v>3.753728941591291E-2</v>
      </c>
      <c r="W43" s="1"/>
      <c r="X43" s="1">
        <f t="shared" si="34"/>
        <v>-221.79000000000019</v>
      </c>
      <c r="Y43" s="1"/>
      <c r="Z43" s="5">
        <f t="shared" si="35"/>
        <v>-0.14638347864539689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1293.3399999999999</v>
      </c>
      <c r="E44" s="2"/>
      <c r="F44" s="6">
        <f t="shared" si="28"/>
        <v>3.2430556548109349E-2</v>
      </c>
      <c r="G44" s="2"/>
      <c r="H44" s="7">
        <v>1515.13</v>
      </c>
      <c r="I44" s="2"/>
      <c r="J44" s="6">
        <f t="shared" si="29"/>
        <v>3.753728941591291E-2</v>
      </c>
      <c r="K44" s="2"/>
      <c r="L44" s="7">
        <f t="shared" si="30"/>
        <v>-221.79000000000019</v>
      </c>
      <c r="M44" s="2"/>
      <c r="N44" s="6">
        <f t="shared" si="31"/>
        <v>-0.14638347864539689</v>
      </c>
      <c r="O44" s="11"/>
      <c r="P44" s="7">
        <v>1293.3399999999999</v>
      </c>
      <c r="Q44" s="2"/>
      <c r="R44" s="6">
        <f t="shared" si="32"/>
        <v>3.2430556548109349E-2</v>
      </c>
      <c r="S44" s="2"/>
      <c r="T44" s="7">
        <v>1515.13</v>
      </c>
      <c r="U44" s="2"/>
      <c r="V44" s="6">
        <f t="shared" si="33"/>
        <v>3.753728941591291E-2</v>
      </c>
      <c r="W44" s="2"/>
      <c r="X44" s="7">
        <f t="shared" si="34"/>
        <v>-221.79000000000019</v>
      </c>
      <c r="Y44" s="2"/>
      <c r="Z44" s="6">
        <f t="shared" si="35"/>
        <v>-0.14638347864539689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8263.4700000000012</v>
      </c>
      <c r="E45" s="1"/>
      <c r="F45" s="5">
        <f t="shared" si="28"/>
        <v>0.20720686835527025</v>
      </c>
      <c r="G45" s="1"/>
      <c r="H45" s="1">
        <f>SUM(OSRRefH22_5x_0)</f>
        <v>8410.08</v>
      </c>
      <c r="I45" s="1"/>
      <c r="J45" s="5">
        <f t="shared" si="29"/>
        <v>0.20835941930460147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4"/>
      <c r="P45" s="1">
        <f>SUM(OSRRefP22_5x_0)</f>
        <v>8263.4700000000012</v>
      </c>
      <c r="Q45" s="1"/>
      <c r="R45" s="5">
        <f t="shared" si="32"/>
        <v>0.20720686835527025</v>
      </c>
      <c r="S45" s="1"/>
      <c r="T45" s="1">
        <f>SUM(OSRRefT22_5x_0)</f>
        <v>8410.08</v>
      </c>
      <c r="U45" s="1"/>
      <c r="V45" s="5">
        <f t="shared" si="33"/>
        <v>0.20835941930460147</v>
      </c>
      <c r="W45" s="1"/>
      <c r="X45" s="1">
        <f t="shared" si="34"/>
        <v>-146.60999999999876</v>
      </c>
      <c r="Y45" s="1"/>
      <c r="Z45" s="5">
        <f t="shared" si="35"/>
        <v>-1.7432652245876229E-2</v>
      </c>
    </row>
    <row r="46" spans="1:26" s="24" customFormat="1" hidden="1" outlineLevel="2" x14ac:dyDescent="0.25">
      <c r="A46" s="29"/>
      <c r="B46" s="11" t="str">
        <f>CONCATENATE("          ", "6321", " - ", "BUILDING DEPRECIATION")</f>
        <v xml:space="preserve">          6321 - BUILDING DEPRECIATION</v>
      </c>
      <c r="C46" s="11"/>
      <c r="D46" s="7">
        <v>6537.05</v>
      </c>
      <c r="E46" s="2"/>
      <c r="F46" s="6">
        <f t="shared" si="28"/>
        <v>0.16391681203923042</v>
      </c>
      <c r="G46" s="2"/>
      <c r="H46" s="7">
        <v>6537.05</v>
      </c>
      <c r="I46" s="2"/>
      <c r="J46" s="6">
        <f t="shared" si="29"/>
        <v>0.16195517069577758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6537.05</v>
      </c>
      <c r="Q46" s="2"/>
      <c r="R46" s="6">
        <f t="shared" si="32"/>
        <v>0.16391681203923042</v>
      </c>
      <c r="S46" s="2"/>
      <c r="T46" s="7">
        <v>6537.05</v>
      </c>
      <c r="U46" s="2"/>
      <c r="V46" s="6">
        <f t="shared" si="33"/>
        <v>0.16195517069577758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1726.42</v>
      </c>
      <c r="E47" s="2"/>
      <c r="F47" s="6">
        <f t="shared" si="28"/>
        <v>4.3290056316039827E-2</v>
      </c>
      <c r="G47" s="2"/>
      <c r="H47" s="7">
        <v>1873.03</v>
      </c>
      <c r="I47" s="2"/>
      <c r="J47" s="6">
        <f t="shared" si="29"/>
        <v>4.6404248608823896E-2</v>
      </c>
      <c r="K47" s="2"/>
      <c r="L47" s="7">
        <f t="shared" si="30"/>
        <v>-146.6099999999999</v>
      </c>
      <c r="M47" s="2"/>
      <c r="N47" s="6">
        <f t="shared" si="31"/>
        <v>-7.827424013496842E-2</v>
      </c>
      <c r="O47" s="11"/>
      <c r="P47" s="7">
        <v>1726.42</v>
      </c>
      <c r="Q47" s="2"/>
      <c r="R47" s="6">
        <f t="shared" si="32"/>
        <v>4.3290056316039827E-2</v>
      </c>
      <c r="S47" s="2"/>
      <c r="T47" s="7">
        <v>1873.03</v>
      </c>
      <c r="U47" s="2"/>
      <c r="V47" s="6">
        <f t="shared" si="33"/>
        <v>4.6404248608823896E-2</v>
      </c>
      <c r="W47" s="2"/>
      <c r="X47" s="7">
        <f t="shared" si="34"/>
        <v>-146.6099999999999</v>
      </c>
      <c r="Y47" s="2"/>
      <c r="Z47" s="6">
        <f t="shared" si="35"/>
        <v>-7.827424013496842E-2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SUM(OSRRefD22_6x_0)</f>
        <v>1239.55</v>
      </c>
      <c r="E48" s="1"/>
      <c r="F48" s="5">
        <f t="shared" ref="F48:F54" si="36">IF(D$12=0,0,D48/D$12)</f>
        <v>3.1081769967068944E-2</v>
      </c>
      <c r="G48" s="1"/>
      <c r="H48" s="1">
        <f>SUM(OSRRefH22_6x_0)</f>
        <v>1194.2</v>
      </c>
      <c r="I48" s="1"/>
      <c r="J48" s="5">
        <f t="shared" ref="J48:J54" si="37">IF(H$12=0,0,H48/H$12)</f>
        <v>2.9586260598419407E-2</v>
      </c>
      <c r="K48" s="1"/>
      <c r="L48" s="1">
        <f t="shared" ref="L48:L54" si="38">+D48-H48</f>
        <v>45.349999999999909</v>
      </c>
      <c r="M48" s="1"/>
      <c r="N48" s="5">
        <f t="shared" ref="N48:N54" si="39">IF(H48=0,0,L48/H48)</f>
        <v>3.7975213532071603E-2</v>
      </c>
      <c r="O48" s="14"/>
      <c r="P48" s="1">
        <f>SUM(OSRRefP22_6x_0)</f>
        <v>1239.55</v>
      </c>
      <c r="Q48" s="1"/>
      <c r="R48" s="5">
        <f t="shared" ref="R48:R54" si="40">IF(P$12=0,0,P48/P$12)</f>
        <v>3.1081769967068944E-2</v>
      </c>
      <c r="S48" s="1"/>
      <c r="T48" s="1">
        <f>SUM(OSRRefT22_6x_0)</f>
        <v>1194.2</v>
      </c>
      <c r="U48" s="1"/>
      <c r="V48" s="5">
        <f t="shared" ref="V48:V54" si="41">IF(T$12=0,0,T48/T$12)</f>
        <v>2.9586260598419407E-2</v>
      </c>
      <c r="W48" s="1"/>
      <c r="X48" s="1">
        <f t="shared" ref="X48:X54" si="42">+P48-T48</f>
        <v>45.349999999999909</v>
      </c>
      <c r="Y48" s="1"/>
      <c r="Z48" s="5">
        <f t="shared" ref="Z48:Z54" si="43">IF(T48=0,0,X48/T48)</f>
        <v>3.7975213532071603E-2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>
        <v>1239.55</v>
      </c>
      <c r="E49" s="2"/>
      <c r="F49" s="6">
        <f t="shared" si="36"/>
        <v>3.1081769967068944E-2</v>
      </c>
      <c r="G49" s="2"/>
      <c r="H49" s="7">
        <v>1194.2</v>
      </c>
      <c r="I49" s="2"/>
      <c r="J49" s="6">
        <f t="shared" si="37"/>
        <v>2.9586260598419407E-2</v>
      </c>
      <c r="K49" s="2"/>
      <c r="L49" s="7">
        <f t="shared" si="38"/>
        <v>45.349999999999909</v>
      </c>
      <c r="M49" s="2"/>
      <c r="N49" s="6">
        <f t="shared" si="39"/>
        <v>3.7975213532071603E-2</v>
      </c>
      <c r="O49" s="11"/>
      <c r="P49" s="7">
        <v>1239.55</v>
      </c>
      <c r="Q49" s="2"/>
      <c r="R49" s="6">
        <f t="shared" si="40"/>
        <v>3.1081769967068944E-2</v>
      </c>
      <c r="S49" s="2"/>
      <c r="T49" s="7">
        <v>1194.2</v>
      </c>
      <c r="U49" s="2"/>
      <c r="V49" s="6">
        <f t="shared" si="41"/>
        <v>2.9586260598419407E-2</v>
      </c>
      <c r="W49" s="2"/>
      <c r="X49" s="7">
        <f t="shared" si="42"/>
        <v>45.349999999999909</v>
      </c>
      <c r="Y49" s="2"/>
      <c r="Z49" s="6">
        <f t="shared" si="43"/>
        <v>3.7975213532071603E-2</v>
      </c>
    </row>
    <row r="50" spans="1:26" s="28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SUM(OSRRefD22_7x_0)</f>
        <v>3365.21</v>
      </c>
      <c r="E50" s="1"/>
      <c r="F50" s="5">
        <f t="shared" si="36"/>
        <v>8.4382786584550909E-2</v>
      </c>
      <c r="G50" s="1"/>
      <c r="H50" s="1">
        <f>SUM(OSRRefH22_7x_0)</f>
        <v>233.73</v>
      </c>
      <c r="I50" s="1"/>
      <c r="J50" s="5">
        <f t="shared" si="37"/>
        <v>5.790652059678921E-3</v>
      </c>
      <c r="K50" s="1"/>
      <c r="L50" s="1">
        <f t="shared" si="38"/>
        <v>3131.48</v>
      </c>
      <c r="M50" s="1"/>
      <c r="N50" s="5">
        <f t="shared" si="39"/>
        <v>13.397852222650068</v>
      </c>
      <c r="O50" s="14"/>
      <c r="P50" s="1">
        <f>SUM(OSRRefP22_7x_0)</f>
        <v>3365.21</v>
      </c>
      <c r="Q50" s="1"/>
      <c r="R50" s="5">
        <f t="shared" si="40"/>
        <v>8.4382786584550909E-2</v>
      </c>
      <c r="S50" s="1"/>
      <c r="T50" s="1">
        <f>SUM(OSRRefT22_7x_0)</f>
        <v>233.73</v>
      </c>
      <c r="U50" s="1"/>
      <c r="V50" s="5">
        <f t="shared" si="41"/>
        <v>5.790652059678921E-3</v>
      </c>
      <c r="W50" s="1"/>
      <c r="X50" s="1">
        <f t="shared" si="42"/>
        <v>3131.48</v>
      </c>
      <c r="Y50" s="1"/>
      <c r="Z50" s="5">
        <f t="shared" si="43"/>
        <v>13.397852222650068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3365.21</v>
      </c>
      <c r="E51" s="2"/>
      <c r="F51" s="6">
        <f t="shared" si="36"/>
        <v>8.4382786584550909E-2</v>
      </c>
      <c r="G51" s="2"/>
      <c r="H51" s="7">
        <v>233.73</v>
      </c>
      <c r="I51" s="2"/>
      <c r="J51" s="6">
        <f t="shared" si="37"/>
        <v>5.790652059678921E-3</v>
      </c>
      <c r="K51" s="2"/>
      <c r="L51" s="7">
        <f t="shared" si="38"/>
        <v>3131.48</v>
      </c>
      <c r="M51" s="2"/>
      <c r="N51" s="6">
        <f t="shared" si="39"/>
        <v>13.397852222650068</v>
      </c>
      <c r="O51" s="11"/>
      <c r="P51" s="7">
        <v>3365.21</v>
      </c>
      <c r="Q51" s="2"/>
      <c r="R51" s="6">
        <f t="shared" si="40"/>
        <v>8.4382786584550909E-2</v>
      </c>
      <c r="S51" s="2"/>
      <c r="T51" s="7">
        <v>233.73</v>
      </c>
      <c r="U51" s="2"/>
      <c r="V51" s="6">
        <f t="shared" si="41"/>
        <v>5.790652059678921E-3</v>
      </c>
      <c r="W51" s="2"/>
      <c r="X51" s="7">
        <f t="shared" si="42"/>
        <v>3131.48</v>
      </c>
      <c r="Y51" s="2"/>
      <c r="Z51" s="6">
        <f t="shared" si="43"/>
        <v>13.397852222650068</v>
      </c>
    </row>
    <row r="52" spans="1:26" s="28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249.65</v>
      </c>
      <c r="E52" s="1"/>
      <c r="F52" s="5">
        <f t="shared" si="36"/>
        <v>6.2599845688183307E-3</v>
      </c>
      <c r="G52" s="1"/>
      <c r="H52" s="1">
        <f>SUM(OSRRefH22_8x_0)</f>
        <v>118.36</v>
      </c>
      <c r="I52" s="1"/>
      <c r="J52" s="5">
        <f t="shared" si="37"/>
        <v>2.9323645992538274E-3</v>
      </c>
      <c r="K52" s="1"/>
      <c r="L52" s="1">
        <f t="shared" si="38"/>
        <v>131.29000000000002</v>
      </c>
      <c r="M52" s="1"/>
      <c r="N52" s="5">
        <f t="shared" si="39"/>
        <v>1.1092429874957759</v>
      </c>
      <c r="O52" s="14"/>
      <c r="P52" s="1">
        <f>SUM(OSRRefP22_8x_0)</f>
        <v>249.65</v>
      </c>
      <c r="Q52" s="1"/>
      <c r="R52" s="5">
        <f t="shared" si="40"/>
        <v>6.2599845688183307E-3</v>
      </c>
      <c r="S52" s="1"/>
      <c r="T52" s="1">
        <f>SUM(OSRRefT22_8x_0)</f>
        <v>118.36</v>
      </c>
      <c r="U52" s="1"/>
      <c r="V52" s="5">
        <f t="shared" si="41"/>
        <v>2.9323645992538274E-3</v>
      </c>
      <c r="W52" s="1"/>
      <c r="X52" s="1">
        <f t="shared" si="42"/>
        <v>131.29000000000002</v>
      </c>
      <c r="Y52" s="1"/>
      <c r="Z52" s="5">
        <f t="shared" si="43"/>
        <v>1.1092429874957759</v>
      </c>
    </row>
    <row r="53" spans="1:26" s="24" customFormat="1" hidden="1" outlineLevel="2" x14ac:dyDescent="0.25">
      <c r="A53" s="29"/>
      <c r="B53" s="11" t="str">
        <f>CONCATENATE("          ", "6283", " - ", "PLANT SERVICE")</f>
        <v xml:space="preserve">          6283 - PLANT SERVICE</v>
      </c>
      <c r="C53" s="11"/>
      <c r="D53" s="7">
        <v>39.75</v>
      </c>
      <c r="E53" s="2"/>
      <c r="F53" s="6">
        <f t="shared" si="36"/>
        <v>9.9673297260375986E-4</v>
      </c>
      <c r="G53" s="2"/>
      <c r="H53" s="7">
        <v>30</v>
      </c>
      <c r="I53" s="2"/>
      <c r="J53" s="6">
        <f t="shared" si="37"/>
        <v>7.432488845692365E-4</v>
      </c>
      <c r="K53" s="2"/>
      <c r="L53" s="7">
        <f t="shared" si="38"/>
        <v>9.75</v>
      </c>
      <c r="M53" s="2"/>
      <c r="N53" s="6">
        <f t="shared" si="39"/>
        <v>0.32500000000000001</v>
      </c>
      <c r="O53" s="11"/>
      <c r="P53" s="7">
        <v>39.75</v>
      </c>
      <c r="Q53" s="2"/>
      <c r="R53" s="6">
        <f t="shared" si="40"/>
        <v>9.9673297260375986E-4</v>
      </c>
      <c r="S53" s="2"/>
      <c r="T53" s="7">
        <v>30</v>
      </c>
      <c r="U53" s="2"/>
      <c r="V53" s="6">
        <f t="shared" si="41"/>
        <v>7.432488845692365E-4</v>
      </c>
      <c r="W53" s="2"/>
      <c r="X53" s="7">
        <f t="shared" si="42"/>
        <v>9.75</v>
      </c>
      <c r="Y53" s="2"/>
      <c r="Z53" s="6">
        <f t="shared" si="43"/>
        <v>0.32500000000000001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>
        <v>209.9</v>
      </c>
      <c r="E54" s="2"/>
      <c r="F54" s="6">
        <f t="shared" si="36"/>
        <v>5.2632515962145708E-3</v>
      </c>
      <c r="G54" s="2"/>
      <c r="H54" s="7">
        <v>88.36</v>
      </c>
      <c r="I54" s="2"/>
      <c r="J54" s="6">
        <f t="shared" si="37"/>
        <v>2.1891157146845912E-3</v>
      </c>
      <c r="K54" s="2"/>
      <c r="L54" s="7">
        <f t="shared" si="38"/>
        <v>121.54</v>
      </c>
      <c r="M54" s="2"/>
      <c r="N54" s="6">
        <f t="shared" si="39"/>
        <v>1.375509280217293</v>
      </c>
      <c r="O54" s="11"/>
      <c r="P54" s="7">
        <v>209.9</v>
      </c>
      <c r="Q54" s="2"/>
      <c r="R54" s="6">
        <f t="shared" si="40"/>
        <v>5.2632515962145708E-3</v>
      </c>
      <c r="S54" s="2"/>
      <c r="T54" s="7">
        <v>88.36</v>
      </c>
      <c r="U54" s="2"/>
      <c r="V54" s="6">
        <f t="shared" si="41"/>
        <v>2.1891157146845912E-3</v>
      </c>
      <c r="W54" s="2"/>
      <c r="X54" s="7">
        <f t="shared" si="42"/>
        <v>121.54</v>
      </c>
      <c r="Y54" s="2"/>
      <c r="Z54" s="6">
        <f t="shared" si="43"/>
        <v>1.375509280217293</v>
      </c>
    </row>
    <row r="55" spans="1:26" s="28" customFormat="1" outlineLevel="1" collapsed="1" x14ac:dyDescent="0.25">
      <c r="A55" s="27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SUM(OSRRefD22_9x_0)</f>
        <v>196.71</v>
      </c>
      <c r="E55" s="1"/>
      <c r="F55" s="5">
        <f t="shared" ref="F55:F61" si="44">IF(D$12=0,0,D55/D$12)</f>
        <v>4.9325117746134746E-3</v>
      </c>
      <c r="G55" s="1"/>
      <c r="H55" s="1">
        <f>SUM(OSRRefH22_9x_0)</f>
        <v>0</v>
      </c>
      <c r="I55" s="1"/>
      <c r="J55" s="5">
        <f t="shared" ref="J55:J61" si="45">IF(H$12=0,0,H55/H$12)</f>
        <v>0</v>
      </c>
      <c r="K55" s="1"/>
      <c r="L55" s="1">
        <f t="shared" ref="L55:L61" si="46">+D55-H55</f>
        <v>196.71</v>
      </c>
      <c r="M55" s="1"/>
      <c r="N55" s="5">
        <f t="shared" ref="N55:N61" si="47">IF(H55=0,0,L55/H55)</f>
        <v>0</v>
      </c>
      <c r="O55" s="14"/>
      <c r="P55" s="1">
        <f>SUM(OSRRefP22_9x_0)</f>
        <v>196.71</v>
      </c>
      <c r="Q55" s="1"/>
      <c r="R55" s="5">
        <f t="shared" ref="R55:R61" si="48">IF(P$12=0,0,P55/P$12)</f>
        <v>4.9325117746134746E-3</v>
      </c>
      <c r="S55" s="1"/>
      <c r="T55" s="1">
        <f>SUM(OSRRefT22_9x_0)</f>
        <v>0</v>
      </c>
      <c r="U55" s="1"/>
      <c r="V55" s="5">
        <f t="shared" ref="V55:V61" si="49">IF(T$12=0,0,T55/T$12)</f>
        <v>0</v>
      </c>
      <c r="W55" s="1"/>
      <c r="X55" s="1">
        <f t="shared" ref="X55:X61" si="50">+P55-T55</f>
        <v>196.71</v>
      </c>
      <c r="Y55" s="1"/>
      <c r="Z55" s="5">
        <f t="shared" ref="Z55:Z61" si="51">IF(T55=0,0,X55/T55)</f>
        <v>0</v>
      </c>
    </row>
    <row r="56" spans="1:26" s="24" customFormat="1" hidden="1" outlineLevel="2" x14ac:dyDescent="0.25">
      <c r="A56" s="29"/>
      <c r="B56" s="11" t="str">
        <f>CONCATENATE("          ", "6275", " - ", "SUBSCRIPTIONS")</f>
        <v xml:space="preserve">          6275 - SUBSCRIPTIONS</v>
      </c>
      <c r="C56" s="11"/>
      <c r="D56" s="7">
        <v>196.71</v>
      </c>
      <c r="E56" s="2"/>
      <c r="F56" s="6">
        <f t="shared" si="44"/>
        <v>4.9325117746134746E-3</v>
      </c>
      <c r="G56" s="2"/>
      <c r="H56" s="7"/>
      <c r="I56" s="2"/>
      <c r="J56" s="6">
        <f t="shared" si="45"/>
        <v>0</v>
      </c>
      <c r="K56" s="2"/>
      <c r="L56" s="7">
        <f t="shared" si="46"/>
        <v>196.71</v>
      </c>
      <c r="M56" s="2"/>
      <c r="N56" s="6">
        <f t="shared" si="47"/>
        <v>0</v>
      </c>
      <c r="O56" s="11"/>
      <c r="P56" s="7">
        <v>196.71</v>
      </c>
      <c r="Q56" s="2"/>
      <c r="R56" s="6">
        <f t="shared" si="48"/>
        <v>4.9325117746134746E-3</v>
      </c>
      <c r="S56" s="2"/>
      <c r="T56" s="7"/>
      <c r="U56" s="2"/>
      <c r="V56" s="6">
        <f t="shared" si="49"/>
        <v>0</v>
      </c>
      <c r="W56" s="2"/>
      <c r="X56" s="7">
        <f t="shared" si="50"/>
        <v>196.71</v>
      </c>
      <c r="Y56" s="2"/>
      <c r="Z56" s="6">
        <f t="shared" si="51"/>
        <v>0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SUM(OSRRefD22_10x_0)</f>
        <v>616.88</v>
      </c>
      <c r="E57" s="1"/>
      <c r="F57" s="5">
        <f t="shared" si="44"/>
        <v>1.5468292733076915E-2</v>
      </c>
      <c r="G57" s="1"/>
      <c r="H57" s="1">
        <f>SUM(OSRRefH22_10x_0)</f>
        <v>3153.73</v>
      </c>
      <c r="I57" s="1"/>
      <c r="J57" s="5">
        <f t="shared" si="45"/>
        <v>7.8133543491084603E-2</v>
      </c>
      <c r="K57" s="1"/>
      <c r="L57" s="1">
        <f t="shared" si="46"/>
        <v>-2536.85</v>
      </c>
      <c r="M57" s="1"/>
      <c r="N57" s="5">
        <f t="shared" si="47"/>
        <v>-0.80439669851255491</v>
      </c>
      <c r="O57" s="14"/>
      <c r="P57" s="1">
        <f>SUM(OSRRefP22_10x_0)</f>
        <v>616.88</v>
      </c>
      <c r="Q57" s="1"/>
      <c r="R57" s="5">
        <f t="shared" si="48"/>
        <v>1.5468292733076915E-2</v>
      </c>
      <c r="S57" s="1"/>
      <c r="T57" s="1">
        <f>SUM(OSRRefT22_10x_0)</f>
        <v>3153.73</v>
      </c>
      <c r="U57" s="1"/>
      <c r="V57" s="5">
        <f t="shared" si="49"/>
        <v>7.8133543491084603E-2</v>
      </c>
      <c r="W57" s="1"/>
      <c r="X57" s="1">
        <f t="shared" si="50"/>
        <v>-2536.85</v>
      </c>
      <c r="Y57" s="1"/>
      <c r="Z57" s="5">
        <f t="shared" si="51"/>
        <v>-0.80439669851255491</v>
      </c>
    </row>
    <row r="58" spans="1:26" s="24" customFormat="1" hidden="1" outlineLevel="2" x14ac:dyDescent="0.25">
      <c r="A58" s="29"/>
      <c r="B58" s="11" t="str">
        <f>CONCATENATE("          ", "6237", " - ", "JANITORIAL SUPPLIES")</f>
        <v xml:space="preserve">          6237 - JANITORIAL SUPPLIES</v>
      </c>
      <c r="C58" s="11"/>
      <c r="D58" s="7"/>
      <c r="E58" s="2"/>
      <c r="F58" s="6">
        <f t="shared" si="44"/>
        <v>0</v>
      </c>
      <c r="G58" s="2"/>
      <c r="H58" s="7">
        <v>1830.04</v>
      </c>
      <c r="I58" s="2"/>
      <c r="J58" s="6">
        <f t="shared" si="45"/>
        <v>4.5339172957236183E-2</v>
      </c>
      <c r="K58" s="2"/>
      <c r="L58" s="7">
        <f t="shared" si="46"/>
        <v>-1830.04</v>
      </c>
      <c r="M58" s="2"/>
      <c r="N58" s="6">
        <f t="shared" si="47"/>
        <v>-1</v>
      </c>
      <c r="O58" s="11"/>
      <c r="P58" s="7"/>
      <c r="Q58" s="2"/>
      <c r="R58" s="6">
        <f t="shared" si="48"/>
        <v>0</v>
      </c>
      <c r="S58" s="2"/>
      <c r="T58" s="7">
        <v>1830.04</v>
      </c>
      <c r="U58" s="2"/>
      <c r="V58" s="6">
        <f t="shared" si="49"/>
        <v>4.5339172957236183E-2</v>
      </c>
      <c r="W58" s="2"/>
      <c r="X58" s="7">
        <f t="shared" si="50"/>
        <v>-1830.04</v>
      </c>
      <c r="Y58" s="2"/>
      <c r="Z58" s="6">
        <f t="shared" si="51"/>
        <v>-1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7">
        <v>338.42</v>
      </c>
      <c r="E59" s="2"/>
      <c r="F59" s="6">
        <f t="shared" si="44"/>
        <v>8.4858961657500488E-3</v>
      </c>
      <c r="G59" s="2"/>
      <c r="H59" s="7">
        <v>168.53</v>
      </c>
      <c r="I59" s="2"/>
      <c r="J59" s="6">
        <f t="shared" si="45"/>
        <v>4.1753244838817804E-3</v>
      </c>
      <c r="K59" s="2"/>
      <c r="L59" s="7">
        <f t="shared" si="46"/>
        <v>169.89000000000001</v>
      </c>
      <c r="M59" s="2"/>
      <c r="N59" s="6">
        <f t="shared" si="47"/>
        <v>1.0080697798611524</v>
      </c>
      <c r="O59" s="11"/>
      <c r="P59" s="7">
        <v>338.42</v>
      </c>
      <c r="Q59" s="2"/>
      <c r="R59" s="6">
        <f t="shared" si="48"/>
        <v>8.4858961657500488E-3</v>
      </c>
      <c r="S59" s="2"/>
      <c r="T59" s="7">
        <v>168.53</v>
      </c>
      <c r="U59" s="2"/>
      <c r="V59" s="6">
        <f t="shared" si="49"/>
        <v>4.1753244838817804E-3</v>
      </c>
      <c r="W59" s="2"/>
      <c r="X59" s="7">
        <f t="shared" si="50"/>
        <v>169.89000000000001</v>
      </c>
      <c r="Y59" s="2"/>
      <c r="Z59" s="6">
        <f t="shared" si="51"/>
        <v>1.0080697798611524</v>
      </c>
    </row>
    <row r="60" spans="1:26" s="24" customFormat="1" hidden="1" outlineLevel="2" x14ac:dyDescent="0.25">
      <c r="A60" s="29"/>
      <c r="B60" s="11" t="str">
        <f>CONCATENATE("          ", "6243", " - ", "PAPER SUPPLIES")</f>
        <v xml:space="preserve">          6243 - PAPER SUPPLIES</v>
      </c>
      <c r="C60" s="11"/>
      <c r="D60" s="7">
        <v>278.45999999999998</v>
      </c>
      <c r="E60" s="2"/>
      <c r="F60" s="6">
        <f t="shared" si="44"/>
        <v>6.982396567326867E-3</v>
      </c>
      <c r="G60" s="2"/>
      <c r="H60" s="7">
        <v>409.83</v>
      </c>
      <c r="I60" s="2"/>
      <c r="J60" s="6">
        <f t="shared" si="45"/>
        <v>1.0153523012100339E-2</v>
      </c>
      <c r="K60" s="2"/>
      <c r="L60" s="7">
        <f t="shared" si="46"/>
        <v>-131.37</v>
      </c>
      <c r="M60" s="2"/>
      <c r="N60" s="6">
        <f t="shared" si="47"/>
        <v>-0.32054754410365277</v>
      </c>
      <c r="O60" s="11"/>
      <c r="P60" s="7">
        <v>278.45999999999998</v>
      </c>
      <c r="Q60" s="2"/>
      <c r="R60" s="6">
        <f t="shared" si="48"/>
        <v>6.982396567326867E-3</v>
      </c>
      <c r="S60" s="2"/>
      <c r="T60" s="7">
        <v>409.83</v>
      </c>
      <c r="U60" s="2"/>
      <c r="V60" s="6">
        <f t="shared" si="49"/>
        <v>1.0153523012100339E-2</v>
      </c>
      <c r="W60" s="2"/>
      <c r="X60" s="7">
        <f t="shared" si="50"/>
        <v>-131.37</v>
      </c>
      <c r="Y60" s="2"/>
      <c r="Z60" s="6">
        <f t="shared" si="51"/>
        <v>-0.32054754410365277</v>
      </c>
    </row>
    <row r="61" spans="1:26" s="24" customFormat="1" hidden="1" outlineLevel="2" x14ac:dyDescent="0.25">
      <c r="A61" s="29"/>
      <c r="B61" s="11" t="str">
        <f>CONCATENATE("          ", "6248", " - ", "UNIFORMS")</f>
        <v xml:space="preserve">          6248 - UNIFORMS</v>
      </c>
      <c r="C61" s="11"/>
      <c r="D61" s="7"/>
      <c r="E61" s="2"/>
      <c r="F61" s="6">
        <f t="shared" si="44"/>
        <v>0</v>
      </c>
      <c r="G61" s="2"/>
      <c r="H61" s="7">
        <v>745.33</v>
      </c>
      <c r="I61" s="2"/>
      <c r="J61" s="6">
        <f t="shared" si="45"/>
        <v>1.8465523037866301E-2</v>
      </c>
      <c r="K61" s="2"/>
      <c r="L61" s="7">
        <f t="shared" si="46"/>
        <v>-745.33</v>
      </c>
      <c r="M61" s="2"/>
      <c r="N61" s="6">
        <f t="shared" si="47"/>
        <v>-1</v>
      </c>
      <c r="O61" s="11"/>
      <c r="P61" s="7"/>
      <c r="Q61" s="2"/>
      <c r="R61" s="6">
        <f t="shared" si="48"/>
        <v>0</v>
      </c>
      <c r="S61" s="2"/>
      <c r="T61" s="7">
        <v>745.33</v>
      </c>
      <c r="U61" s="2"/>
      <c r="V61" s="6">
        <f t="shared" si="49"/>
        <v>1.8465523037866301E-2</v>
      </c>
      <c r="W61" s="2"/>
      <c r="X61" s="7">
        <f t="shared" si="50"/>
        <v>-745.33</v>
      </c>
      <c r="Y61" s="2"/>
      <c r="Z61" s="6">
        <f t="shared" si="51"/>
        <v>-1</v>
      </c>
    </row>
    <row r="62" spans="1:26" s="28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113.2</v>
      </c>
      <c r="E62" s="1"/>
      <c r="F62" s="5">
        <f t="shared" ref="F62:F65" si="52">IF(D$12=0,0,D62/D$12)</f>
        <v>2.8384949056288206E-3</v>
      </c>
      <c r="G62" s="1"/>
      <c r="H62" s="1">
        <f>SUM(OSRRefH22_11x_0)</f>
        <v>159.30000000000001</v>
      </c>
      <c r="I62" s="1"/>
      <c r="J62" s="5">
        <f t="shared" ref="J62:J65" si="53">IF(H$12=0,0,H62/H$12)</f>
        <v>3.9466515770626457E-3</v>
      </c>
      <c r="K62" s="1"/>
      <c r="L62" s="1">
        <f t="shared" ref="L62:L65" si="54">+D62-H62</f>
        <v>-46.100000000000009</v>
      </c>
      <c r="M62" s="1"/>
      <c r="N62" s="5">
        <f t="shared" ref="N62:N65" si="55">IF(H62=0,0,L62/H62)</f>
        <v>-0.28939108600125552</v>
      </c>
      <c r="O62" s="14"/>
      <c r="P62" s="1">
        <f>SUM(OSRRefP22_11x_0)</f>
        <v>113.2</v>
      </c>
      <c r="Q62" s="1"/>
      <c r="R62" s="5">
        <f t="shared" ref="R62:R65" si="56">IF(P$12=0,0,P62/P$12)</f>
        <v>2.8384949056288206E-3</v>
      </c>
      <c r="S62" s="1"/>
      <c r="T62" s="1">
        <f>SUM(OSRRefT22_11x_0)</f>
        <v>159.30000000000001</v>
      </c>
      <c r="U62" s="1"/>
      <c r="V62" s="5">
        <f t="shared" ref="V62:V65" si="57">IF(T$12=0,0,T62/T$12)</f>
        <v>3.9466515770626457E-3</v>
      </c>
      <c r="W62" s="1"/>
      <c r="X62" s="1">
        <f t="shared" ref="X62:X65" si="58">+P62-T62</f>
        <v>-46.100000000000009</v>
      </c>
      <c r="Y62" s="1"/>
      <c r="Z62" s="5">
        <f t="shared" ref="Z62:Z65" si="59">IF(T62=0,0,X62/T62)</f>
        <v>-0.28939108600125552</v>
      </c>
    </row>
    <row r="63" spans="1:26" s="24" customFormat="1" hidden="1" outlineLevel="2" x14ac:dyDescent="0.25">
      <c r="A63" s="29"/>
      <c r="B63" s="11" t="str">
        <f>CONCATENATE("          ", "6309", " - ", "TELEPHONE")</f>
        <v xml:space="preserve">          6309 - TELEPHONE</v>
      </c>
      <c r="C63" s="11"/>
      <c r="D63" s="7">
        <v>113.2</v>
      </c>
      <c r="E63" s="2"/>
      <c r="F63" s="6">
        <f t="shared" si="52"/>
        <v>2.8384949056288206E-3</v>
      </c>
      <c r="G63" s="2"/>
      <c r="H63" s="7">
        <v>159.30000000000001</v>
      </c>
      <c r="I63" s="2"/>
      <c r="J63" s="6">
        <f t="shared" si="53"/>
        <v>3.9466515770626457E-3</v>
      </c>
      <c r="K63" s="2"/>
      <c r="L63" s="7">
        <f t="shared" si="54"/>
        <v>-46.100000000000009</v>
      </c>
      <c r="M63" s="2"/>
      <c r="N63" s="6">
        <f t="shared" si="55"/>
        <v>-0.28939108600125552</v>
      </c>
      <c r="O63" s="11"/>
      <c r="P63" s="7">
        <v>113.2</v>
      </c>
      <c r="Q63" s="2"/>
      <c r="R63" s="6">
        <f t="shared" si="56"/>
        <v>2.8384949056288206E-3</v>
      </c>
      <c r="S63" s="2"/>
      <c r="T63" s="7">
        <v>159.30000000000001</v>
      </c>
      <c r="U63" s="2"/>
      <c r="V63" s="6">
        <f t="shared" si="57"/>
        <v>3.9466515770626457E-3</v>
      </c>
      <c r="W63" s="2"/>
      <c r="X63" s="7">
        <f t="shared" si="58"/>
        <v>-46.100000000000009</v>
      </c>
      <c r="Y63" s="2"/>
      <c r="Z63" s="6">
        <f t="shared" si="59"/>
        <v>-0.28939108600125552</v>
      </c>
    </row>
    <row r="64" spans="1:26" s="28" customFormat="1" outlineLevel="1" collapsed="1" x14ac:dyDescent="0.2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SUM(OSRRefD22_12x_0)</f>
        <v>85</v>
      </c>
      <c r="E64" s="1"/>
      <c r="F64" s="5">
        <f t="shared" si="52"/>
        <v>2.13137868355521E-3</v>
      </c>
      <c r="G64" s="1"/>
      <c r="H64" s="1">
        <f>SUM(OSRRefH22_12x_0)</f>
        <v>0</v>
      </c>
      <c r="I64" s="1"/>
      <c r="J64" s="5">
        <f t="shared" si="53"/>
        <v>0</v>
      </c>
      <c r="K64" s="1"/>
      <c r="L64" s="1">
        <f t="shared" si="54"/>
        <v>85</v>
      </c>
      <c r="M64" s="1"/>
      <c r="N64" s="5">
        <f t="shared" si="55"/>
        <v>0</v>
      </c>
      <c r="O64" s="14"/>
      <c r="P64" s="1">
        <f>SUM(OSRRefP22_12x_0)</f>
        <v>85</v>
      </c>
      <c r="Q64" s="1"/>
      <c r="R64" s="5">
        <f t="shared" si="56"/>
        <v>2.13137868355521E-3</v>
      </c>
      <c r="S64" s="1"/>
      <c r="T64" s="1">
        <f>SUM(OSRRefT22_12x_0)</f>
        <v>0</v>
      </c>
      <c r="U64" s="1"/>
      <c r="V64" s="5">
        <f t="shared" si="57"/>
        <v>0</v>
      </c>
      <c r="W64" s="1"/>
      <c r="X64" s="1">
        <f t="shared" si="58"/>
        <v>85</v>
      </c>
      <c r="Y64" s="1"/>
      <c r="Z64" s="5">
        <f t="shared" si="59"/>
        <v>0</v>
      </c>
    </row>
    <row r="65" spans="1:26" s="24" customFormat="1" hidden="1" outlineLevel="2" x14ac:dyDescent="0.25">
      <c r="A65" s="29"/>
      <c r="B65" s="11" t="str">
        <f>CONCATENATE("          ", "6376", " - ", "TRAINING")</f>
        <v xml:space="preserve">          6376 - TRAINING</v>
      </c>
      <c r="C65" s="11"/>
      <c r="D65" s="7">
        <v>85</v>
      </c>
      <c r="E65" s="2"/>
      <c r="F65" s="6">
        <f t="shared" si="52"/>
        <v>2.13137868355521E-3</v>
      </c>
      <c r="G65" s="2"/>
      <c r="H65" s="7"/>
      <c r="I65" s="2"/>
      <c r="J65" s="6">
        <f t="shared" si="53"/>
        <v>0</v>
      </c>
      <c r="K65" s="2"/>
      <c r="L65" s="7">
        <f t="shared" si="54"/>
        <v>85</v>
      </c>
      <c r="M65" s="2"/>
      <c r="N65" s="6">
        <f t="shared" si="55"/>
        <v>0</v>
      </c>
      <c r="O65" s="11"/>
      <c r="P65" s="7">
        <v>85</v>
      </c>
      <c r="Q65" s="2"/>
      <c r="R65" s="6">
        <f t="shared" si="56"/>
        <v>2.13137868355521E-3</v>
      </c>
      <c r="S65" s="2"/>
      <c r="T65" s="7"/>
      <c r="U65" s="2"/>
      <c r="V65" s="6">
        <f t="shared" si="57"/>
        <v>0</v>
      </c>
      <c r="W65" s="2"/>
      <c r="X65" s="7">
        <f t="shared" si="58"/>
        <v>85</v>
      </c>
      <c r="Y65" s="2"/>
      <c r="Z65" s="6">
        <f t="shared" si="59"/>
        <v>0</v>
      </c>
    </row>
    <row r="66" spans="1:26" s="54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1">
        <f>+D20-D22+D67</f>
        <v>-12899.089999999997</v>
      </c>
      <c r="E69" s="13"/>
      <c r="F69" s="20">
        <f>IF(D$12=0,0,D69/D$12)</f>
        <v>-0.32344524074423719</v>
      </c>
      <c r="G69" s="13"/>
      <c r="H69" s="21">
        <f>+H20-H22+H67</f>
        <v>-12399.250000000007</v>
      </c>
      <c r="I69" s="13"/>
      <c r="J69" s="20">
        <f>IF(H$12=0,0,H69/H$12)</f>
        <v>-0.30719095773317034</v>
      </c>
      <c r="K69" s="16"/>
      <c r="L69" s="21">
        <f>+D69-H69</f>
        <v>-499.83999999998923</v>
      </c>
      <c r="M69" s="16"/>
      <c r="N69" s="20">
        <f>IF(H69=0,0,L69/H69)</f>
        <v>4.0312115652155485E-2</v>
      </c>
      <c r="O69" s="26"/>
      <c r="P69" s="21">
        <f>+P20-P22+P67</f>
        <v>-12899.089999999997</v>
      </c>
      <c r="Q69" s="13"/>
      <c r="R69" s="20">
        <f>IF(P$12=0,0,P69/P$12)</f>
        <v>-0.32344524074423719</v>
      </c>
      <c r="S69" s="13"/>
      <c r="T69" s="21">
        <f>+T20-T22+T67</f>
        <v>-12399.250000000007</v>
      </c>
      <c r="U69" s="13"/>
      <c r="V69" s="20">
        <f>IF(T$12=0,0,T69/T$12)</f>
        <v>-0.30719095773317034</v>
      </c>
      <c r="W69" s="16"/>
      <c r="X69" s="21">
        <f>+P69-T69</f>
        <v>-499.83999999998923</v>
      </c>
      <c r="Y69" s="16"/>
      <c r="Z69" s="20">
        <f>IF(T69=0,0,X69/T69)</f>
        <v>4.0312115652155485E-2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8292.2900000000009</v>
      </c>
      <c r="E71" s="4"/>
      <c r="F71" s="12">
        <f>IF(D$12=0,0,D71/D$12)</f>
        <v>0.20792953110421214</v>
      </c>
      <c r="G71" s="4"/>
      <c r="H71" s="4">
        <v>8286.6200000000008</v>
      </c>
      <c r="I71" s="4"/>
      <c r="J71" s="12">
        <f>IF(H$12=0,0,H71/H$12)</f>
        <v>0.20530070239497089</v>
      </c>
      <c r="K71" s="4"/>
      <c r="L71" s="4">
        <f>+D71-H71</f>
        <v>5.6700000000000728</v>
      </c>
      <c r="M71" s="4"/>
      <c r="N71" s="12">
        <f>IF(H71=0,0,L71/H71)</f>
        <v>6.8423555080359333E-4</v>
      </c>
      <c r="O71" s="10"/>
      <c r="P71" s="4">
        <v>8292.2900000000009</v>
      </c>
      <c r="Q71" s="4"/>
      <c r="R71" s="12">
        <f>IF(P$12=0,0,P71/P$12)</f>
        <v>0.20792953110421214</v>
      </c>
      <c r="S71" s="4"/>
      <c r="T71" s="4">
        <v>8286.6200000000008</v>
      </c>
      <c r="U71" s="4"/>
      <c r="V71" s="12">
        <f>IF(T$12=0,0,T71/T$12)</f>
        <v>0.20530070239497089</v>
      </c>
      <c r="W71" s="4"/>
      <c r="X71" s="4">
        <f>+P71-T71</f>
        <v>5.6700000000000728</v>
      </c>
      <c r="Y71" s="4"/>
      <c r="Z71" s="12">
        <f>IF(T71=0,0,X71/T71)</f>
        <v>6.8423555080359333E-4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-21191.379999999997</v>
      </c>
      <c r="E73" s="13"/>
      <c r="F73" s="34">
        <f>IF(D$12=0,0,D73/D$12)</f>
        <v>-0.53137477184844939</v>
      </c>
      <c r="G73" s="13"/>
      <c r="H73" s="33">
        <f>+H69-H71</f>
        <v>-20685.87000000001</v>
      </c>
      <c r="I73" s="13"/>
      <c r="J73" s="34">
        <f>IF(H$12=0,0,H73/H$12)</f>
        <v>-0.51249166012814129</v>
      </c>
      <c r="K73" s="16"/>
      <c r="L73" s="33">
        <f>D73-H73</f>
        <v>-505.50999999998749</v>
      </c>
      <c r="M73" s="16"/>
      <c r="N73" s="34">
        <f>IF(H73=0,0,L73/H73)</f>
        <v>2.4437454165572307E-2</v>
      </c>
      <c r="O73" s="26"/>
      <c r="P73" s="33">
        <f>+P69-P71</f>
        <v>-21191.379999999997</v>
      </c>
      <c r="Q73" s="13"/>
      <c r="R73" s="34">
        <f>IF(P$12=0,0,P73/P$12)</f>
        <v>-0.53137477184844939</v>
      </c>
      <c r="S73" s="13"/>
      <c r="T73" s="33">
        <f>+T69-T71</f>
        <v>-20685.87000000001</v>
      </c>
      <c r="U73" s="13"/>
      <c r="V73" s="34">
        <f>IF(T$12=0,0,T73/T$12)</f>
        <v>-0.51249166012814129</v>
      </c>
      <c r="W73" s="16"/>
      <c r="X73" s="33">
        <f>P73-T73</f>
        <v>-505.50999999998749</v>
      </c>
      <c r="Y73" s="16"/>
      <c r="Z73" s="34">
        <f>IF(T73=0,0,X73/T73)</f>
        <v>2.4437454165572307E-2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1">
        <f>SUM(D73:D75)</f>
        <v>-21191.379999999997</v>
      </c>
      <c r="E76" s="13"/>
      <c r="F76" s="30">
        <f>IF(D$12=0,0,D76/D$12)</f>
        <v>-0.53137477184844939</v>
      </c>
      <c r="G76" s="13"/>
      <c r="H76" s="31">
        <f>SUM(H73:H75)</f>
        <v>-20685.87000000001</v>
      </c>
      <c r="I76" s="13"/>
      <c r="J76" s="30">
        <f>IF(H$12=0,0,H76/H$12)</f>
        <v>-0.51249166012814129</v>
      </c>
      <c r="K76" s="16"/>
      <c r="L76" s="31">
        <f>+D76-H76</f>
        <v>-505.50999999998749</v>
      </c>
      <c r="M76" s="16"/>
      <c r="N76" s="30">
        <f>IF(H76=0,0,L76/H76)</f>
        <v>2.4437454165572307E-2</v>
      </c>
      <c r="O76" s="26"/>
      <c r="P76" s="31">
        <f>SUM(P73:P75)</f>
        <v>-21191.379999999997</v>
      </c>
      <c r="Q76" s="13"/>
      <c r="R76" s="30">
        <f>IF(P$12=0,0,P76/P$12)</f>
        <v>-0.53137477184844939</v>
      </c>
      <c r="S76" s="13"/>
      <c r="T76" s="31">
        <f>SUM(T73:T75)</f>
        <v>-20685.87000000001</v>
      </c>
      <c r="U76" s="13"/>
      <c r="V76" s="30">
        <f>IF(T$12=0,0,T76/T$12)</f>
        <v>-0.51249166012814129</v>
      </c>
      <c r="W76" s="16"/>
      <c r="X76" s="31">
        <f>+P76-T76</f>
        <v>-505.50999999998749</v>
      </c>
      <c r="Y76" s="16"/>
      <c r="Z76" s="30">
        <f>IF(T76=0,0,X76/T76)</f>
        <v>2.4437454165572307E-2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43726.682296909719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54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6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5</v>
      </c>
      <c r="C29" s="25"/>
      <c r="D29" s="31">
        <f>SUM(D26:D28)</f>
        <v>0</v>
      </c>
      <c r="E29" s="13"/>
      <c r="F29" s="30">
        <f>IF(D$12=0,0,D29/D$12)</f>
        <v>0</v>
      </c>
      <c r="G29" s="13"/>
      <c r="H29" s="31">
        <f>SUM(H26:H28)</f>
        <v>0</v>
      </c>
      <c r="I29" s="13"/>
      <c r="J29" s="30">
        <f>IF(H$12=0,0,H29/H$12)</f>
        <v>0</v>
      </c>
      <c r="K29" s="16"/>
      <c r="L29" s="31">
        <f>+D29-H29</f>
        <v>0</v>
      </c>
      <c r="M29" s="16"/>
      <c r="N29" s="30">
        <f>IF(H29=0,0,L29/H29)</f>
        <v>0</v>
      </c>
      <c r="O29" s="26"/>
      <c r="P29" s="31">
        <f>SUM(P26:P28)</f>
        <v>0</v>
      </c>
      <c r="Q29" s="13"/>
      <c r="R29" s="30">
        <f>IF(P$12=0,0,P29/P$12)</f>
        <v>0</v>
      </c>
      <c r="S29" s="13"/>
      <c r="T29" s="31">
        <f>SUM(T26:T28)</f>
        <v>0</v>
      </c>
      <c r="U29" s="13"/>
      <c r="V29" s="30">
        <f>IF(T$12=0,0,T29/T$12)</f>
        <v>0</v>
      </c>
      <c r="W29" s="16"/>
      <c r="X29" s="31">
        <f>+P29-T29</f>
        <v>0</v>
      </c>
      <c r="Y29" s="16"/>
      <c r="Z29" s="30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6">
        <v>43726.682315393518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3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22387.03</v>
      </c>
      <c r="E18" s="19"/>
      <c r="F18" s="35">
        <f t="shared" ref="F18:F27" si="0">IF(D$12=0,0,D18/D$12)</f>
        <v>0</v>
      </c>
      <c r="G18" s="19"/>
      <c r="H18" s="19">
        <f>SUM(OSRRefH22x_0)</f>
        <v>16088.119999999999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6298.91</v>
      </c>
      <c r="M18" s="4"/>
      <c r="N18" s="35">
        <f t="shared" ref="N18:N27" si="3">IF(H18=0,0,L18/H18)</f>
        <v>0.39152554804414685</v>
      </c>
      <c r="O18" s="10"/>
      <c r="P18" s="19">
        <f>SUM(OSRRefP22x_0)</f>
        <v>22387.03</v>
      </c>
      <c r="Q18" s="19"/>
      <c r="R18" s="35">
        <f t="shared" ref="R18:R27" si="4">IF(P$12=0,0,P18/P$12)</f>
        <v>0</v>
      </c>
      <c r="S18" s="19"/>
      <c r="T18" s="19">
        <f>SUM(OSRRefT22x_0)</f>
        <v>16088.119999999999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6298.91</v>
      </c>
      <c r="Y18" s="4"/>
      <c r="Z18" s="35">
        <f t="shared" ref="Z18:Z27" si="7">IF(T18=0,0,X18/T18)</f>
        <v>0.39152554804414685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4617.79</v>
      </c>
      <c r="E19" s="1"/>
      <c r="F19" s="5">
        <f t="shared" si="0"/>
        <v>0</v>
      </c>
      <c r="G19" s="1"/>
      <c r="H19" s="1">
        <f>SUM(OSRRefH22_0x_0)</f>
        <v>4100.91</v>
      </c>
      <c r="I19" s="1"/>
      <c r="J19" s="5">
        <f t="shared" si="1"/>
        <v>0</v>
      </c>
      <c r="K19" s="1"/>
      <c r="L19" s="1">
        <f t="shared" si="2"/>
        <v>516.88000000000011</v>
      </c>
      <c r="M19" s="1"/>
      <c r="N19" s="5">
        <f t="shared" si="3"/>
        <v>0.12604031788066555</v>
      </c>
      <c r="O19" s="14"/>
      <c r="P19" s="1">
        <f>SUM(OSRRefP22_0x_0)</f>
        <v>4617.79</v>
      </c>
      <c r="Q19" s="1"/>
      <c r="R19" s="5">
        <f t="shared" si="4"/>
        <v>0</v>
      </c>
      <c r="S19" s="1"/>
      <c r="T19" s="1">
        <f>SUM(OSRRefT22_0x_0)</f>
        <v>4100.91</v>
      </c>
      <c r="U19" s="1"/>
      <c r="V19" s="5">
        <f t="shared" si="5"/>
        <v>0</v>
      </c>
      <c r="W19" s="1"/>
      <c r="X19" s="1">
        <f t="shared" si="6"/>
        <v>516.88000000000011</v>
      </c>
      <c r="Y19" s="1"/>
      <c r="Z19" s="5">
        <f t="shared" si="7"/>
        <v>0.12604031788066555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349.92</v>
      </c>
      <c r="E20" s="2"/>
      <c r="F20" s="6">
        <f t="shared" si="0"/>
        <v>0</v>
      </c>
      <c r="G20" s="2"/>
      <c r="H20" s="7">
        <v>339.74</v>
      </c>
      <c r="I20" s="2"/>
      <c r="J20" s="6">
        <f t="shared" si="1"/>
        <v>0</v>
      </c>
      <c r="K20" s="2"/>
      <c r="L20" s="7">
        <f t="shared" si="2"/>
        <v>10.180000000000007</v>
      </c>
      <c r="M20" s="2"/>
      <c r="N20" s="6">
        <f t="shared" si="3"/>
        <v>2.996409018661331E-2</v>
      </c>
      <c r="O20" s="11"/>
      <c r="P20" s="7">
        <v>349.92</v>
      </c>
      <c r="Q20" s="2"/>
      <c r="R20" s="6">
        <f t="shared" si="4"/>
        <v>0</v>
      </c>
      <c r="S20" s="2"/>
      <c r="T20" s="7">
        <v>339.74</v>
      </c>
      <c r="U20" s="2"/>
      <c r="V20" s="6">
        <f t="shared" si="5"/>
        <v>0</v>
      </c>
      <c r="W20" s="2"/>
      <c r="X20" s="7">
        <f t="shared" si="6"/>
        <v>10.180000000000007</v>
      </c>
      <c r="Y20" s="2"/>
      <c r="Z20" s="6">
        <f t="shared" si="7"/>
        <v>2.996409018661331E-2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177.47</v>
      </c>
      <c r="E21" s="2"/>
      <c r="F21" s="6">
        <f t="shared" si="0"/>
        <v>0</v>
      </c>
      <c r="G21" s="2"/>
      <c r="H21" s="7">
        <v>230.88</v>
      </c>
      <c r="I21" s="2"/>
      <c r="J21" s="6">
        <f t="shared" si="1"/>
        <v>0</v>
      </c>
      <c r="K21" s="2"/>
      <c r="L21" s="7">
        <f t="shared" si="2"/>
        <v>-53.41</v>
      </c>
      <c r="M21" s="2"/>
      <c r="N21" s="6">
        <f t="shared" si="3"/>
        <v>-0.23133229383229381</v>
      </c>
      <c r="O21" s="11"/>
      <c r="P21" s="7">
        <v>177.47</v>
      </c>
      <c r="Q21" s="2"/>
      <c r="R21" s="6">
        <f t="shared" si="4"/>
        <v>0</v>
      </c>
      <c r="S21" s="2"/>
      <c r="T21" s="7">
        <v>230.88</v>
      </c>
      <c r="U21" s="2"/>
      <c r="V21" s="6">
        <f t="shared" si="5"/>
        <v>0</v>
      </c>
      <c r="W21" s="2"/>
      <c r="X21" s="7">
        <f t="shared" si="6"/>
        <v>-53.41</v>
      </c>
      <c r="Y21" s="2"/>
      <c r="Z21" s="6">
        <f t="shared" si="7"/>
        <v>-0.23133229383229381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1011.43</v>
      </c>
      <c r="E22" s="2"/>
      <c r="F22" s="6">
        <f t="shared" si="0"/>
        <v>0</v>
      </c>
      <c r="G22" s="2"/>
      <c r="H22" s="7">
        <v>416.91</v>
      </c>
      <c r="I22" s="2"/>
      <c r="J22" s="6">
        <f t="shared" si="1"/>
        <v>0</v>
      </c>
      <c r="K22" s="2"/>
      <c r="L22" s="7">
        <f t="shared" si="2"/>
        <v>594.52</v>
      </c>
      <c r="M22" s="2"/>
      <c r="N22" s="6">
        <f t="shared" si="3"/>
        <v>1.4260152071190424</v>
      </c>
      <c r="O22" s="11"/>
      <c r="P22" s="7">
        <v>1011.43</v>
      </c>
      <c r="Q22" s="2"/>
      <c r="R22" s="6">
        <f t="shared" si="4"/>
        <v>0</v>
      </c>
      <c r="S22" s="2"/>
      <c r="T22" s="7">
        <v>416.91</v>
      </c>
      <c r="U22" s="2"/>
      <c r="V22" s="6">
        <f t="shared" si="5"/>
        <v>0</v>
      </c>
      <c r="W22" s="2"/>
      <c r="X22" s="7">
        <f t="shared" si="6"/>
        <v>594.52</v>
      </c>
      <c r="Y22" s="2"/>
      <c r="Z22" s="6">
        <f t="shared" si="7"/>
        <v>1.4260152071190424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11.89</v>
      </c>
      <c r="E23" s="2"/>
      <c r="F23" s="6">
        <f t="shared" si="0"/>
        <v>0</v>
      </c>
      <c r="G23" s="2"/>
      <c r="H23" s="7">
        <v>17.149999999999999</v>
      </c>
      <c r="I23" s="2"/>
      <c r="J23" s="6">
        <f t="shared" si="1"/>
        <v>0</v>
      </c>
      <c r="K23" s="2"/>
      <c r="L23" s="7">
        <f t="shared" si="2"/>
        <v>-5.259999999999998</v>
      </c>
      <c r="M23" s="2"/>
      <c r="N23" s="6">
        <f t="shared" si="3"/>
        <v>-0.30670553935860051</v>
      </c>
      <c r="O23" s="11"/>
      <c r="P23" s="7">
        <v>11.89</v>
      </c>
      <c r="Q23" s="2"/>
      <c r="R23" s="6">
        <f t="shared" si="4"/>
        <v>0</v>
      </c>
      <c r="S23" s="2"/>
      <c r="T23" s="7">
        <v>17.149999999999999</v>
      </c>
      <c r="U23" s="2"/>
      <c r="V23" s="6">
        <f t="shared" si="5"/>
        <v>0</v>
      </c>
      <c r="W23" s="2"/>
      <c r="X23" s="7">
        <f t="shared" si="6"/>
        <v>-5.259999999999998</v>
      </c>
      <c r="Y23" s="2"/>
      <c r="Z23" s="6">
        <f t="shared" si="7"/>
        <v>-0.30670553935860051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467.52</v>
      </c>
      <c r="E24" s="2"/>
      <c r="F24" s="6">
        <f t="shared" si="0"/>
        <v>0</v>
      </c>
      <c r="G24" s="2"/>
      <c r="H24" s="7">
        <v>620.67999999999995</v>
      </c>
      <c r="I24" s="2"/>
      <c r="J24" s="6">
        <f t="shared" si="1"/>
        <v>0</v>
      </c>
      <c r="K24" s="2"/>
      <c r="L24" s="7">
        <f t="shared" si="2"/>
        <v>-153.15999999999997</v>
      </c>
      <c r="M24" s="2"/>
      <c r="N24" s="6">
        <f t="shared" si="3"/>
        <v>-0.24676161629180896</v>
      </c>
      <c r="O24" s="11"/>
      <c r="P24" s="7">
        <v>467.52</v>
      </c>
      <c r="Q24" s="2"/>
      <c r="R24" s="6">
        <f t="shared" si="4"/>
        <v>0</v>
      </c>
      <c r="S24" s="2"/>
      <c r="T24" s="7">
        <v>620.67999999999995</v>
      </c>
      <c r="U24" s="2"/>
      <c r="V24" s="6">
        <f t="shared" si="5"/>
        <v>0</v>
      </c>
      <c r="W24" s="2"/>
      <c r="X24" s="7">
        <f t="shared" si="6"/>
        <v>-153.15999999999997</v>
      </c>
      <c r="Y24" s="2"/>
      <c r="Z24" s="6">
        <f t="shared" si="7"/>
        <v>-0.24676161629180896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755.72</v>
      </c>
      <c r="E25" s="2"/>
      <c r="F25" s="6">
        <f t="shared" si="0"/>
        <v>0</v>
      </c>
      <c r="G25" s="2"/>
      <c r="H25" s="7">
        <v>765.93</v>
      </c>
      <c r="I25" s="2"/>
      <c r="J25" s="6">
        <f t="shared" si="1"/>
        <v>0</v>
      </c>
      <c r="K25" s="2"/>
      <c r="L25" s="7">
        <f t="shared" si="2"/>
        <v>-10.209999999999923</v>
      </c>
      <c r="M25" s="2"/>
      <c r="N25" s="6">
        <f t="shared" si="3"/>
        <v>-1.33301998877181E-2</v>
      </c>
      <c r="O25" s="11"/>
      <c r="P25" s="7">
        <v>755.72</v>
      </c>
      <c r="Q25" s="2"/>
      <c r="R25" s="6">
        <f t="shared" si="4"/>
        <v>0</v>
      </c>
      <c r="S25" s="2"/>
      <c r="T25" s="7">
        <v>765.93</v>
      </c>
      <c r="U25" s="2"/>
      <c r="V25" s="6">
        <f t="shared" si="5"/>
        <v>0</v>
      </c>
      <c r="W25" s="2"/>
      <c r="X25" s="7">
        <f t="shared" si="6"/>
        <v>-10.209999999999923</v>
      </c>
      <c r="Y25" s="2"/>
      <c r="Z25" s="6">
        <f t="shared" si="7"/>
        <v>-1.33301998877181E-2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1702.34</v>
      </c>
      <c r="E26" s="2"/>
      <c r="F26" s="6">
        <f t="shared" si="0"/>
        <v>0</v>
      </c>
      <c r="G26" s="2"/>
      <c r="H26" s="7">
        <v>1575.19</v>
      </c>
      <c r="I26" s="2"/>
      <c r="J26" s="6">
        <f t="shared" si="1"/>
        <v>0</v>
      </c>
      <c r="K26" s="2"/>
      <c r="L26" s="7">
        <f t="shared" si="2"/>
        <v>127.14999999999986</v>
      </c>
      <c r="M26" s="2"/>
      <c r="N26" s="6">
        <f t="shared" si="3"/>
        <v>8.0720421028574241E-2</v>
      </c>
      <c r="O26" s="11"/>
      <c r="P26" s="7">
        <v>1702.34</v>
      </c>
      <c r="Q26" s="2"/>
      <c r="R26" s="6">
        <f t="shared" si="4"/>
        <v>0</v>
      </c>
      <c r="S26" s="2"/>
      <c r="T26" s="7">
        <v>1575.19</v>
      </c>
      <c r="U26" s="2"/>
      <c r="V26" s="6">
        <f t="shared" si="5"/>
        <v>0</v>
      </c>
      <c r="W26" s="2"/>
      <c r="X26" s="7">
        <f t="shared" si="6"/>
        <v>127.14999999999986</v>
      </c>
      <c r="Y26" s="2"/>
      <c r="Z26" s="6">
        <f t="shared" si="7"/>
        <v>8.0720421028574241E-2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141.5</v>
      </c>
      <c r="E27" s="2"/>
      <c r="F27" s="6">
        <f t="shared" si="0"/>
        <v>0</v>
      </c>
      <c r="G27" s="2"/>
      <c r="H27" s="7">
        <v>134.43</v>
      </c>
      <c r="I27" s="2"/>
      <c r="J27" s="6">
        <f t="shared" si="1"/>
        <v>0</v>
      </c>
      <c r="K27" s="2"/>
      <c r="L27" s="7">
        <f t="shared" si="2"/>
        <v>7.0699999999999932</v>
      </c>
      <c r="M27" s="2"/>
      <c r="N27" s="6">
        <f t="shared" si="3"/>
        <v>5.2592427285576081E-2</v>
      </c>
      <c r="O27" s="11"/>
      <c r="P27" s="7">
        <v>141.5</v>
      </c>
      <c r="Q27" s="2"/>
      <c r="R27" s="6">
        <f t="shared" si="4"/>
        <v>0</v>
      </c>
      <c r="S27" s="2"/>
      <c r="T27" s="7">
        <v>134.43</v>
      </c>
      <c r="U27" s="2"/>
      <c r="V27" s="6">
        <f t="shared" si="5"/>
        <v>0</v>
      </c>
      <c r="W27" s="2"/>
      <c r="X27" s="7">
        <f t="shared" si="6"/>
        <v>7.0699999999999932</v>
      </c>
      <c r="Y27" s="2"/>
      <c r="Z27" s="6">
        <f t="shared" si="7"/>
        <v>5.2592427285576081E-2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5717.1</v>
      </c>
      <c r="E28" s="1"/>
      <c r="F28" s="5">
        <f t="shared" ref="F28:F37" si="8">IF(D$12=0,0,D28/D$12)</f>
        <v>0</v>
      </c>
      <c r="G28" s="1"/>
      <c r="H28" s="1">
        <f>SUM(OSRRefH22_1x_0)</f>
        <v>4440.6499999999996</v>
      </c>
      <c r="I28" s="1"/>
      <c r="J28" s="5">
        <f t="shared" ref="J28:J37" si="9">IF(H$12=0,0,H28/H$12)</f>
        <v>0</v>
      </c>
      <c r="K28" s="1"/>
      <c r="L28" s="1">
        <f t="shared" ref="L28:L37" si="10">+D28-H28</f>
        <v>1276.4500000000007</v>
      </c>
      <c r="M28" s="1"/>
      <c r="N28" s="5">
        <f t="shared" ref="N28:N37" si="11">IF(H28=0,0,L28/H28)</f>
        <v>0.28744665758391247</v>
      </c>
      <c r="O28" s="14"/>
      <c r="P28" s="1">
        <f>SUM(OSRRefP22_1x_0)</f>
        <v>5717.1</v>
      </c>
      <c r="Q28" s="1"/>
      <c r="R28" s="5">
        <f t="shared" ref="R28:R37" si="12">IF(P$12=0,0,P28/P$12)</f>
        <v>0</v>
      </c>
      <c r="S28" s="1"/>
      <c r="T28" s="1">
        <f>SUM(OSRRefT22_1x_0)</f>
        <v>4440.6499999999996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1276.4500000000007</v>
      </c>
      <c r="Y28" s="1"/>
      <c r="Z28" s="5">
        <f t="shared" ref="Z28:Z37" si="15">IF(T28=0,0,X28/T28)</f>
        <v>0.28744665758391247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5717.1</v>
      </c>
      <c r="E29" s="2"/>
      <c r="F29" s="6">
        <f t="shared" si="8"/>
        <v>0</v>
      </c>
      <c r="G29" s="2"/>
      <c r="H29" s="7">
        <v>4440.6499999999996</v>
      </c>
      <c r="I29" s="2"/>
      <c r="J29" s="6">
        <f t="shared" si="9"/>
        <v>0</v>
      </c>
      <c r="K29" s="2"/>
      <c r="L29" s="7">
        <f t="shared" si="10"/>
        <v>1276.4500000000007</v>
      </c>
      <c r="M29" s="2"/>
      <c r="N29" s="6">
        <f t="shared" si="11"/>
        <v>0.28744665758391247</v>
      </c>
      <c r="O29" s="11"/>
      <c r="P29" s="7">
        <v>5717.1</v>
      </c>
      <c r="Q29" s="2"/>
      <c r="R29" s="6">
        <f t="shared" si="12"/>
        <v>0</v>
      </c>
      <c r="S29" s="2"/>
      <c r="T29" s="7">
        <v>4440.6499999999996</v>
      </c>
      <c r="U29" s="2"/>
      <c r="V29" s="6">
        <f t="shared" si="13"/>
        <v>0</v>
      </c>
      <c r="W29" s="2"/>
      <c r="X29" s="7">
        <f t="shared" si="14"/>
        <v>1276.4500000000007</v>
      </c>
      <c r="Y29" s="2"/>
      <c r="Z29" s="6">
        <f t="shared" si="15"/>
        <v>0.28744665758391247</v>
      </c>
    </row>
    <row r="30" spans="1:26" s="28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2443.65</v>
      </c>
      <c r="E30" s="1"/>
      <c r="F30" s="5">
        <f t="shared" si="8"/>
        <v>0</v>
      </c>
      <c r="G30" s="1"/>
      <c r="H30" s="1">
        <f>SUM(OSRRefH22_2x_0)</f>
        <v>2357.6</v>
      </c>
      <c r="I30" s="1"/>
      <c r="J30" s="5">
        <f t="shared" si="9"/>
        <v>0</v>
      </c>
      <c r="K30" s="1"/>
      <c r="L30" s="1">
        <f t="shared" si="10"/>
        <v>86.050000000000182</v>
      </c>
      <c r="M30" s="1"/>
      <c r="N30" s="5">
        <f t="shared" si="11"/>
        <v>3.6498982015609173E-2</v>
      </c>
      <c r="O30" s="14"/>
      <c r="P30" s="1">
        <f>SUM(OSRRefP22_2x_0)</f>
        <v>2443.65</v>
      </c>
      <c r="Q30" s="1"/>
      <c r="R30" s="5">
        <f t="shared" si="12"/>
        <v>0</v>
      </c>
      <c r="S30" s="1"/>
      <c r="T30" s="1">
        <f>SUM(OSRRefT22_2x_0)</f>
        <v>2357.6</v>
      </c>
      <c r="U30" s="1"/>
      <c r="V30" s="5">
        <f t="shared" si="13"/>
        <v>0</v>
      </c>
      <c r="W30" s="1"/>
      <c r="X30" s="1">
        <f t="shared" si="14"/>
        <v>86.050000000000182</v>
      </c>
      <c r="Y30" s="1"/>
      <c r="Z30" s="5">
        <f t="shared" si="15"/>
        <v>3.6498982015609173E-2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7">
        <v>2443.65</v>
      </c>
      <c r="E31" s="2"/>
      <c r="F31" s="6">
        <f t="shared" si="8"/>
        <v>0</v>
      </c>
      <c r="G31" s="2"/>
      <c r="H31" s="7">
        <v>2357.6</v>
      </c>
      <c r="I31" s="2"/>
      <c r="J31" s="6">
        <f t="shared" si="9"/>
        <v>0</v>
      </c>
      <c r="K31" s="2"/>
      <c r="L31" s="7">
        <f t="shared" si="10"/>
        <v>86.050000000000182</v>
      </c>
      <c r="M31" s="2"/>
      <c r="N31" s="6">
        <f t="shared" si="11"/>
        <v>3.6498982015609173E-2</v>
      </c>
      <c r="O31" s="11"/>
      <c r="P31" s="7">
        <v>2443.65</v>
      </c>
      <c r="Q31" s="2"/>
      <c r="R31" s="6">
        <f t="shared" si="12"/>
        <v>0</v>
      </c>
      <c r="S31" s="2"/>
      <c r="T31" s="7">
        <v>2357.6</v>
      </c>
      <c r="U31" s="2"/>
      <c r="V31" s="6">
        <f t="shared" si="13"/>
        <v>0</v>
      </c>
      <c r="W31" s="2"/>
      <c r="X31" s="7">
        <f t="shared" si="14"/>
        <v>86.050000000000182</v>
      </c>
      <c r="Y31" s="2"/>
      <c r="Z31" s="6">
        <f t="shared" si="15"/>
        <v>3.6498982015609173E-2</v>
      </c>
    </row>
    <row r="32" spans="1:26" s="28" customFormat="1" outlineLevel="1" collapsed="1" x14ac:dyDescent="0.25">
      <c r="A32" s="27"/>
      <c r="B32" s="14" t="str">
        <f>CONCATENATE("     ","Royalty &amp; Commissions                             ")</f>
        <v xml:space="preserve">     Royalty &amp; Commissions                             </v>
      </c>
      <c r="C32" s="14"/>
      <c r="D32" s="1">
        <f>SUM(OSRRefD22_3x_0)</f>
        <v>7344.9</v>
      </c>
      <c r="E32" s="1"/>
      <c r="F32" s="5">
        <f t="shared" si="8"/>
        <v>0</v>
      </c>
      <c r="G32" s="1"/>
      <c r="H32" s="1">
        <f>SUM(OSRRefH22_3x_0)</f>
        <v>5132.46</v>
      </c>
      <c r="I32" s="1"/>
      <c r="J32" s="5">
        <f t="shared" si="9"/>
        <v>0</v>
      </c>
      <c r="K32" s="1"/>
      <c r="L32" s="1">
        <f t="shared" si="10"/>
        <v>2212.4399999999996</v>
      </c>
      <c r="M32" s="1"/>
      <c r="N32" s="5">
        <f t="shared" si="11"/>
        <v>0.43106814276195032</v>
      </c>
      <c r="O32" s="14"/>
      <c r="P32" s="1">
        <f>SUM(OSRRefP22_3x_0)</f>
        <v>7344.9</v>
      </c>
      <c r="Q32" s="1"/>
      <c r="R32" s="5">
        <f t="shared" si="12"/>
        <v>0</v>
      </c>
      <c r="S32" s="1"/>
      <c r="T32" s="1">
        <f>SUM(OSRRefT22_3x_0)</f>
        <v>5132.46</v>
      </c>
      <c r="U32" s="1"/>
      <c r="V32" s="5">
        <f t="shared" si="13"/>
        <v>0</v>
      </c>
      <c r="W32" s="1"/>
      <c r="X32" s="1">
        <f t="shared" si="14"/>
        <v>2212.4399999999996</v>
      </c>
      <c r="Y32" s="1"/>
      <c r="Z32" s="5">
        <f t="shared" si="15"/>
        <v>0.43106814276195032</v>
      </c>
    </row>
    <row r="33" spans="1:26" s="24" customFormat="1" hidden="1" outlineLevel="2" x14ac:dyDescent="0.25">
      <c r="A33" s="29"/>
      <c r="B33" s="11" t="str">
        <f>CONCATENATE("          ", "6254", " - ", "ROYALTY &amp; COMMISSIONS")</f>
        <v xml:space="preserve">          6254 - ROYALTY &amp; COMMISSIONS</v>
      </c>
      <c r="C33" s="11"/>
      <c r="D33" s="7">
        <v>7344.9</v>
      </c>
      <c r="E33" s="2"/>
      <c r="F33" s="6">
        <f t="shared" si="8"/>
        <v>0</v>
      </c>
      <c r="G33" s="2"/>
      <c r="H33" s="7">
        <v>5132.46</v>
      </c>
      <c r="I33" s="2"/>
      <c r="J33" s="6">
        <f t="shared" si="9"/>
        <v>0</v>
      </c>
      <c r="K33" s="2"/>
      <c r="L33" s="7">
        <f t="shared" si="10"/>
        <v>2212.4399999999996</v>
      </c>
      <c r="M33" s="2"/>
      <c r="N33" s="6">
        <f t="shared" si="11"/>
        <v>0.43106814276195032</v>
      </c>
      <c r="O33" s="11"/>
      <c r="P33" s="7">
        <v>7344.9</v>
      </c>
      <c r="Q33" s="2"/>
      <c r="R33" s="6">
        <f t="shared" si="12"/>
        <v>0</v>
      </c>
      <c r="S33" s="2"/>
      <c r="T33" s="7">
        <v>5132.46</v>
      </c>
      <c r="U33" s="2"/>
      <c r="V33" s="6">
        <f t="shared" si="13"/>
        <v>0</v>
      </c>
      <c r="W33" s="2"/>
      <c r="X33" s="7">
        <f t="shared" si="14"/>
        <v>2212.4399999999996</v>
      </c>
      <c r="Y33" s="2"/>
      <c r="Z33" s="6">
        <f t="shared" si="15"/>
        <v>0.43106814276195032</v>
      </c>
    </row>
    <row r="34" spans="1:26" s="28" customFormat="1" outlineLevel="1" collapsed="1" x14ac:dyDescent="0.25">
      <c r="A34" s="27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2134.2399999999998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2134.2399999999998</v>
      </c>
      <c r="M34" s="1"/>
      <c r="N34" s="5">
        <f t="shared" si="11"/>
        <v>0</v>
      </c>
      <c r="O34" s="14"/>
      <c r="P34" s="1">
        <f>SUM(OSRRefP22_4x_0)</f>
        <v>2134.2399999999998</v>
      </c>
      <c r="Q34" s="1"/>
      <c r="R34" s="5">
        <f t="shared" si="12"/>
        <v>0</v>
      </c>
      <c r="S34" s="1"/>
      <c r="T34" s="1">
        <f>SUM(OSRRefT22_4x_0)</f>
        <v>0</v>
      </c>
      <c r="U34" s="1"/>
      <c r="V34" s="5">
        <f t="shared" si="13"/>
        <v>0</v>
      </c>
      <c r="W34" s="1"/>
      <c r="X34" s="1">
        <f t="shared" si="14"/>
        <v>2134.2399999999998</v>
      </c>
      <c r="Y34" s="1"/>
      <c r="Z34" s="5">
        <f t="shared" si="15"/>
        <v>0</v>
      </c>
    </row>
    <row r="35" spans="1:26" s="24" customFormat="1" hidden="1" outlineLevel="2" x14ac:dyDescent="0.25">
      <c r="A35" s="29"/>
      <c r="B35" s="11" t="str">
        <f>CONCATENATE("          ", "6241", " - ", "OFFICE EXPENSE")</f>
        <v xml:space="preserve">          6241 - OFFICE EXPENSE</v>
      </c>
      <c r="C35" s="11"/>
      <c r="D35" s="7">
        <v>2134.2399999999998</v>
      </c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2134.2399999999998</v>
      </c>
      <c r="M35" s="2"/>
      <c r="N35" s="6">
        <f t="shared" si="11"/>
        <v>0</v>
      </c>
      <c r="O35" s="11"/>
      <c r="P35" s="7">
        <v>2134.2399999999998</v>
      </c>
      <c r="Q35" s="2"/>
      <c r="R35" s="6">
        <f t="shared" si="12"/>
        <v>0</v>
      </c>
      <c r="S35" s="2"/>
      <c r="T35" s="7"/>
      <c r="U35" s="2"/>
      <c r="V35" s="6">
        <f t="shared" si="13"/>
        <v>0</v>
      </c>
      <c r="W35" s="2"/>
      <c r="X35" s="7">
        <f t="shared" si="14"/>
        <v>2134.2399999999998</v>
      </c>
      <c r="Y35" s="2"/>
      <c r="Z35" s="6">
        <f t="shared" si="15"/>
        <v>0</v>
      </c>
    </row>
    <row r="36" spans="1:26" s="28" customFormat="1" outlineLevel="1" collapsed="1" x14ac:dyDescent="0.25">
      <c r="A36" s="27"/>
      <c r="B36" s="14" t="str">
        <f>CONCATENATE("     ","Telephone/Data Lines                              ")</f>
        <v xml:space="preserve">     Telephone/Data Lines                              </v>
      </c>
      <c r="C36" s="14"/>
      <c r="D36" s="1">
        <f>SUM(OSRRefD22_5x_0)</f>
        <v>129.35</v>
      </c>
      <c r="E36" s="1"/>
      <c r="F36" s="5">
        <f t="shared" si="8"/>
        <v>0</v>
      </c>
      <c r="G36" s="1"/>
      <c r="H36" s="1">
        <f>SUM(OSRRefH22_5x_0)</f>
        <v>56.5</v>
      </c>
      <c r="I36" s="1"/>
      <c r="J36" s="5">
        <f t="shared" si="9"/>
        <v>0</v>
      </c>
      <c r="K36" s="1"/>
      <c r="L36" s="1">
        <f t="shared" si="10"/>
        <v>72.849999999999994</v>
      </c>
      <c r="M36" s="1"/>
      <c r="N36" s="5">
        <f t="shared" si="11"/>
        <v>1.2893805309734512</v>
      </c>
      <c r="O36" s="14"/>
      <c r="P36" s="1">
        <f>SUM(OSRRefP22_5x_0)</f>
        <v>129.35</v>
      </c>
      <c r="Q36" s="1"/>
      <c r="R36" s="5">
        <f t="shared" si="12"/>
        <v>0</v>
      </c>
      <c r="S36" s="1"/>
      <c r="T36" s="1">
        <f>SUM(OSRRefT22_5x_0)</f>
        <v>56.5</v>
      </c>
      <c r="U36" s="1"/>
      <c r="V36" s="5">
        <f t="shared" si="13"/>
        <v>0</v>
      </c>
      <c r="W36" s="1"/>
      <c r="X36" s="1">
        <f t="shared" si="14"/>
        <v>72.849999999999994</v>
      </c>
      <c r="Y36" s="1"/>
      <c r="Z36" s="5">
        <f t="shared" si="15"/>
        <v>1.2893805309734512</v>
      </c>
    </row>
    <row r="37" spans="1:26" s="24" customFormat="1" hidden="1" outlineLevel="2" x14ac:dyDescent="0.25">
      <c r="A37" s="29"/>
      <c r="B37" s="11" t="str">
        <f>CONCATENATE("          ", "6309", " - ", "TELEPHONE")</f>
        <v xml:space="preserve">          6309 - TELEPHONE</v>
      </c>
      <c r="C37" s="11"/>
      <c r="D37" s="7">
        <v>129.35</v>
      </c>
      <c r="E37" s="2"/>
      <c r="F37" s="6">
        <f t="shared" si="8"/>
        <v>0</v>
      </c>
      <c r="G37" s="2"/>
      <c r="H37" s="7">
        <v>56.5</v>
      </c>
      <c r="I37" s="2"/>
      <c r="J37" s="6">
        <f t="shared" si="9"/>
        <v>0</v>
      </c>
      <c r="K37" s="2"/>
      <c r="L37" s="7">
        <f t="shared" si="10"/>
        <v>72.849999999999994</v>
      </c>
      <c r="M37" s="2"/>
      <c r="N37" s="6">
        <f t="shared" si="11"/>
        <v>1.2893805309734512</v>
      </c>
      <c r="O37" s="11"/>
      <c r="P37" s="7">
        <v>129.35</v>
      </c>
      <c r="Q37" s="2"/>
      <c r="R37" s="6">
        <f t="shared" si="12"/>
        <v>0</v>
      </c>
      <c r="S37" s="2"/>
      <c r="T37" s="7">
        <v>56.5</v>
      </c>
      <c r="U37" s="2"/>
      <c r="V37" s="6">
        <f t="shared" si="13"/>
        <v>0</v>
      </c>
      <c r="W37" s="2"/>
      <c r="X37" s="7">
        <f t="shared" si="14"/>
        <v>72.849999999999994</v>
      </c>
      <c r="Y37" s="2"/>
      <c r="Z37" s="6">
        <f t="shared" si="15"/>
        <v>1.2893805309734512</v>
      </c>
    </row>
    <row r="38" spans="1:26" s="54" customFormat="1" x14ac:dyDescent="0.25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collapsed="1" x14ac:dyDescent="0.25">
      <c r="A39" s="10"/>
      <c r="B39" s="26" t="s">
        <v>0</v>
      </c>
      <c r="C39" s="10"/>
      <c r="D39" s="4">
        <f>SUM(OSRRefD25x_0)</f>
        <v>10030.65</v>
      </c>
      <c r="E39" s="4"/>
      <c r="F39" s="12">
        <f t="shared" ref="F39:F40" si="16">IF(D$12=0,0,D39/D$12)</f>
        <v>0</v>
      </c>
      <c r="G39" s="4"/>
      <c r="H39" s="4">
        <f>SUM(OSRRefH25x_0)</f>
        <v>4925.4799999999996</v>
      </c>
      <c r="I39" s="4"/>
      <c r="J39" s="12">
        <f t="shared" ref="J39:J40" si="17">IF(H$12=0,0,H39/H$12)</f>
        <v>0</v>
      </c>
      <c r="K39" s="4"/>
      <c r="L39" s="4">
        <f t="shared" ref="L39:L40" si="18">+D39-H39</f>
        <v>5105.17</v>
      </c>
      <c r="M39" s="4"/>
      <c r="N39" s="12">
        <f t="shared" ref="N39:N40" si="19">IF(H39=0,0,L39/H39)</f>
        <v>1.0364817236086636</v>
      </c>
      <c r="O39" s="10"/>
      <c r="P39" s="4">
        <f>SUM(OSRRefP25x_0)</f>
        <v>10030.65</v>
      </c>
      <c r="Q39" s="4"/>
      <c r="R39" s="12">
        <f t="shared" ref="R39:R40" si="20">IF(P$12=0,0,P39/P$12)</f>
        <v>0</v>
      </c>
      <c r="S39" s="4"/>
      <c r="T39" s="4">
        <f>SUM(OSRRefT25x_0)</f>
        <v>4925.4799999999996</v>
      </c>
      <c r="U39" s="4"/>
      <c r="V39" s="12">
        <f t="shared" ref="V39:V40" si="21">IF(T$12=0,0,T39/T$12)</f>
        <v>0</v>
      </c>
      <c r="W39" s="4"/>
      <c r="X39" s="4">
        <f t="shared" ref="X39:X40" si="22">+P39-T39</f>
        <v>5105.17</v>
      </c>
      <c r="Y39" s="4"/>
      <c r="Z39" s="12">
        <f t="shared" ref="Z39:Z40" si="23">IF(T39=0,0,X39/T39)</f>
        <v>1.0364817236086636</v>
      </c>
    </row>
    <row r="40" spans="1:26" s="24" customFormat="1" hidden="1" outlineLevel="1" x14ac:dyDescent="0.25">
      <c r="A40" s="50"/>
      <c r="B40" s="11" t="str">
        <f>CONCATENATE("          ", "9150", " - ", "MISC. INCOME")</f>
        <v xml:space="preserve">          9150 - MISC. INCOME</v>
      </c>
      <c r="C40" s="11"/>
      <c r="D40" s="2">
        <f>--10030.65</f>
        <v>10030.65</v>
      </c>
      <c r="E40" s="2"/>
      <c r="F40" s="22">
        <f t="shared" si="16"/>
        <v>0</v>
      </c>
      <c r="G40" s="2"/>
      <c r="H40" s="2">
        <f>--4925.48</f>
        <v>4925.4799999999996</v>
      </c>
      <c r="I40" s="2"/>
      <c r="J40" s="22">
        <f t="shared" si="17"/>
        <v>0</v>
      </c>
      <c r="K40" s="2"/>
      <c r="L40" s="2">
        <f t="shared" si="18"/>
        <v>5105.17</v>
      </c>
      <c r="M40" s="2"/>
      <c r="N40" s="22">
        <f t="shared" si="19"/>
        <v>1.0364817236086636</v>
      </c>
      <c r="O40" s="11"/>
      <c r="P40" s="2">
        <f>--10030.65</f>
        <v>10030.65</v>
      </c>
      <c r="Q40" s="2"/>
      <c r="R40" s="22">
        <f t="shared" si="20"/>
        <v>0</v>
      </c>
      <c r="S40" s="2"/>
      <c r="T40" s="2">
        <f>--4925.48</f>
        <v>4925.4799999999996</v>
      </c>
      <c r="U40" s="2"/>
      <c r="V40" s="22">
        <f t="shared" si="21"/>
        <v>0</v>
      </c>
      <c r="W40" s="2"/>
      <c r="X40" s="2">
        <f t="shared" si="22"/>
        <v>5105.17</v>
      </c>
      <c r="Y40" s="2"/>
      <c r="Z40" s="22">
        <f t="shared" si="23"/>
        <v>1.0364817236086636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5" t="s">
        <v>3</v>
      </c>
      <c r="C42" s="25"/>
      <c r="D42" s="21">
        <f>+D16-D18+D39</f>
        <v>-12356.38</v>
      </c>
      <c r="E42" s="13"/>
      <c r="F42" s="20">
        <f>IF(D$12=0,0,D42/D$12)</f>
        <v>0</v>
      </c>
      <c r="G42" s="13"/>
      <c r="H42" s="21">
        <f>+H16-H18+H39</f>
        <v>-11162.64</v>
      </c>
      <c r="I42" s="13"/>
      <c r="J42" s="20">
        <f>IF(H$12=0,0,H42/H$12)</f>
        <v>0</v>
      </c>
      <c r="K42" s="16"/>
      <c r="L42" s="21">
        <f>+D42-H42</f>
        <v>-1193.7399999999998</v>
      </c>
      <c r="M42" s="16"/>
      <c r="N42" s="20">
        <f>IF(H42=0,0,L42/H42)</f>
        <v>0.10694065203213575</v>
      </c>
      <c r="O42" s="26"/>
      <c r="P42" s="21">
        <f>+P16-P18+P39</f>
        <v>-12356.38</v>
      </c>
      <c r="Q42" s="13"/>
      <c r="R42" s="20">
        <f>IF(P$12=0,0,P42/P$12)</f>
        <v>0</v>
      </c>
      <c r="S42" s="13"/>
      <c r="T42" s="21">
        <f>+T16-T18+T39</f>
        <v>-11162.64</v>
      </c>
      <c r="U42" s="13"/>
      <c r="V42" s="20">
        <f>IF(T$12=0,0,T42/T$12)</f>
        <v>0</v>
      </c>
      <c r="W42" s="16"/>
      <c r="X42" s="21">
        <f>+P42-T42</f>
        <v>-1193.7399999999998</v>
      </c>
      <c r="Y42" s="16"/>
      <c r="Z42" s="20">
        <f>IF(T42=0,0,X42/T42)</f>
        <v>0.10694065203213575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51"/>
      <c r="B44" s="10" t="s">
        <v>13</v>
      </c>
      <c r="C44" s="10"/>
      <c r="D44" s="4"/>
      <c r="E44" s="4"/>
      <c r="F44" s="12">
        <f>IF(D$12=0,0,D44/D$12)</f>
        <v>0</v>
      </c>
      <c r="G44" s="4"/>
      <c r="H44" s="4"/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/>
      <c r="Q44" s="4"/>
      <c r="R44" s="12">
        <f>IF(P$12=0,0,P44/P$12)</f>
        <v>0</v>
      </c>
      <c r="S44" s="4"/>
      <c r="T44" s="4"/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ht="15.75" thickBot="1" x14ac:dyDescent="0.3">
      <c r="A46" s="10"/>
      <c r="B46" s="25" t="s">
        <v>4</v>
      </c>
      <c r="C46" s="25"/>
      <c r="D46" s="33">
        <f>+D42-D44</f>
        <v>-12356.38</v>
      </c>
      <c r="E46" s="13"/>
      <c r="F46" s="34">
        <f>IF(D$12=0,0,D46/D$12)</f>
        <v>0</v>
      </c>
      <c r="G46" s="13"/>
      <c r="H46" s="33">
        <f>+H42-H44</f>
        <v>-11162.64</v>
      </c>
      <c r="I46" s="13"/>
      <c r="J46" s="34">
        <f>IF(H$12=0,0,H46/H$12)</f>
        <v>0</v>
      </c>
      <c r="K46" s="16"/>
      <c r="L46" s="33">
        <f>D46-H46</f>
        <v>-1193.7399999999998</v>
      </c>
      <c r="M46" s="16"/>
      <c r="N46" s="34">
        <f>IF(H46=0,0,L46/H46)</f>
        <v>0.10694065203213575</v>
      </c>
      <c r="O46" s="26"/>
      <c r="P46" s="33">
        <f>+P42-P44</f>
        <v>-12356.38</v>
      </c>
      <c r="Q46" s="13"/>
      <c r="R46" s="34">
        <f>IF(P$12=0,0,P46/P$12)</f>
        <v>0</v>
      </c>
      <c r="S46" s="13"/>
      <c r="T46" s="33">
        <f>+T42-T44</f>
        <v>-11162.64</v>
      </c>
      <c r="U46" s="13"/>
      <c r="V46" s="34">
        <f>IF(T$12=0,0,T46/T$12)</f>
        <v>0</v>
      </c>
      <c r="W46" s="16"/>
      <c r="X46" s="33">
        <f>P46-T46</f>
        <v>-1193.7399999999998</v>
      </c>
      <c r="Y46" s="16"/>
      <c r="Z46" s="34">
        <f>IF(T46=0,0,X46/T46)</f>
        <v>0.10694065203213575</v>
      </c>
    </row>
    <row r="47" spans="1:26" ht="15.75" thickTop="1" x14ac:dyDescent="0.25">
      <c r="A47" s="9"/>
      <c r="B47" s="9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ht="15.75" thickBot="1" x14ac:dyDescent="0.3">
      <c r="A49" s="10"/>
      <c r="B49" s="25" t="s">
        <v>5</v>
      </c>
      <c r="C49" s="25"/>
      <c r="D49" s="31">
        <f>SUM(D46:D48)</f>
        <v>-12356.38</v>
      </c>
      <c r="E49" s="13"/>
      <c r="F49" s="30">
        <f>IF(D$12=0,0,D49/D$12)</f>
        <v>0</v>
      </c>
      <c r="G49" s="13"/>
      <c r="H49" s="31">
        <f>SUM(H46:H48)</f>
        <v>-11162.64</v>
      </c>
      <c r="I49" s="13"/>
      <c r="J49" s="30">
        <f>IF(H$12=0,0,H49/H$12)</f>
        <v>0</v>
      </c>
      <c r="K49" s="16"/>
      <c r="L49" s="31">
        <f>+D49-H49</f>
        <v>-1193.7399999999998</v>
      </c>
      <c r="M49" s="16"/>
      <c r="N49" s="30">
        <f>IF(H49=0,0,L49/H49)</f>
        <v>0.10694065203213575</v>
      </c>
      <c r="O49" s="26"/>
      <c r="P49" s="31">
        <f>SUM(P46:P48)</f>
        <v>-12356.38</v>
      </c>
      <c r="Q49" s="13"/>
      <c r="R49" s="30">
        <f>IF(P$12=0,0,P49/P$12)</f>
        <v>0</v>
      </c>
      <c r="S49" s="13"/>
      <c r="T49" s="31">
        <f>SUM(T46:T48)</f>
        <v>-11162.64</v>
      </c>
      <c r="U49" s="13"/>
      <c r="V49" s="30">
        <f>IF(T$12=0,0,T49/T$12)</f>
        <v>0</v>
      </c>
      <c r="W49" s="16"/>
      <c r="X49" s="31">
        <f>+P49-T49</f>
        <v>-1193.7399999999998</v>
      </c>
      <c r="Y49" s="16"/>
      <c r="Z49" s="30">
        <f>IF(T49=0,0,X49/T49)</f>
        <v>0.10694065203213575</v>
      </c>
    </row>
    <row r="50" spans="1:26" ht="15.75" thickTop="1" x14ac:dyDescent="0.25">
      <c r="A50" s="9"/>
      <c r="C50" s="9"/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6" x14ac:dyDescent="0.25">
      <c r="A51" s="9"/>
      <c r="B51" s="56">
        <v>43726.682330289354</v>
      </c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53" t="s">
        <v>313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59"/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609.07000000000005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609.07000000000005</v>
      </c>
      <c r="M12" s="4"/>
      <c r="N12" s="12">
        <f t="shared" ref="N12:N13" si="1">IF(H12=0,0,L12/H12)</f>
        <v>0</v>
      </c>
      <c r="O12" s="10"/>
      <c r="P12" s="4">
        <f>SUM(OSRRefP13x_0)</f>
        <v>609.07000000000005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609.07000000000005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--609.07</f>
        <v>609.07000000000005</v>
      </c>
      <c r="E13" s="2"/>
      <c r="F13" s="22"/>
      <c r="G13" s="2"/>
      <c r="H13" s="2">
        <f>0</f>
        <v>0</v>
      </c>
      <c r="I13" s="2"/>
      <c r="J13" s="22"/>
      <c r="K13" s="2"/>
      <c r="L13" s="2">
        <f t="shared" si="0"/>
        <v>609.07000000000005</v>
      </c>
      <c r="M13" s="2"/>
      <c r="N13" s="22">
        <f t="shared" si="1"/>
        <v>0</v>
      </c>
      <c r="O13" s="11"/>
      <c r="P13" s="2">
        <f>--609.07</f>
        <v>609.07000000000005</v>
      </c>
      <c r="Q13" s="2"/>
      <c r="R13" s="22"/>
      <c r="S13" s="2"/>
      <c r="T13" s="2">
        <f>0</f>
        <v>0</v>
      </c>
      <c r="U13" s="2"/>
      <c r="V13" s="22"/>
      <c r="W13" s="2"/>
      <c r="X13" s="2">
        <f t="shared" si="2"/>
        <v>609.07000000000005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-0.1000000000003638</v>
      </c>
      <c r="E15" s="4"/>
      <c r="F15" s="12">
        <f t="shared" ref="F15:F17" si="4">IF(D$12=0,0,D15/D$12)</f>
        <v>-1.641847406707994E-4</v>
      </c>
      <c r="G15" s="4"/>
      <c r="H15" s="4">
        <f>SUM(OSRRefH16x_0)</f>
        <v>-0.40000000000009095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0.29999999999972715</v>
      </c>
      <c r="M15" s="4"/>
      <c r="N15" s="12">
        <f t="shared" ref="N15:N17" si="7">IF(H15=0,0,L15/H15)</f>
        <v>-0.74999999999914735</v>
      </c>
      <c r="O15" s="10"/>
      <c r="P15" s="4">
        <f>SUM(OSRRefP16x_0)</f>
        <v>-0.1000000000003638</v>
      </c>
      <c r="Q15" s="4"/>
      <c r="R15" s="12">
        <f t="shared" ref="R15:R17" si="8">IF(P$12=0,0,P15/P$12)</f>
        <v>-1.641847406707994E-4</v>
      </c>
      <c r="S15" s="4"/>
      <c r="T15" s="4">
        <f>SUM(OSRRefT16x_0)</f>
        <v>-0.40000000000009095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0.29999999999972715</v>
      </c>
      <c r="Y15" s="4"/>
      <c r="Z15" s="12">
        <f t="shared" ref="Z15:Z17" si="11">IF(T15=0,0,X15/T15)</f>
        <v>-0.74999999999914735</v>
      </c>
    </row>
    <row r="16" spans="1:26" s="24" customFormat="1" hidden="1" outlineLevel="1" x14ac:dyDescent="0.25">
      <c r="A16" s="50"/>
      <c r="B16" s="11" t="str">
        <f>CONCATENATE("          ", "5053", " - ", "PURCHASES @ COST-FOOD")</f>
        <v xml:space="preserve">          5053 - PURCHASES @ COST-FOOD</v>
      </c>
      <c r="C16" s="11"/>
      <c r="D16" s="2">
        <v>5853.9</v>
      </c>
      <c r="E16" s="2"/>
      <c r="F16" s="22">
        <f t="shared" si="4"/>
        <v>9.6112105340929599</v>
      </c>
      <c r="G16" s="2"/>
      <c r="H16" s="2">
        <v>3260.6</v>
      </c>
      <c r="I16" s="2"/>
      <c r="J16" s="22">
        <f t="shared" si="5"/>
        <v>0</v>
      </c>
      <c r="K16" s="2"/>
      <c r="L16" s="2">
        <f t="shared" si="6"/>
        <v>2593.2999999999997</v>
      </c>
      <c r="M16" s="2"/>
      <c r="N16" s="22">
        <f t="shared" si="7"/>
        <v>0.79534441513831799</v>
      </c>
      <c r="O16" s="11"/>
      <c r="P16" s="2">
        <v>5853.9</v>
      </c>
      <c r="Q16" s="2"/>
      <c r="R16" s="22">
        <f t="shared" si="8"/>
        <v>9.6112105340929599</v>
      </c>
      <c r="S16" s="2"/>
      <c r="T16" s="2">
        <v>3260.6</v>
      </c>
      <c r="U16" s="2"/>
      <c r="V16" s="22">
        <f t="shared" si="9"/>
        <v>0</v>
      </c>
      <c r="W16" s="2"/>
      <c r="X16" s="2">
        <f t="shared" si="10"/>
        <v>2593.2999999999997</v>
      </c>
      <c r="Y16" s="2"/>
      <c r="Z16" s="22">
        <f t="shared" si="11"/>
        <v>0.79534441513831799</v>
      </c>
    </row>
    <row r="17" spans="1:26" s="24" customFormat="1" hidden="1" outlineLevel="1" x14ac:dyDescent="0.25">
      <c r="A17" s="50"/>
      <c r="B17" s="11" t="str">
        <f>CONCATENATE("          ", "5059", " - ", "PURCHASES @ COST-FOOD")</f>
        <v xml:space="preserve">          5059 - PURCHASES @ COST-FOOD</v>
      </c>
      <c r="C17" s="11"/>
      <c r="D17" s="2">
        <v>-5854</v>
      </c>
      <c r="E17" s="2"/>
      <c r="F17" s="22">
        <f t="shared" si="4"/>
        <v>-9.6113747188336305</v>
      </c>
      <c r="G17" s="2"/>
      <c r="H17" s="2">
        <v>-3261</v>
      </c>
      <c r="I17" s="2"/>
      <c r="J17" s="22">
        <f t="shared" si="5"/>
        <v>0</v>
      </c>
      <c r="K17" s="2"/>
      <c r="L17" s="2">
        <f t="shared" si="6"/>
        <v>-2593</v>
      </c>
      <c r="M17" s="2"/>
      <c r="N17" s="22">
        <f t="shared" si="7"/>
        <v>0.79515486047224782</v>
      </c>
      <c r="O17" s="11"/>
      <c r="P17" s="2">
        <v>-5854</v>
      </c>
      <c r="Q17" s="2"/>
      <c r="R17" s="22">
        <f t="shared" si="8"/>
        <v>-9.6113747188336305</v>
      </c>
      <c r="S17" s="2"/>
      <c r="T17" s="2">
        <v>-3261</v>
      </c>
      <c r="U17" s="2"/>
      <c r="V17" s="22">
        <f t="shared" si="9"/>
        <v>0</v>
      </c>
      <c r="W17" s="2"/>
      <c r="X17" s="2">
        <f t="shared" si="10"/>
        <v>-2593</v>
      </c>
      <c r="Y17" s="2"/>
      <c r="Z17" s="22">
        <f t="shared" si="11"/>
        <v>0.79515486047224782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D12-D15</f>
        <v>609.17000000000041</v>
      </c>
      <c r="E19" s="13"/>
      <c r="F19" s="20">
        <f>IF(D$12=0,0,D19/D$12)</f>
        <v>1.0001641847406708</v>
      </c>
      <c r="G19" s="13"/>
      <c r="H19" s="21">
        <f>H12-H15</f>
        <v>0.40000000000009095</v>
      </c>
      <c r="I19" s="13"/>
      <c r="J19" s="20">
        <f>IF(H$12=0,0,H19/H$12)</f>
        <v>0</v>
      </c>
      <c r="K19" s="16"/>
      <c r="L19" s="21">
        <f>+D19-H19</f>
        <v>608.77000000000032</v>
      </c>
      <c r="M19" s="16"/>
      <c r="N19" s="20">
        <f>IF(H19=0,0,L19/H19)</f>
        <v>1521.9249999996548</v>
      </c>
      <c r="O19" s="26"/>
      <c r="P19" s="21">
        <f>P12-P15</f>
        <v>609.17000000000041</v>
      </c>
      <c r="Q19" s="13"/>
      <c r="R19" s="20">
        <f>IF(P$12=0,0,P19/P$12)</f>
        <v>1.0001641847406708</v>
      </c>
      <c r="S19" s="13"/>
      <c r="T19" s="21">
        <f>T12-T15</f>
        <v>0.40000000000009095</v>
      </c>
      <c r="U19" s="13"/>
      <c r="V19" s="20">
        <f>IF(T$12=0,0,T19/T$12)</f>
        <v>0</v>
      </c>
      <c r="W19" s="16"/>
      <c r="X19" s="21">
        <f>+P19-T19</f>
        <v>608.77000000000032</v>
      </c>
      <c r="Y19" s="16"/>
      <c r="Z19" s="20">
        <f>IF(T19=0,0,X19/T19)</f>
        <v>1521.9249999996548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2725.8399999999997</v>
      </c>
      <c r="E21" s="19"/>
      <c r="F21" s="35">
        <f t="shared" ref="F21:F25" si="12">IF(D$12=0,0,D21/D$12)</f>
        <v>4.4754133350846361</v>
      </c>
      <c r="G21" s="19"/>
      <c r="H21" s="19">
        <f>SUM(OSRRefH22x_0)</f>
        <v>3088.49</v>
      </c>
      <c r="I21" s="19"/>
      <c r="J21" s="35">
        <f t="shared" ref="J21:J25" si="13">IF(H$12=0,0,H21/H$12)</f>
        <v>0</v>
      </c>
      <c r="K21" s="4"/>
      <c r="L21" s="19">
        <f t="shared" ref="L21:L25" si="14">+D21-H21</f>
        <v>-362.65000000000009</v>
      </c>
      <c r="M21" s="4"/>
      <c r="N21" s="35">
        <f t="shared" ref="N21:N25" si="15">IF(H21=0,0,L21/H21)</f>
        <v>-0.11741983946847816</v>
      </c>
      <c r="O21" s="10"/>
      <c r="P21" s="19">
        <f>SUM(OSRRefP22x_0)</f>
        <v>2725.8399999999997</v>
      </c>
      <c r="Q21" s="19"/>
      <c r="R21" s="35">
        <f t="shared" ref="R21:R25" si="16">IF(P$12=0,0,P21/P$12)</f>
        <v>4.4754133350846361</v>
      </c>
      <c r="S21" s="19"/>
      <c r="T21" s="19">
        <f>SUM(OSRRefT22x_0)</f>
        <v>3088.49</v>
      </c>
      <c r="U21" s="19"/>
      <c r="V21" s="35">
        <f t="shared" ref="V21:V25" si="17">IF(T$12=0,0,T21/T$12)</f>
        <v>0</v>
      </c>
      <c r="W21" s="4"/>
      <c r="X21" s="19">
        <f t="shared" ref="X21:X25" si="18">+P21-T21</f>
        <v>-362.65000000000009</v>
      </c>
      <c r="Y21" s="4"/>
      <c r="Z21" s="35">
        <f t="shared" ref="Z21:Z25" si="19">IF(T21=0,0,X21/T21)</f>
        <v>-0.11741983946847816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13.81</v>
      </c>
      <c r="I22" s="1"/>
      <c r="J22" s="5">
        <f t="shared" si="13"/>
        <v>0</v>
      </c>
      <c r="K22" s="1"/>
      <c r="L22" s="1">
        <f t="shared" si="14"/>
        <v>-13.81</v>
      </c>
      <c r="M22" s="1"/>
      <c r="N22" s="5">
        <f t="shared" si="15"/>
        <v>-1</v>
      </c>
      <c r="O22" s="14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13.81</v>
      </c>
      <c r="U22" s="1"/>
      <c r="V22" s="5">
        <f t="shared" si="17"/>
        <v>0</v>
      </c>
      <c r="W22" s="1"/>
      <c r="X22" s="1">
        <f t="shared" si="18"/>
        <v>-13.81</v>
      </c>
      <c r="Y22" s="1"/>
      <c r="Z22" s="5">
        <f t="shared" si="19"/>
        <v>-1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9.26</v>
      </c>
      <c r="I23" s="2"/>
      <c r="J23" s="6">
        <f t="shared" si="13"/>
        <v>0</v>
      </c>
      <c r="K23" s="2"/>
      <c r="L23" s="7">
        <f t="shared" si="14"/>
        <v>-9.26</v>
      </c>
      <c r="M23" s="2"/>
      <c r="N23" s="6">
        <f t="shared" si="15"/>
        <v>-1</v>
      </c>
      <c r="O23" s="11"/>
      <c r="P23" s="7"/>
      <c r="Q23" s="2"/>
      <c r="R23" s="6">
        <f t="shared" si="16"/>
        <v>0</v>
      </c>
      <c r="S23" s="2"/>
      <c r="T23" s="7">
        <v>9.26</v>
      </c>
      <c r="U23" s="2"/>
      <c r="V23" s="6">
        <f t="shared" si="17"/>
        <v>0</v>
      </c>
      <c r="W23" s="2"/>
      <c r="X23" s="7">
        <f t="shared" si="18"/>
        <v>-9.26</v>
      </c>
      <c r="Y23" s="2"/>
      <c r="Z23" s="6">
        <f t="shared" si="19"/>
        <v>-1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4.24</v>
      </c>
      <c r="I24" s="2"/>
      <c r="J24" s="6">
        <f t="shared" si="13"/>
        <v>0</v>
      </c>
      <c r="K24" s="2"/>
      <c r="L24" s="7">
        <f t="shared" si="14"/>
        <v>-4.24</v>
      </c>
      <c r="M24" s="2"/>
      <c r="N24" s="6">
        <f t="shared" si="15"/>
        <v>-1</v>
      </c>
      <c r="O24" s="11"/>
      <c r="P24" s="7"/>
      <c r="Q24" s="2"/>
      <c r="R24" s="6">
        <f t="shared" si="16"/>
        <v>0</v>
      </c>
      <c r="S24" s="2"/>
      <c r="T24" s="7">
        <v>4.24</v>
      </c>
      <c r="U24" s="2"/>
      <c r="V24" s="6">
        <f t="shared" si="17"/>
        <v>0</v>
      </c>
      <c r="W24" s="2"/>
      <c r="X24" s="7">
        <f t="shared" si="18"/>
        <v>-4.24</v>
      </c>
      <c r="Y24" s="2"/>
      <c r="Z24" s="6">
        <f t="shared" si="19"/>
        <v>-1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0.31</v>
      </c>
      <c r="I25" s="2"/>
      <c r="J25" s="6">
        <f t="shared" si="13"/>
        <v>0</v>
      </c>
      <c r="K25" s="2"/>
      <c r="L25" s="7">
        <f t="shared" si="14"/>
        <v>-0.31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0.31</v>
      </c>
      <c r="U25" s="2"/>
      <c r="V25" s="6">
        <f t="shared" si="17"/>
        <v>0</v>
      </c>
      <c r="W25" s="2"/>
      <c r="X25" s="7">
        <f t="shared" si="18"/>
        <v>-0.31</v>
      </c>
      <c r="Y25" s="2"/>
      <c r="Z25" s="6">
        <f t="shared" si="19"/>
        <v>-1</v>
      </c>
    </row>
    <row r="26" spans="1:26" s="28" customFormat="1" outlineLevel="1" collapsed="1" x14ac:dyDescent="0.25">
      <c r="A26" s="27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887</v>
      </c>
      <c r="E26" s="1"/>
      <c r="F26" s="5">
        <f t="shared" ref="F26:F43" si="20">IF(D$12=0,0,D26/D$12)</f>
        <v>1.4563186497446927</v>
      </c>
      <c r="G26" s="1"/>
      <c r="H26" s="1">
        <f>SUM(OSRRefH22_1x_0)</f>
        <v>121</v>
      </c>
      <c r="I26" s="1"/>
      <c r="J26" s="5">
        <f t="shared" ref="J26:J43" si="21">IF(H$12=0,0,H26/H$12)</f>
        <v>0</v>
      </c>
      <c r="K26" s="1"/>
      <c r="L26" s="1">
        <f t="shared" ref="L26:L43" si="22">+D26-H26</f>
        <v>766</v>
      </c>
      <c r="M26" s="1"/>
      <c r="N26" s="5">
        <f t="shared" ref="N26:N43" si="23">IF(H26=0,0,L26/H26)</f>
        <v>6.330578512396694</v>
      </c>
      <c r="O26" s="14"/>
      <c r="P26" s="1">
        <f>SUM(OSRRefP22_1x_0)</f>
        <v>887</v>
      </c>
      <c r="Q26" s="1"/>
      <c r="R26" s="5">
        <f t="shared" ref="R26:R43" si="24">IF(P$12=0,0,P26/P$12)</f>
        <v>1.4563186497446927</v>
      </c>
      <c r="S26" s="1"/>
      <c r="T26" s="1">
        <f>SUM(OSRRefT22_1x_0)</f>
        <v>121</v>
      </c>
      <c r="U26" s="1"/>
      <c r="V26" s="5">
        <f t="shared" ref="V26:V43" si="25">IF(T$12=0,0,T26/T$12)</f>
        <v>0</v>
      </c>
      <c r="W26" s="1"/>
      <c r="X26" s="1">
        <f t="shared" ref="X26:X43" si="26">+P26-T26</f>
        <v>766</v>
      </c>
      <c r="Y26" s="1"/>
      <c r="Z26" s="5">
        <f t="shared" ref="Z26:Z43" si="27">IF(T26=0,0,X26/T26)</f>
        <v>6.330578512396694</v>
      </c>
    </row>
    <row r="27" spans="1:26" s="24" customFormat="1" hidden="1" outlineLevel="2" x14ac:dyDescent="0.25">
      <c r="A27" s="29"/>
      <c r="B27" s="11" t="str">
        <f>CONCATENATE("          ", "6007", " - ", "STUDENT HOURLY")</f>
        <v xml:space="preserve">          6007 - STUDENT HOURLY</v>
      </c>
      <c r="C27" s="11"/>
      <c r="D27" s="7">
        <v>887</v>
      </c>
      <c r="E27" s="2"/>
      <c r="F27" s="6">
        <f t="shared" si="20"/>
        <v>1.4563186497446927</v>
      </c>
      <c r="G27" s="2"/>
      <c r="H27" s="7">
        <v>121</v>
      </c>
      <c r="I27" s="2"/>
      <c r="J27" s="6">
        <f t="shared" si="21"/>
        <v>0</v>
      </c>
      <c r="K27" s="2"/>
      <c r="L27" s="7">
        <f t="shared" si="22"/>
        <v>766</v>
      </c>
      <c r="M27" s="2"/>
      <c r="N27" s="6">
        <f t="shared" si="23"/>
        <v>6.330578512396694</v>
      </c>
      <c r="O27" s="11"/>
      <c r="P27" s="7">
        <v>887</v>
      </c>
      <c r="Q27" s="2"/>
      <c r="R27" s="6">
        <f t="shared" si="24"/>
        <v>1.4563186497446927</v>
      </c>
      <c r="S27" s="2"/>
      <c r="T27" s="7">
        <v>121</v>
      </c>
      <c r="U27" s="2"/>
      <c r="V27" s="6">
        <f t="shared" si="25"/>
        <v>0</v>
      </c>
      <c r="W27" s="2"/>
      <c r="X27" s="7">
        <f t="shared" si="26"/>
        <v>766</v>
      </c>
      <c r="Y27" s="2"/>
      <c r="Z27" s="6">
        <f t="shared" si="27"/>
        <v>6.330578512396694</v>
      </c>
    </row>
    <row r="28" spans="1:26" s="28" customFormat="1" outlineLevel="1" collapsed="1" x14ac:dyDescent="0.25">
      <c r="A28" s="27"/>
      <c r="B28" s="14" t="str">
        <f>CONCATENATE("     ","Advertising/Promo                                 ")</f>
        <v xml:space="preserve">     Advertising/Promo                                 </v>
      </c>
      <c r="C28" s="14"/>
      <c r="D28" s="1">
        <f>SUM(OSRRefD22_2x_0)</f>
        <v>0</v>
      </c>
      <c r="E28" s="1"/>
      <c r="F28" s="5">
        <f t="shared" si="20"/>
        <v>0</v>
      </c>
      <c r="G28" s="1"/>
      <c r="H28" s="1">
        <f>SUM(OSRRefH22_2x_0)</f>
        <v>31.5</v>
      </c>
      <c r="I28" s="1"/>
      <c r="J28" s="5">
        <f t="shared" si="21"/>
        <v>0</v>
      </c>
      <c r="K28" s="1"/>
      <c r="L28" s="1">
        <f t="shared" si="22"/>
        <v>-31.5</v>
      </c>
      <c r="M28" s="1"/>
      <c r="N28" s="5">
        <f t="shared" si="23"/>
        <v>-1</v>
      </c>
      <c r="O28" s="14"/>
      <c r="P28" s="1">
        <f>SUM(OSRRefP22_2x_0)</f>
        <v>0</v>
      </c>
      <c r="Q28" s="1"/>
      <c r="R28" s="5">
        <f t="shared" si="24"/>
        <v>0</v>
      </c>
      <c r="S28" s="1"/>
      <c r="T28" s="1">
        <f>SUM(OSRRefT22_2x_0)</f>
        <v>31.5</v>
      </c>
      <c r="U28" s="1"/>
      <c r="V28" s="5">
        <f t="shared" si="25"/>
        <v>0</v>
      </c>
      <c r="W28" s="1"/>
      <c r="X28" s="1">
        <f t="shared" si="26"/>
        <v>-31.5</v>
      </c>
      <c r="Y28" s="1"/>
      <c r="Z28" s="5">
        <f t="shared" si="27"/>
        <v>-1</v>
      </c>
    </row>
    <row r="29" spans="1:26" s="24" customFormat="1" hidden="1" outlineLevel="2" x14ac:dyDescent="0.25">
      <c r="A29" s="29"/>
      <c r="B29" s="11" t="str">
        <f>CONCATENATE("          ", "6362", " - ", "ADVERTISING EXPENSE")</f>
        <v xml:space="preserve">          6362 - ADVERTISING EXPENSE</v>
      </c>
      <c r="C29" s="11"/>
      <c r="D29" s="7"/>
      <c r="E29" s="2"/>
      <c r="F29" s="6">
        <f t="shared" si="20"/>
        <v>0</v>
      </c>
      <c r="G29" s="2"/>
      <c r="H29" s="7">
        <v>31.5</v>
      </c>
      <c r="I29" s="2"/>
      <c r="J29" s="6">
        <f t="shared" si="21"/>
        <v>0</v>
      </c>
      <c r="K29" s="2"/>
      <c r="L29" s="7">
        <f t="shared" si="22"/>
        <v>-31.5</v>
      </c>
      <c r="M29" s="2"/>
      <c r="N29" s="6">
        <f t="shared" si="23"/>
        <v>-1</v>
      </c>
      <c r="O29" s="11"/>
      <c r="P29" s="7"/>
      <c r="Q29" s="2"/>
      <c r="R29" s="6">
        <f t="shared" si="24"/>
        <v>0</v>
      </c>
      <c r="S29" s="2"/>
      <c r="T29" s="7">
        <v>31.5</v>
      </c>
      <c r="U29" s="2"/>
      <c r="V29" s="6">
        <f t="shared" si="25"/>
        <v>0</v>
      </c>
      <c r="W29" s="2"/>
      <c r="X29" s="7">
        <f t="shared" si="26"/>
        <v>-31.5</v>
      </c>
      <c r="Y29" s="2"/>
      <c r="Z29" s="6">
        <f t="shared" si="27"/>
        <v>-1</v>
      </c>
    </row>
    <row r="30" spans="1:26" s="28" customFormat="1" outlineLevel="1" collapsed="1" x14ac:dyDescent="0.25">
      <c r="A30" s="27"/>
      <c r="B30" s="14" t="str">
        <f>CONCATENATE("     ","Bad Debts/Over/Short                              ")</f>
        <v xml:space="preserve">     Bad Debts/Over/Short                              </v>
      </c>
      <c r="C30" s="14"/>
      <c r="D30" s="1">
        <f>SUM(OSRRefD22_3x_0)</f>
        <v>-1</v>
      </c>
      <c r="E30" s="1"/>
      <c r="F30" s="5">
        <f t="shared" si="20"/>
        <v>-1.6418474067020209E-3</v>
      </c>
      <c r="G30" s="1"/>
      <c r="H30" s="1">
        <f>SUM(OSRRefH22_3x_0)</f>
        <v>0</v>
      </c>
      <c r="I30" s="1"/>
      <c r="J30" s="5">
        <f t="shared" si="21"/>
        <v>0</v>
      </c>
      <c r="K30" s="1"/>
      <c r="L30" s="1">
        <f t="shared" si="22"/>
        <v>-1</v>
      </c>
      <c r="M30" s="1"/>
      <c r="N30" s="5">
        <f t="shared" si="23"/>
        <v>0</v>
      </c>
      <c r="O30" s="14"/>
      <c r="P30" s="1">
        <f>SUM(OSRRefP22_3x_0)</f>
        <v>-1</v>
      </c>
      <c r="Q30" s="1"/>
      <c r="R30" s="5">
        <f t="shared" si="24"/>
        <v>-1.6418474067020209E-3</v>
      </c>
      <c r="S30" s="1"/>
      <c r="T30" s="1">
        <f>SUM(OSRRefT22_3x_0)</f>
        <v>0</v>
      </c>
      <c r="U30" s="1"/>
      <c r="V30" s="5">
        <f t="shared" si="25"/>
        <v>0</v>
      </c>
      <c r="W30" s="1"/>
      <c r="X30" s="1">
        <f t="shared" si="26"/>
        <v>-1</v>
      </c>
      <c r="Y30" s="1"/>
      <c r="Z30" s="5">
        <f t="shared" si="27"/>
        <v>0</v>
      </c>
    </row>
    <row r="31" spans="1:26" s="24" customFormat="1" hidden="1" outlineLevel="2" x14ac:dyDescent="0.25">
      <c r="A31" s="29"/>
      <c r="B31" s="11" t="str">
        <f>CONCATENATE("          ", "6272", " - ", "CASH (OVER/SHORT)")</f>
        <v xml:space="preserve">          6272 - CASH (OVER/SHORT)</v>
      </c>
      <c r="C31" s="11"/>
      <c r="D31" s="7">
        <v>-1</v>
      </c>
      <c r="E31" s="2"/>
      <c r="F31" s="6">
        <f t="shared" si="20"/>
        <v>-1.6418474067020209E-3</v>
      </c>
      <c r="G31" s="2"/>
      <c r="H31" s="7"/>
      <c r="I31" s="2"/>
      <c r="J31" s="6">
        <f t="shared" si="21"/>
        <v>0</v>
      </c>
      <c r="K31" s="2"/>
      <c r="L31" s="7">
        <f t="shared" si="22"/>
        <v>-1</v>
      </c>
      <c r="M31" s="2"/>
      <c r="N31" s="6">
        <f t="shared" si="23"/>
        <v>0</v>
      </c>
      <c r="O31" s="11"/>
      <c r="P31" s="7">
        <v>-1</v>
      </c>
      <c r="Q31" s="2"/>
      <c r="R31" s="6">
        <f t="shared" si="24"/>
        <v>-1.6418474067020209E-3</v>
      </c>
      <c r="S31" s="2"/>
      <c r="T31" s="7"/>
      <c r="U31" s="2"/>
      <c r="V31" s="6">
        <f t="shared" si="25"/>
        <v>0</v>
      </c>
      <c r="W31" s="2"/>
      <c r="X31" s="7">
        <f t="shared" si="26"/>
        <v>-1</v>
      </c>
      <c r="Y31" s="2"/>
      <c r="Z31" s="6">
        <f t="shared" si="27"/>
        <v>0</v>
      </c>
    </row>
    <row r="32" spans="1:26" s="28" customFormat="1" outlineLevel="1" collapsed="1" x14ac:dyDescent="0.25">
      <c r="A32" s="27"/>
      <c r="B32" s="14" t="str">
        <f>CONCATENATE("     ","Employees' Appreciation                           ")</f>
        <v xml:space="preserve">     Employees' Appreciation                           </v>
      </c>
      <c r="C32" s="14"/>
      <c r="D32" s="1">
        <f>SUM(OSRRefD22_4x_0)</f>
        <v>48.55</v>
      </c>
      <c r="E32" s="1"/>
      <c r="F32" s="5">
        <f t="shared" si="20"/>
        <v>7.9711691595383119E-2</v>
      </c>
      <c r="G32" s="1"/>
      <c r="H32" s="1">
        <f>SUM(OSRRefH22_4x_0)</f>
        <v>0</v>
      </c>
      <c r="I32" s="1"/>
      <c r="J32" s="5">
        <f t="shared" si="21"/>
        <v>0</v>
      </c>
      <c r="K32" s="1"/>
      <c r="L32" s="1">
        <f t="shared" si="22"/>
        <v>48.55</v>
      </c>
      <c r="M32" s="1"/>
      <c r="N32" s="5">
        <f t="shared" si="23"/>
        <v>0</v>
      </c>
      <c r="O32" s="14"/>
      <c r="P32" s="1">
        <f>SUM(OSRRefP22_4x_0)</f>
        <v>48.55</v>
      </c>
      <c r="Q32" s="1"/>
      <c r="R32" s="5">
        <f t="shared" si="24"/>
        <v>7.9711691595383119E-2</v>
      </c>
      <c r="S32" s="1"/>
      <c r="T32" s="1">
        <f>SUM(OSRRefT22_4x_0)</f>
        <v>0</v>
      </c>
      <c r="U32" s="1"/>
      <c r="V32" s="5">
        <f t="shared" si="25"/>
        <v>0</v>
      </c>
      <c r="W32" s="1"/>
      <c r="X32" s="1">
        <f t="shared" si="26"/>
        <v>48.55</v>
      </c>
      <c r="Y32" s="1"/>
      <c r="Z32" s="5">
        <f t="shared" si="27"/>
        <v>0</v>
      </c>
    </row>
    <row r="33" spans="1:26" s="24" customFormat="1" hidden="1" outlineLevel="2" x14ac:dyDescent="0.25">
      <c r="A33" s="29"/>
      <c r="B33" s="11" t="str">
        <f>CONCATENATE("          ", "6277", " - ", "EMPLOYEE APPRECIATION")</f>
        <v xml:space="preserve">          6277 - EMPLOYEE APPRECIATION</v>
      </c>
      <c r="C33" s="11"/>
      <c r="D33" s="7">
        <v>48.55</v>
      </c>
      <c r="E33" s="2"/>
      <c r="F33" s="6">
        <f t="shared" si="20"/>
        <v>7.9711691595383119E-2</v>
      </c>
      <c r="G33" s="2"/>
      <c r="H33" s="7"/>
      <c r="I33" s="2"/>
      <c r="J33" s="6">
        <f t="shared" si="21"/>
        <v>0</v>
      </c>
      <c r="K33" s="2"/>
      <c r="L33" s="7">
        <f t="shared" si="22"/>
        <v>48.55</v>
      </c>
      <c r="M33" s="2"/>
      <c r="N33" s="6">
        <f t="shared" si="23"/>
        <v>0</v>
      </c>
      <c r="O33" s="11"/>
      <c r="P33" s="7">
        <v>48.55</v>
      </c>
      <c r="Q33" s="2"/>
      <c r="R33" s="6">
        <f t="shared" si="24"/>
        <v>7.9711691595383119E-2</v>
      </c>
      <c r="S33" s="2"/>
      <c r="T33" s="7"/>
      <c r="U33" s="2"/>
      <c r="V33" s="6">
        <f t="shared" si="25"/>
        <v>0</v>
      </c>
      <c r="W33" s="2"/>
      <c r="X33" s="7">
        <f t="shared" si="26"/>
        <v>48.55</v>
      </c>
      <c r="Y33" s="2"/>
      <c r="Z33" s="6">
        <f t="shared" si="27"/>
        <v>0</v>
      </c>
    </row>
    <row r="34" spans="1:26" s="28" customFormat="1" outlineLevel="1" collapsed="1" x14ac:dyDescent="0.25">
      <c r="A34" s="27"/>
      <c r="B34" s="14" t="str">
        <f>CONCATENATE("     ","General                                           ")</f>
        <v xml:space="preserve">     General                                           </v>
      </c>
      <c r="C34" s="14"/>
      <c r="D34" s="1">
        <f>SUM(OSRRefD22_5x_0)</f>
        <v>1464.1</v>
      </c>
      <c r="E34" s="1"/>
      <c r="F34" s="5">
        <f t="shared" si="20"/>
        <v>2.403828788152429</v>
      </c>
      <c r="G34" s="1"/>
      <c r="H34" s="1">
        <f>SUM(OSRRefH22_5x_0)</f>
        <v>2400.4299999999998</v>
      </c>
      <c r="I34" s="1"/>
      <c r="J34" s="5">
        <f t="shared" si="21"/>
        <v>0</v>
      </c>
      <c r="K34" s="1"/>
      <c r="L34" s="1">
        <f t="shared" si="22"/>
        <v>-936.32999999999993</v>
      </c>
      <c r="M34" s="1"/>
      <c r="N34" s="5">
        <f t="shared" si="23"/>
        <v>-0.3900676128860246</v>
      </c>
      <c r="O34" s="14"/>
      <c r="P34" s="1">
        <f>SUM(OSRRefP22_5x_0)</f>
        <v>1464.1</v>
      </c>
      <c r="Q34" s="1"/>
      <c r="R34" s="5">
        <f t="shared" si="24"/>
        <v>2.403828788152429</v>
      </c>
      <c r="S34" s="1"/>
      <c r="T34" s="1">
        <f>SUM(OSRRefT22_5x_0)</f>
        <v>2400.4299999999998</v>
      </c>
      <c r="U34" s="1"/>
      <c r="V34" s="5">
        <f t="shared" si="25"/>
        <v>0</v>
      </c>
      <c r="W34" s="1"/>
      <c r="X34" s="1">
        <f t="shared" si="26"/>
        <v>-936.32999999999993</v>
      </c>
      <c r="Y34" s="1"/>
      <c r="Z34" s="5">
        <f t="shared" si="27"/>
        <v>-0.3900676128860246</v>
      </c>
    </row>
    <row r="35" spans="1:26" s="24" customFormat="1" hidden="1" outlineLevel="2" x14ac:dyDescent="0.25">
      <c r="A35" s="29"/>
      <c r="B35" s="11" t="str">
        <f>CONCATENATE("          ", "6279", " - ", "GENERAL EXPENSE")</f>
        <v xml:space="preserve">          6279 - GENERAL EXPENSE</v>
      </c>
      <c r="C35" s="11"/>
      <c r="D35" s="7">
        <v>1464.1</v>
      </c>
      <c r="E35" s="2"/>
      <c r="F35" s="6">
        <f t="shared" si="20"/>
        <v>2.403828788152429</v>
      </c>
      <c r="G35" s="2"/>
      <c r="H35" s="7">
        <v>2400.4299999999998</v>
      </c>
      <c r="I35" s="2"/>
      <c r="J35" s="6">
        <f t="shared" si="21"/>
        <v>0</v>
      </c>
      <c r="K35" s="2"/>
      <c r="L35" s="7">
        <f t="shared" si="22"/>
        <v>-936.32999999999993</v>
      </c>
      <c r="M35" s="2"/>
      <c r="N35" s="6">
        <f t="shared" si="23"/>
        <v>-0.3900676128860246</v>
      </c>
      <c r="O35" s="11"/>
      <c r="P35" s="7">
        <v>1464.1</v>
      </c>
      <c r="Q35" s="2"/>
      <c r="R35" s="6">
        <f t="shared" si="24"/>
        <v>2.403828788152429</v>
      </c>
      <c r="S35" s="2"/>
      <c r="T35" s="7">
        <v>2400.4299999999998</v>
      </c>
      <c r="U35" s="2"/>
      <c r="V35" s="6">
        <f t="shared" si="25"/>
        <v>0</v>
      </c>
      <c r="W35" s="2"/>
      <c r="X35" s="7">
        <f t="shared" si="26"/>
        <v>-936.32999999999993</v>
      </c>
      <c r="Y35" s="2"/>
      <c r="Z35" s="6">
        <f t="shared" si="27"/>
        <v>-0.3900676128860246</v>
      </c>
    </row>
    <row r="36" spans="1:26" s="28" customFormat="1" outlineLevel="1" collapsed="1" x14ac:dyDescent="0.25">
      <c r="A36" s="27"/>
      <c r="B36" s="14" t="str">
        <f>CONCATENATE("     ","Repair and Maintenance                            ")</f>
        <v xml:space="preserve">     Repair and Maintenance                            </v>
      </c>
      <c r="C36" s="14"/>
      <c r="D36" s="1">
        <f>SUM(OSRRefD22_6x_0)</f>
        <v>138.08000000000001</v>
      </c>
      <c r="E36" s="1"/>
      <c r="F36" s="5">
        <f t="shared" si="20"/>
        <v>0.22670628991741507</v>
      </c>
      <c r="G36" s="1"/>
      <c r="H36" s="1">
        <f>SUM(OSRRefH22_6x_0)</f>
        <v>0</v>
      </c>
      <c r="I36" s="1"/>
      <c r="J36" s="5">
        <f t="shared" si="21"/>
        <v>0</v>
      </c>
      <c r="K36" s="1"/>
      <c r="L36" s="1">
        <f t="shared" si="22"/>
        <v>138.08000000000001</v>
      </c>
      <c r="M36" s="1"/>
      <c r="N36" s="5">
        <f t="shared" si="23"/>
        <v>0</v>
      </c>
      <c r="O36" s="14"/>
      <c r="P36" s="1">
        <f>SUM(OSRRefP22_6x_0)</f>
        <v>138.08000000000001</v>
      </c>
      <c r="Q36" s="1"/>
      <c r="R36" s="5">
        <f t="shared" si="24"/>
        <v>0.22670628991741507</v>
      </c>
      <c r="S36" s="1"/>
      <c r="T36" s="1">
        <f>SUM(OSRRefT22_6x_0)</f>
        <v>0</v>
      </c>
      <c r="U36" s="1"/>
      <c r="V36" s="5">
        <f t="shared" si="25"/>
        <v>0</v>
      </c>
      <c r="W36" s="1"/>
      <c r="X36" s="1">
        <f t="shared" si="26"/>
        <v>138.08000000000001</v>
      </c>
      <c r="Y36" s="1"/>
      <c r="Z36" s="5">
        <f t="shared" si="27"/>
        <v>0</v>
      </c>
    </row>
    <row r="37" spans="1:26" s="24" customFormat="1" hidden="1" outlineLevel="2" x14ac:dyDescent="0.25">
      <c r="A37" s="29"/>
      <c r="B37" s="11" t="str">
        <f>CONCATENATE("          ", "6375", " - ", "OUTSIDE REPAIRS &amp; MAINTENANCE")</f>
        <v xml:space="preserve">          6375 - OUTSIDE REPAIRS &amp; MAINTENANCE</v>
      </c>
      <c r="C37" s="11"/>
      <c r="D37" s="7">
        <v>138.08000000000001</v>
      </c>
      <c r="E37" s="2"/>
      <c r="F37" s="6">
        <f t="shared" si="20"/>
        <v>0.22670628991741507</v>
      </c>
      <c r="G37" s="2"/>
      <c r="H37" s="7"/>
      <c r="I37" s="2"/>
      <c r="J37" s="6">
        <f t="shared" si="21"/>
        <v>0</v>
      </c>
      <c r="K37" s="2"/>
      <c r="L37" s="7">
        <f t="shared" si="22"/>
        <v>138.08000000000001</v>
      </c>
      <c r="M37" s="2"/>
      <c r="N37" s="6">
        <f t="shared" si="23"/>
        <v>0</v>
      </c>
      <c r="O37" s="11"/>
      <c r="P37" s="7">
        <v>138.08000000000001</v>
      </c>
      <c r="Q37" s="2"/>
      <c r="R37" s="6">
        <f t="shared" si="24"/>
        <v>0.22670628991741507</v>
      </c>
      <c r="S37" s="2"/>
      <c r="T37" s="7"/>
      <c r="U37" s="2"/>
      <c r="V37" s="6">
        <f t="shared" si="25"/>
        <v>0</v>
      </c>
      <c r="W37" s="2"/>
      <c r="X37" s="7">
        <f t="shared" si="26"/>
        <v>138.08000000000001</v>
      </c>
      <c r="Y37" s="2"/>
      <c r="Z37" s="6">
        <f t="shared" si="27"/>
        <v>0</v>
      </c>
    </row>
    <row r="38" spans="1:26" s="28" customFormat="1" outlineLevel="1" collapsed="1" x14ac:dyDescent="0.25">
      <c r="A38" s="27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1">
        <f>SUM(OSRRefD22_7x_0)</f>
        <v>273.10000000000002</v>
      </c>
      <c r="E38" s="1"/>
      <c r="F38" s="5">
        <f t="shared" si="20"/>
        <v>0.44838852677032198</v>
      </c>
      <c r="G38" s="1"/>
      <c r="H38" s="1">
        <f>SUM(OSRRefH22_7x_0)</f>
        <v>0</v>
      </c>
      <c r="I38" s="1"/>
      <c r="J38" s="5">
        <f t="shared" si="21"/>
        <v>0</v>
      </c>
      <c r="K38" s="1"/>
      <c r="L38" s="1">
        <f t="shared" si="22"/>
        <v>273.10000000000002</v>
      </c>
      <c r="M38" s="1"/>
      <c r="N38" s="5">
        <f t="shared" si="23"/>
        <v>0</v>
      </c>
      <c r="O38" s="14"/>
      <c r="P38" s="1">
        <f>SUM(OSRRefP22_7x_0)</f>
        <v>273.10000000000002</v>
      </c>
      <c r="Q38" s="1"/>
      <c r="R38" s="5">
        <f t="shared" si="24"/>
        <v>0.44838852677032198</v>
      </c>
      <c r="S38" s="1"/>
      <c r="T38" s="1">
        <f>SUM(OSRRefT22_7x_0)</f>
        <v>0</v>
      </c>
      <c r="U38" s="1"/>
      <c r="V38" s="5">
        <f t="shared" si="25"/>
        <v>0</v>
      </c>
      <c r="W38" s="1"/>
      <c r="X38" s="1">
        <f t="shared" si="26"/>
        <v>273.10000000000002</v>
      </c>
      <c r="Y38" s="1"/>
      <c r="Z38" s="5">
        <f t="shared" si="27"/>
        <v>0</v>
      </c>
    </row>
    <row r="39" spans="1:26" s="24" customFormat="1" hidden="1" outlineLevel="2" x14ac:dyDescent="0.25">
      <c r="A39" s="29"/>
      <c r="B39" s="11" t="str">
        <f>CONCATENATE("          ", "6254", " - ", "ROYALTY &amp; COMMISSIONS")</f>
        <v xml:space="preserve">          6254 - ROYALTY &amp; COMMISSIONS</v>
      </c>
      <c r="C39" s="11"/>
      <c r="D39" s="7">
        <v>273.10000000000002</v>
      </c>
      <c r="E39" s="2"/>
      <c r="F39" s="6">
        <f t="shared" si="20"/>
        <v>0.44838852677032198</v>
      </c>
      <c r="G39" s="2"/>
      <c r="H39" s="7"/>
      <c r="I39" s="2"/>
      <c r="J39" s="6">
        <f t="shared" si="21"/>
        <v>0</v>
      </c>
      <c r="K39" s="2"/>
      <c r="L39" s="7">
        <f t="shared" si="22"/>
        <v>273.10000000000002</v>
      </c>
      <c r="M39" s="2"/>
      <c r="N39" s="6">
        <f t="shared" si="23"/>
        <v>0</v>
      </c>
      <c r="O39" s="11"/>
      <c r="P39" s="7">
        <v>273.10000000000002</v>
      </c>
      <c r="Q39" s="2"/>
      <c r="R39" s="6">
        <f t="shared" si="24"/>
        <v>0.44838852677032198</v>
      </c>
      <c r="S39" s="2"/>
      <c r="T39" s="7"/>
      <c r="U39" s="2"/>
      <c r="V39" s="6">
        <f t="shared" si="25"/>
        <v>0</v>
      </c>
      <c r="W39" s="2"/>
      <c r="X39" s="7">
        <f t="shared" si="26"/>
        <v>273.10000000000002</v>
      </c>
      <c r="Y39" s="2"/>
      <c r="Z39" s="6">
        <f t="shared" si="27"/>
        <v>0</v>
      </c>
    </row>
    <row r="40" spans="1:26" s="28" customFormat="1" outlineLevel="1" collapsed="1" x14ac:dyDescent="0.25">
      <c r="A40" s="27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SUM(OSRRefD22_8x_0)</f>
        <v>0</v>
      </c>
      <c r="E40" s="1"/>
      <c r="F40" s="5">
        <f t="shared" si="20"/>
        <v>0</v>
      </c>
      <c r="G40" s="1"/>
      <c r="H40" s="1">
        <f>SUM(OSRRefH22_8x_0)</f>
        <v>309.74</v>
      </c>
      <c r="I40" s="1"/>
      <c r="J40" s="5">
        <f t="shared" si="21"/>
        <v>0</v>
      </c>
      <c r="K40" s="1"/>
      <c r="L40" s="1">
        <f t="shared" si="22"/>
        <v>-309.74</v>
      </c>
      <c r="M40" s="1"/>
      <c r="N40" s="5">
        <f t="shared" si="23"/>
        <v>-1</v>
      </c>
      <c r="O40" s="14"/>
      <c r="P40" s="1">
        <f>SUM(OSRRefP22_8x_0)</f>
        <v>0</v>
      </c>
      <c r="Q40" s="1"/>
      <c r="R40" s="5">
        <f t="shared" si="24"/>
        <v>0</v>
      </c>
      <c r="S40" s="1"/>
      <c r="T40" s="1">
        <f>SUM(OSRRefT22_8x_0)</f>
        <v>309.74</v>
      </c>
      <c r="U40" s="1"/>
      <c r="V40" s="5">
        <f t="shared" si="25"/>
        <v>0</v>
      </c>
      <c r="W40" s="1"/>
      <c r="X40" s="1">
        <f t="shared" si="26"/>
        <v>-309.74</v>
      </c>
      <c r="Y40" s="1"/>
      <c r="Z40" s="5">
        <f t="shared" si="27"/>
        <v>-1</v>
      </c>
    </row>
    <row r="41" spans="1:26" s="24" customFormat="1" hidden="1" outlineLevel="2" x14ac:dyDescent="0.25">
      <c r="A41" s="29"/>
      <c r="B41" s="11" t="str">
        <f>CONCATENATE("          ", "6239", " - ", "KITCHEN SUPPLIES")</f>
        <v xml:space="preserve">          6239 - KITCHEN SUPPLIES</v>
      </c>
      <c r="C41" s="11"/>
      <c r="D41" s="7"/>
      <c r="E41" s="2"/>
      <c r="F41" s="6">
        <f t="shared" si="20"/>
        <v>0</v>
      </c>
      <c r="G41" s="2"/>
      <c r="H41" s="7">
        <v>309.74</v>
      </c>
      <c r="I41" s="2"/>
      <c r="J41" s="6">
        <f t="shared" si="21"/>
        <v>0</v>
      </c>
      <c r="K41" s="2"/>
      <c r="L41" s="7">
        <f t="shared" si="22"/>
        <v>-309.74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309.74</v>
      </c>
      <c r="U41" s="2"/>
      <c r="V41" s="6">
        <f t="shared" si="25"/>
        <v>0</v>
      </c>
      <c r="W41" s="2"/>
      <c r="X41" s="7">
        <f t="shared" si="26"/>
        <v>-309.74</v>
      </c>
      <c r="Y41" s="2"/>
      <c r="Z41" s="6">
        <f t="shared" si="27"/>
        <v>-1</v>
      </c>
    </row>
    <row r="42" spans="1:26" s="28" customFormat="1" outlineLevel="1" collapsed="1" x14ac:dyDescent="0.25">
      <c r="A42" s="27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SUM(OSRRefD22_9x_0)</f>
        <v>-83.99</v>
      </c>
      <c r="E42" s="1"/>
      <c r="F42" s="5">
        <f t="shared" si="20"/>
        <v>-0.13789876368890272</v>
      </c>
      <c r="G42" s="1"/>
      <c r="H42" s="1">
        <f>SUM(OSRRefH22_9x_0)</f>
        <v>212.01</v>
      </c>
      <c r="I42" s="1"/>
      <c r="J42" s="5">
        <f t="shared" si="21"/>
        <v>0</v>
      </c>
      <c r="K42" s="1"/>
      <c r="L42" s="1">
        <f t="shared" si="22"/>
        <v>-296</v>
      </c>
      <c r="M42" s="1"/>
      <c r="N42" s="5">
        <f t="shared" si="23"/>
        <v>-1.3961605584642234</v>
      </c>
      <c r="O42" s="14"/>
      <c r="P42" s="1">
        <f>SUM(OSRRefP22_9x_0)</f>
        <v>-83.99</v>
      </c>
      <c r="Q42" s="1"/>
      <c r="R42" s="5">
        <f t="shared" si="24"/>
        <v>-0.13789876368890272</v>
      </c>
      <c r="S42" s="1"/>
      <c r="T42" s="1">
        <f>SUM(OSRRefT22_9x_0)</f>
        <v>212.01</v>
      </c>
      <c r="U42" s="1"/>
      <c r="V42" s="5">
        <f t="shared" si="25"/>
        <v>0</v>
      </c>
      <c r="W42" s="1"/>
      <c r="X42" s="1">
        <f t="shared" si="26"/>
        <v>-296</v>
      </c>
      <c r="Y42" s="1"/>
      <c r="Z42" s="5">
        <f t="shared" si="27"/>
        <v>-1.3961605584642234</v>
      </c>
    </row>
    <row r="43" spans="1:26" s="24" customFormat="1" hidden="1" outlineLevel="2" x14ac:dyDescent="0.25">
      <c r="A43" s="29"/>
      <c r="B43" s="11" t="str">
        <f>CONCATENATE("          ", "6309", " - ", "TELEPHONE")</f>
        <v xml:space="preserve">          6309 - TELEPHONE</v>
      </c>
      <c r="C43" s="11"/>
      <c r="D43" s="7">
        <v>-83.99</v>
      </c>
      <c r="E43" s="2"/>
      <c r="F43" s="6">
        <f t="shared" si="20"/>
        <v>-0.13789876368890272</v>
      </c>
      <c r="G43" s="2"/>
      <c r="H43" s="7">
        <v>212.01</v>
      </c>
      <c r="I43" s="2"/>
      <c r="J43" s="6">
        <f t="shared" si="21"/>
        <v>0</v>
      </c>
      <c r="K43" s="2"/>
      <c r="L43" s="7">
        <f t="shared" si="22"/>
        <v>-296</v>
      </c>
      <c r="M43" s="2"/>
      <c r="N43" s="6">
        <f t="shared" si="23"/>
        <v>-1.3961605584642234</v>
      </c>
      <c r="O43" s="11"/>
      <c r="P43" s="7">
        <v>-83.99</v>
      </c>
      <c r="Q43" s="2"/>
      <c r="R43" s="6">
        <f t="shared" si="24"/>
        <v>-0.13789876368890272</v>
      </c>
      <c r="S43" s="2"/>
      <c r="T43" s="7">
        <v>212.01</v>
      </c>
      <c r="U43" s="2"/>
      <c r="V43" s="6">
        <f t="shared" si="25"/>
        <v>0</v>
      </c>
      <c r="W43" s="2"/>
      <c r="X43" s="7">
        <f t="shared" si="26"/>
        <v>-296</v>
      </c>
      <c r="Y43" s="2"/>
      <c r="Z43" s="6">
        <f t="shared" si="27"/>
        <v>-1.3961605584642234</v>
      </c>
    </row>
    <row r="44" spans="1:26" s="54" customFormat="1" x14ac:dyDescent="0.25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collapsed="1" x14ac:dyDescent="0.25">
      <c r="A45" s="10"/>
      <c r="B45" s="26" t="s">
        <v>0</v>
      </c>
      <c r="C45" s="10"/>
      <c r="D45" s="4">
        <f>SUM(OSRRefD25x_0)</f>
        <v>546.20000000000005</v>
      </c>
      <c r="E45" s="4"/>
      <c r="F45" s="12">
        <f t="shared" ref="F45:F46" si="28">IF(D$12=0,0,D45/D$12)</f>
        <v>0.89677705354064396</v>
      </c>
      <c r="G45" s="4"/>
      <c r="H45" s="4">
        <f>SUM(OSRRefH25x_0)</f>
        <v>0</v>
      </c>
      <c r="I45" s="4"/>
      <c r="J45" s="12">
        <f t="shared" ref="J45:J46" si="29">IF(H$12=0,0,H45/H$12)</f>
        <v>0</v>
      </c>
      <c r="K45" s="4"/>
      <c r="L45" s="4">
        <f t="shared" ref="L45:L46" si="30">+D45-H45</f>
        <v>546.20000000000005</v>
      </c>
      <c r="M45" s="4"/>
      <c r="N45" s="12">
        <f t="shared" ref="N45:N46" si="31">IF(H45=0,0,L45/H45)</f>
        <v>0</v>
      </c>
      <c r="O45" s="10"/>
      <c r="P45" s="4">
        <f>SUM(OSRRefP25x_0)</f>
        <v>546.20000000000005</v>
      </c>
      <c r="Q45" s="4"/>
      <c r="R45" s="12">
        <f t="shared" ref="R45:R46" si="32">IF(P$12=0,0,P45/P$12)</f>
        <v>0.89677705354064396</v>
      </c>
      <c r="S45" s="4"/>
      <c r="T45" s="4">
        <f>SUM(OSRRefT25x_0)</f>
        <v>0</v>
      </c>
      <c r="U45" s="4"/>
      <c r="V45" s="12">
        <f t="shared" ref="V45:V46" si="33">IF(T$12=0,0,T45/T$12)</f>
        <v>0</v>
      </c>
      <c r="W45" s="4"/>
      <c r="X45" s="4">
        <f t="shared" ref="X45:X46" si="34">+P45-T45</f>
        <v>546.20000000000005</v>
      </c>
      <c r="Y45" s="4"/>
      <c r="Z45" s="12">
        <f t="shared" ref="Z45:Z46" si="35">IF(T45=0,0,X45/T45)</f>
        <v>0</v>
      </c>
    </row>
    <row r="46" spans="1:26" s="24" customFormat="1" hidden="1" outlineLevel="1" x14ac:dyDescent="0.25">
      <c r="A46" s="50"/>
      <c r="B46" s="11" t="str">
        <f>CONCATENATE("          ", "9150", " - ", "MISC. INCOME")</f>
        <v xml:space="preserve">          9150 - MISC. INCOME</v>
      </c>
      <c r="C46" s="11"/>
      <c r="D46" s="2">
        <f>--546.2</f>
        <v>546.20000000000005</v>
      </c>
      <c r="E46" s="2"/>
      <c r="F46" s="22">
        <f t="shared" si="28"/>
        <v>0.89677705354064396</v>
      </c>
      <c r="G46" s="2"/>
      <c r="H46" s="2">
        <f>0</f>
        <v>0</v>
      </c>
      <c r="I46" s="2"/>
      <c r="J46" s="22">
        <f t="shared" si="29"/>
        <v>0</v>
      </c>
      <c r="K46" s="2"/>
      <c r="L46" s="2">
        <f t="shared" si="30"/>
        <v>546.20000000000005</v>
      </c>
      <c r="M46" s="2"/>
      <c r="N46" s="22">
        <f t="shared" si="31"/>
        <v>0</v>
      </c>
      <c r="O46" s="11"/>
      <c r="P46" s="2">
        <f>--546.2</f>
        <v>546.20000000000005</v>
      </c>
      <c r="Q46" s="2"/>
      <c r="R46" s="22">
        <f t="shared" si="32"/>
        <v>0.89677705354064396</v>
      </c>
      <c r="S46" s="2"/>
      <c r="T46" s="2">
        <f>0</f>
        <v>0</v>
      </c>
      <c r="U46" s="2"/>
      <c r="V46" s="22">
        <f t="shared" si="33"/>
        <v>0</v>
      </c>
      <c r="W46" s="2"/>
      <c r="X46" s="2">
        <f t="shared" si="34"/>
        <v>546.20000000000005</v>
      </c>
      <c r="Y46" s="2"/>
      <c r="Z46" s="22">
        <f t="shared" si="35"/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3</v>
      </c>
      <c r="C48" s="25"/>
      <c r="D48" s="21">
        <f>+D19-D21+D45</f>
        <v>-1570.4699999999991</v>
      </c>
      <c r="E48" s="13"/>
      <c r="F48" s="20">
        <f>IF(D$12=0,0,D48/D$12)</f>
        <v>-2.5784720968033215</v>
      </c>
      <c r="G48" s="13"/>
      <c r="H48" s="21">
        <f>+H19-H21+H45</f>
        <v>-3088.0899999999997</v>
      </c>
      <c r="I48" s="13"/>
      <c r="J48" s="20">
        <f>IF(H$12=0,0,H48/H$12)</f>
        <v>0</v>
      </c>
      <c r="K48" s="16"/>
      <c r="L48" s="21">
        <f>+D48-H48</f>
        <v>1517.6200000000006</v>
      </c>
      <c r="M48" s="16"/>
      <c r="N48" s="20">
        <f>IF(H48=0,0,L48/H48)</f>
        <v>-0.49144293074359902</v>
      </c>
      <c r="O48" s="26"/>
      <c r="P48" s="21">
        <f>+P19-P21+P45</f>
        <v>-1570.4699999999991</v>
      </c>
      <c r="Q48" s="13"/>
      <c r="R48" s="20">
        <f>IF(P$12=0,0,P48/P$12)</f>
        <v>-2.5784720968033215</v>
      </c>
      <c r="S48" s="13"/>
      <c r="T48" s="21">
        <f>+T19-T21+T45</f>
        <v>-3088.0899999999997</v>
      </c>
      <c r="U48" s="13"/>
      <c r="V48" s="20">
        <f>IF(T$12=0,0,T48/T$12)</f>
        <v>0</v>
      </c>
      <c r="W48" s="16"/>
      <c r="X48" s="21">
        <f>+P48-T48</f>
        <v>1517.6200000000006</v>
      </c>
      <c r="Y48" s="16"/>
      <c r="Z48" s="20">
        <f>IF(T48=0,0,X48/T48)</f>
        <v>-0.49144293074359902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>
        <v>126.64</v>
      </c>
      <c r="E50" s="4"/>
      <c r="F50" s="12">
        <f>IF(D$12=0,0,D50/D$12)</f>
        <v>0.20792355558474393</v>
      </c>
      <c r="G50" s="4"/>
      <c r="H50" s="4"/>
      <c r="I50" s="4"/>
      <c r="J50" s="12">
        <f>IF(H$12=0,0,H50/H$12)</f>
        <v>0</v>
      </c>
      <c r="K50" s="4"/>
      <c r="L50" s="4">
        <f>+D50-H50</f>
        <v>126.64</v>
      </c>
      <c r="M50" s="4"/>
      <c r="N50" s="12">
        <f>IF(H50=0,0,L50/H50)</f>
        <v>0</v>
      </c>
      <c r="O50" s="10"/>
      <c r="P50" s="4">
        <v>126.64</v>
      </c>
      <c r="Q50" s="4"/>
      <c r="R50" s="12">
        <f>IF(P$12=0,0,P50/P$12)</f>
        <v>0.20792355558474393</v>
      </c>
      <c r="S50" s="4"/>
      <c r="T50" s="4"/>
      <c r="U50" s="4"/>
      <c r="V50" s="12">
        <f>IF(T$12=0,0,T50/T$12)</f>
        <v>0</v>
      </c>
      <c r="W50" s="4"/>
      <c r="X50" s="4">
        <f>+P50-T50</f>
        <v>126.64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5" t="s">
        <v>4</v>
      </c>
      <c r="C52" s="25"/>
      <c r="D52" s="33">
        <f>+D48-D50</f>
        <v>-1697.1099999999992</v>
      </c>
      <c r="E52" s="13"/>
      <c r="F52" s="34">
        <f>IF(D$12=0,0,D52/D$12)</f>
        <v>-2.7863956523880655</v>
      </c>
      <c r="G52" s="13"/>
      <c r="H52" s="33">
        <f>+H48-H50</f>
        <v>-3088.0899999999997</v>
      </c>
      <c r="I52" s="13"/>
      <c r="J52" s="34">
        <f>IF(H$12=0,0,H52/H$12)</f>
        <v>0</v>
      </c>
      <c r="K52" s="16"/>
      <c r="L52" s="33">
        <f>D52-H52</f>
        <v>1390.9800000000005</v>
      </c>
      <c r="M52" s="16"/>
      <c r="N52" s="34">
        <f>IF(H52=0,0,L52/H52)</f>
        <v>-0.45043376326467188</v>
      </c>
      <c r="O52" s="26"/>
      <c r="P52" s="33">
        <f>+P48-P50</f>
        <v>-1697.1099999999992</v>
      </c>
      <c r="Q52" s="13"/>
      <c r="R52" s="34">
        <f>IF(P$12=0,0,P52/P$12)</f>
        <v>-2.7863956523880655</v>
      </c>
      <c r="S52" s="13"/>
      <c r="T52" s="33">
        <f>+T48-T50</f>
        <v>-3088.0899999999997</v>
      </c>
      <c r="U52" s="13"/>
      <c r="V52" s="34">
        <f>IF(T$12=0,0,T52/T$12)</f>
        <v>0</v>
      </c>
      <c r="W52" s="16"/>
      <c r="X52" s="33">
        <f>P52-T52</f>
        <v>1390.9800000000005</v>
      </c>
      <c r="Y52" s="16"/>
      <c r="Z52" s="34">
        <f>IF(T52=0,0,X52/T52)</f>
        <v>-0.45043376326467188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5</v>
      </c>
      <c r="C55" s="25"/>
      <c r="D55" s="31">
        <f>SUM(D52:D54)</f>
        <v>-1697.1099999999992</v>
      </c>
      <c r="E55" s="13"/>
      <c r="F55" s="30">
        <f>IF(D$12=0,0,D55/D$12)</f>
        <v>-2.7863956523880655</v>
      </c>
      <c r="G55" s="13"/>
      <c r="H55" s="31">
        <f>SUM(H52:H54)</f>
        <v>-3088.0899999999997</v>
      </c>
      <c r="I55" s="13"/>
      <c r="J55" s="30">
        <f>IF(H$12=0,0,H55/H$12)</f>
        <v>0</v>
      </c>
      <c r="K55" s="16"/>
      <c r="L55" s="31">
        <f>+D55-H55</f>
        <v>1390.9800000000005</v>
      </c>
      <c r="M55" s="16"/>
      <c r="N55" s="30">
        <f>IF(H55=0,0,L55/H55)</f>
        <v>-0.45043376326467188</v>
      </c>
      <c r="O55" s="26"/>
      <c r="P55" s="31">
        <f>SUM(P52:P54)</f>
        <v>-1697.1099999999992</v>
      </c>
      <c r="Q55" s="13"/>
      <c r="R55" s="30">
        <f>IF(P$12=0,0,P55/P$12)</f>
        <v>-2.7863956523880655</v>
      </c>
      <c r="S55" s="13"/>
      <c r="T55" s="31">
        <f>SUM(T52:T54)</f>
        <v>-3088.0899999999997</v>
      </c>
      <c r="U55" s="13"/>
      <c r="V55" s="30">
        <f>IF(T$12=0,0,T55/T$12)</f>
        <v>0</v>
      </c>
      <c r="W55" s="16"/>
      <c r="X55" s="31">
        <f>+P55-T55</f>
        <v>1390.9800000000005</v>
      </c>
      <c r="Y55" s="16"/>
      <c r="Z55" s="30">
        <f>IF(T55=0,0,X55/T55)</f>
        <v>-0.45043376326467188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6">
        <v>43726.682343518522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3" t="s">
        <v>313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24558.32</v>
      </c>
      <c r="E12" s="4"/>
      <c r="F12" s="12"/>
      <c r="G12" s="4"/>
      <c r="H12" s="4">
        <f>SUM(OSRRefH13x_0)</f>
        <v>16585.38</v>
      </c>
      <c r="I12" s="4"/>
      <c r="J12" s="12"/>
      <c r="K12" s="4"/>
      <c r="L12" s="4">
        <f t="shared" ref="L12:L14" si="0">+D12-H12</f>
        <v>7972.9399999999987</v>
      </c>
      <c r="M12" s="4"/>
      <c r="N12" s="12">
        <f t="shared" ref="N12:N14" si="1">IF(H12=0,0,L12/H12)</f>
        <v>0.4807209723262294</v>
      </c>
      <c r="O12" s="10"/>
      <c r="P12" s="4">
        <f>SUM(OSRRefP13x_0)</f>
        <v>24558.32</v>
      </c>
      <c r="Q12" s="4"/>
      <c r="R12" s="12"/>
      <c r="S12" s="4"/>
      <c r="T12" s="4">
        <f>SUM(OSRRefT13x_0)</f>
        <v>16585.38</v>
      </c>
      <c r="U12" s="4"/>
      <c r="V12" s="12"/>
      <c r="W12" s="4"/>
      <c r="X12" s="4">
        <f t="shared" ref="X12:X14" si="2">+P12-T12</f>
        <v>7972.9399999999987</v>
      </c>
      <c r="Y12" s="4"/>
      <c r="Z12" s="12">
        <f t="shared" ref="Z12:Z14" si="3">IF(T12=0,0,X12/T12)</f>
        <v>0.4807209723262294</v>
      </c>
    </row>
    <row r="13" spans="1:26" s="24" customFormat="1" hidden="1" outlineLevel="1" x14ac:dyDescent="0.25">
      <c r="A13" s="50"/>
      <c r="B13" s="11" t="str">
        <f>CONCATENATE("          ", "4052", " - ", "TAXABLE SALES-FOOD")</f>
        <v xml:space="preserve">          4052 - TAXABLE SALES-FOOD</v>
      </c>
      <c r="C13" s="11"/>
      <c r="D13" s="2">
        <f>--236.28</f>
        <v>236.28</v>
      </c>
      <c r="E13" s="2"/>
      <c r="F13" s="22"/>
      <c r="G13" s="2"/>
      <c r="H13" s="2">
        <f>--5081.52</f>
        <v>5081.5200000000004</v>
      </c>
      <c r="I13" s="2"/>
      <c r="J13" s="22"/>
      <c r="K13" s="2"/>
      <c r="L13" s="2">
        <f t="shared" si="0"/>
        <v>-4845.2400000000007</v>
      </c>
      <c r="M13" s="2"/>
      <c r="N13" s="22">
        <f t="shared" si="1"/>
        <v>-0.95350210173333971</v>
      </c>
      <c r="O13" s="11"/>
      <c r="P13" s="2">
        <f>--236.28</f>
        <v>236.28</v>
      </c>
      <c r="Q13" s="2"/>
      <c r="R13" s="22"/>
      <c r="S13" s="2"/>
      <c r="T13" s="2">
        <f>--5081.52</f>
        <v>5081.5200000000004</v>
      </c>
      <c r="U13" s="2"/>
      <c r="V13" s="22"/>
      <c r="W13" s="2"/>
      <c r="X13" s="2">
        <f t="shared" si="2"/>
        <v>-4845.2400000000007</v>
      </c>
      <c r="Y13" s="2"/>
      <c r="Z13" s="22">
        <f t="shared" si="3"/>
        <v>-0.95350210173333971</v>
      </c>
    </row>
    <row r="14" spans="1:26" s="24" customFormat="1" hidden="1" outlineLevel="1" x14ac:dyDescent="0.25">
      <c r="A14" s="50"/>
      <c r="B14" s="11" t="str">
        <f>CONCATENATE("          ", "4053", " - ", "TAXABLE SALES-FOOD")</f>
        <v xml:space="preserve">          4053 - TAXABLE SALES-FOOD</v>
      </c>
      <c r="C14" s="11"/>
      <c r="D14" s="2">
        <f>--24322.04</f>
        <v>24322.04</v>
      </c>
      <c r="E14" s="2"/>
      <c r="F14" s="22"/>
      <c r="G14" s="2"/>
      <c r="H14" s="2">
        <f>--11503.86</f>
        <v>11503.86</v>
      </c>
      <c r="I14" s="2"/>
      <c r="J14" s="22"/>
      <c r="K14" s="2"/>
      <c r="L14" s="2">
        <f t="shared" si="0"/>
        <v>12818.18</v>
      </c>
      <c r="M14" s="2"/>
      <c r="N14" s="22">
        <f t="shared" si="1"/>
        <v>1.1142503472747407</v>
      </c>
      <c r="O14" s="11"/>
      <c r="P14" s="2">
        <f>--24322.04</f>
        <v>24322.04</v>
      </c>
      <c r="Q14" s="2"/>
      <c r="R14" s="22"/>
      <c r="S14" s="2"/>
      <c r="T14" s="2">
        <f>--11503.86</f>
        <v>11503.86</v>
      </c>
      <c r="U14" s="2"/>
      <c r="V14" s="22"/>
      <c r="W14" s="2"/>
      <c r="X14" s="2">
        <f t="shared" si="2"/>
        <v>12818.18</v>
      </c>
      <c r="Y14" s="2"/>
      <c r="Z14" s="22">
        <f t="shared" si="3"/>
        <v>1.1142503472747407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6593.4400000000005</v>
      </c>
      <c r="E16" s="4"/>
      <c r="F16" s="12">
        <f t="shared" ref="F16:F18" si="4">IF(D$12=0,0,D16/D$12)</f>
        <v>0.26848090586001</v>
      </c>
      <c r="G16" s="4"/>
      <c r="H16" s="4">
        <f>SUM(OSRRefH16x_0)</f>
        <v>3316.8999999999996</v>
      </c>
      <c r="I16" s="4"/>
      <c r="J16" s="12">
        <f t="shared" ref="J16:J18" si="5">IF(H$12=0,0,H16/H$12)</f>
        <v>0.19998938824434528</v>
      </c>
      <c r="K16" s="4"/>
      <c r="L16" s="4">
        <f t="shared" ref="L16:L18" si="6">+D16-H16</f>
        <v>3276.5400000000009</v>
      </c>
      <c r="M16" s="4"/>
      <c r="N16" s="12">
        <f t="shared" ref="N16:N18" si="7">IF(H16=0,0,L16/H16)</f>
        <v>0.98783201181826441</v>
      </c>
      <c r="O16" s="10"/>
      <c r="P16" s="4">
        <f>SUM(OSRRefP16x_0)</f>
        <v>6593.4400000000005</v>
      </c>
      <c r="Q16" s="4"/>
      <c r="R16" s="12">
        <f t="shared" ref="R16:R18" si="8">IF(P$12=0,0,P16/P$12)</f>
        <v>0.26848090586001</v>
      </c>
      <c r="S16" s="4"/>
      <c r="T16" s="4">
        <f>SUM(OSRRefT16x_0)</f>
        <v>3316.8999999999996</v>
      </c>
      <c r="U16" s="4"/>
      <c r="V16" s="12">
        <f t="shared" ref="V16:V18" si="9">IF(T$12=0,0,T16/T$12)</f>
        <v>0.19998938824434528</v>
      </c>
      <c r="W16" s="4"/>
      <c r="X16" s="4">
        <f t="shared" ref="X16:X18" si="10">+P16-T16</f>
        <v>3276.5400000000009</v>
      </c>
      <c r="Y16" s="4"/>
      <c r="Z16" s="12">
        <f t="shared" ref="Z16:Z18" si="11">IF(T16=0,0,X16/T16)</f>
        <v>0.98783201181826441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9914.44</v>
      </c>
      <c r="E17" s="2"/>
      <c r="F17" s="22">
        <f t="shared" si="4"/>
        <v>0.40371002576723491</v>
      </c>
      <c r="G17" s="2"/>
      <c r="H17" s="2">
        <v>5723.9</v>
      </c>
      <c r="I17" s="2"/>
      <c r="J17" s="22">
        <f t="shared" si="5"/>
        <v>0.34511720563532455</v>
      </c>
      <c r="K17" s="2"/>
      <c r="L17" s="2">
        <f t="shared" si="6"/>
        <v>4190.5400000000009</v>
      </c>
      <c r="M17" s="2"/>
      <c r="N17" s="22">
        <f t="shared" si="7"/>
        <v>0.73211272034801467</v>
      </c>
      <c r="O17" s="11"/>
      <c r="P17" s="2">
        <v>9914.44</v>
      </c>
      <c r="Q17" s="2"/>
      <c r="R17" s="22">
        <f t="shared" si="8"/>
        <v>0.40371002576723491</v>
      </c>
      <c r="S17" s="2"/>
      <c r="T17" s="2">
        <v>5723.9</v>
      </c>
      <c r="U17" s="2"/>
      <c r="V17" s="22">
        <f t="shared" si="9"/>
        <v>0.34511720563532455</v>
      </c>
      <c r="W17" s="2"/>
      <c r="X17" s="2">
        <f t="shared" si="10"/>
        <v>4190.5400000000009</v>
      </c>
      <c r="Y17" s="2"/>
      <c r="Z17" s="22">
        <f t="shared" si="11"/>
        <v>0.73211272034801467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-3321</v>
      </c>
      <c r="E18" s="2"/>
      <c r="F18" s="22">
        <f t="shared" si="4"/>
        <v>-0.13522911990722492</v>
      </c>
      <c r="G18" s="2"/>
      <c r="H18" s="2">
        <v>-2407</v>
      </c>
      <c r="I18" s="2"/>
      <c r="J18" s="22">
        <f t="shared" si="5"/>
        <v>-0.14512781739097927</v>
      </c>
      <c r="K18" s="2"/>
      <c r="L18" s="2">
        <f t="shared" si="6"/>
        <v>-914</v>
      </c>
      <c r="M18" s="2"/>
      <c r="N18" s="22">
        <f t="shared" si="7"/>
        <v>0.37972579975072707</v>
      </c>
      <c r="O18" s="11"/>
      <c r="P18" s="2">
        <v>-3321</v>
      </c>
      <c r="Q18" s="2"/>
      <c r="R18" s="22">
        <f t="shared" si="8"/>
        <v>-0.13522911990722492</v>
      </c>
      <c r="S18" s="2"/>
      <c r="T18" s="2">
        <v>-2407</v>
      </c>
      <c r="U18" s="2"/>
      <c r="V18" s="22">
        <f t="shared" si="9"/>
        <v>-0.14512781739097927</v>
      </c>
      <c r="W18" s="2"/>
      <c r="X18" s="2">
        <f t="shared" si="10"/>
        <v>-914</v>
      </c>
      <c r="Y18" s="2"/>
      <c r="Z18" s="22">
        <f t="shared" si="11"/>
        <v>0.37972579975072707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17964.879999999997</v>
      </c>
      <c r="E20" s="13"/>
      <c r="F20" s="20">
        <f>IF(D$12=0,0,D20/D$12)</f>
        <v>0.73151909413998994</v>
      </c>
      <c r="G20" s="13"/>
      <c r="H20" s="21">
        <f>H12-H16</f>
        <v>13268.480000000001</v>
      </c>
      <c r="I20" s="13"/>
      <c r="J20" s="20">
        <f>IF(H$12=0,0,H20/H$12)</f>
        <v>0.80001061175565469</v>
      </c>
      <c r="K20" s="16"/>
      <c r="L20" s="21">
        <f>+D20-H20</f>
        <v>4696.399999999996</v>
      </c>
      <c r="M20" s="16"/>
      <c r="N20" s="20">
        <f>IF(H20=0,0,L20/H20)</f>
        <v>0.35395162068300179</v>
      </c>
      <c r="O20" s="26"/>
      <c r="P20" s="21">
        <f>P12-P16</f>
        <v>17964.879999999997</v>
      </c>
      <c r="Q20" s="13"/>
      <c r="R20" s="20">
        <f>IF(P$12=0,0,P20/P$12)</f>
        <v>0.73151909413998994</v>
      </c>
      <c r="S20" s="13"/>
      <c r="T20" s="21">
        <f>T12-T16</f>
        <v>13268.480000000001</v>
      </c>
      <c r="U20" s="13"/>
      <c r="V20" s="20">
        <f>IF(T$12=0,0,T20/T$12)</f>
        <v>0.80001061175565469</v>
      </c>
      <c r="W20" s="16"/>
      <c r="X20" s="21">
        <f>+P20-T20</f>
        <v>4696.399999999996</v>
      </c>
      <c r="Y20" s="16"/>
      <c r="Z20" s="20">
        <f>IF(T20=0,0,X20/T20)</f>
        <v>0.35395162068300179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25279.180000000004</v>
      </c>
      <c r="E22" s="19"/>
      <c r="F22" s="35">
        <f t="shared" ref="F22:F31" si="12">IF(D$12=0,0,D22/D$12)</f>
        <v>1.02935298505761</v>
      </c>
      <c r="G22" s="19"/>
      <c r="H22" s="19">
        <f>SUM(OSRRefH22x_0)</f>
        <v>18307.740000000005</v>
      </c>
      <c r="I22" s="19"/>
      <c r="J22" s="35">
        <f t="shared" ref="J22:J31" si="13">IF(H$12=0,0,H22/H$12)</f>
        <v>1.1038480878942782</v>
      </c>
      <c r="K22" s="4"/>
      <c r="L22" s="19">
        <f t="shared" ref="L22:L31" si="14">+D22-H22</f>
        <v>6971.4399999999987</v>
      </c>
      <c r="M22" s="4"/>
      <c r="N22" s="35">
        <f t="shared" ref="N22:N31" si="15">IF(H22=0,0,L22/H22)</f>
        <v>0.38079194919744308</v>
      </c>
      <c r="O22" s="10"/>
      <c r="P22" s="19">
        <f>SUM(OSRRefP22x_0)</f>
        <v>25279.180000000004</v>
      </c>
      <c r="Q22" s="19"/>
      <c r="R22" s="35">
        <f t="shared" ref="R22:R31" si="16">IF(P$12=0,0,P22/P$12)</f>
        <v>1.02935298505761</v>
      </c>
      <c r="S22" s="19"/>
      <c r="T22" s="19">
        <f>SUM(OSRRefT22x_0)</f>
        <v>18307.740000000005</v>
      </c>
      <c r="U22" s="19"/>
      <c r="V22" s="35">
        <f t="shared" ref="V22:V31" si="17">IF(T$12=0,0,T22/T$12)</f>
        <v>1.1038480878942782</v>
      </c>
      <c r="W22" s="4"/>
      <c r="X22" s="19">
        <f t="shared" ref="X22:X31" si="18">+P22-T22</f>
        <v>6971.4399999999987</v>
      </c>
      <c r="Y22" s="4"/>
      <c r="Z22" s="35">
        <f t="shared" ref="Z22:Z31" si="19">IF(T22=0,0,X22/T22)</f>
        <v>0.38079194919744308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2541.23</v>
      </c>
      <c r="E23" s="1"/>
      <c r="F23" s="5">
        <f t="shared" si="12"/>
        <v>0.10347735512852671</v>
      </c>
      <c r="G23" s="1"/>
      <c r="H23" s="1">
        <f>SUM(OSRRefH22_0x_0)</f>
        <v>2548.75</v>
      </c>
      <c r="I23" s="1"/>
      <c r="J23" s="5">
        <f t="shared" si="13"/>
        <v>0.15367450127763124</v>
      </c>
      <c r="K23" s="1"/>
      <c r="L23" s="1">
        <f t="shared" si="14"/>
        <v>-7.5199999999999818</v>
      </c>
      <c r="M23" s="1"/>
      <c r="N23" s="5">
        <f t="shared" si="15"/>
        <v>-2.9504659146640439E-3</v>
      </c>
      <c r="O23" s="14"/>
      <c r="P23" s="1">
        <f>SUM(OSRRefP22_0x_0)</f>
        <v>2541.23</v>
      </c>
      <c r="Q23" s="1"/>
      <c r="R23" s="5">
        <f t="shared" si="16"/>
        <v>0.10347735512852671</v>
      </c>
      <c r="S23" s="1"/>
      <c r="T23" s="1">
        <f>SUM(OSRRefT22_0x_0)</f>
        <v>2548.75</v>
      </c>
      <c r="U23" s="1"/>
      <c r="V23" s="5">
        <f t="shared" si="17"/>
        <v>0.15367450127763124</v>
      </c>
      <c r="W23" s="1"/>
      <c r="X23" s="1">
        <f t="shared" si="18"/>
        <v>-7.5199999999999818</v>
      </c>
      <c r="Y23" s="1"/>
      <c r="Z23" s="5">
        <f t="shared" si="19"/>
        <v>-2.9504659146640439E-3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466.02</v>
      </c>
      <c r="E24" s="2"/>
      <c r="F24" s="6">
        <f t="shared" si="12"/>
        <v>1.8976053736574815E-2</v>
      </c>
      <c r="G24" s="2"/>
      <c r="H24" s="7">
        <v>437.76</v>
      </c>
      <c r="I24" s="2"/>
      <c r="J24" s="6">
        <f t="shared" si="13"/>
        <v>2.6394330428365222E-2</v>
      </c>
      <c r="K24" s="2"/>
      <c r="L24" s="7">
        <f t="shared" si="14"/>
        <v>28.259999999999991</v>
      </c>
      <c r="M24" s="2"/>
      <c r="N24" s="6">
        <f t="shared" si="15"/>
        <v>6.4555921052631554E-2</v>
      </c>
      <c r="O24" s="11"/>
      <c r="P24" s="7">
        <v>466.02</v>
      </c>
      <c r="Q24" s="2"/>
      <c r="R24" s="6">
        <f t="shared" si="16"/>
        <v>1.8976053736574815E-2</v>
      </c>
      <c r="S24" s="2"/>
      <c r="T24" s="7">
        <v>437.76</v>
      </c>
      <c r="U24" s="2"/>
      <c r="V24" s="6">
        <f t="shared" si="17"/>
        <v>2.6394330428365222E-2</v>
      </c>
      <c r="W24" s="2"/>
      <c r="X24" s="7">
        <f t="shared" si="18"/>
        <v>28.259999999999991</v>
      </c>
      <c r="Y24" s="2"/>
      <c r="Z24" s="6">
        <f t="shared" si="19"/>
        <v>6.4555921052631554E-2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372.07</v>
      </c>
      <c r="E25" s="2"/>
      <c r="F25" s="6">
        <f t="shared" si="12"/>
        <v>1.5150466318542962E-2</v>
      </c>
      <c r="G25" s="2"/>
      <c r="H25" s="7">
        <v>302.32</v>
      </c>
      <c r="I25" s="2"/>
      <c r="J25" s="6">
        <f t="shared" si="13"/>
        <v>1.8228102099559971E-2</v>
      </c>
      <c r="K25" s="2"/>
      <c r="L25" s="7">
        <f t="shared" si="14"/>
        <v>69.75</v>
      </c>
      <c r="M25" s="2"/>
      <c r="N25" s="6">
        <f t="shared" si="15"/>
        <v>0.23071579783011378</v>
      </c>
      <c r="O25" s="11"/>
      <c r="P25" s="7">
        <v>372.07</v>
      </c>
      <c r="Q25" s="2"/>
      <c r="R25" s="6">
        <f t="shared" si="16"/>
        <v>1.5150466318542962E-2</v>
      </c>
      <c r="S25" s="2"/>
      <c r="T25" s="7">
        <v>302.32</v>
      </c>
      <c r="U25" s="2"/>
      <c r="V25" s="6">
        <f t="shared" si="17"/>
        <v>1.8228102099559971E-2</v>
      </c>
      <c r="W25" s="2"/>
      <c r="X25" s="7">
        <f t="shared" si="18"/>
        <v>69.75</v>
      </c>
      <c r="Y25" s="2"/>
      <c r="Z25" s="6">
        <f t="shared" si="19"/>
        <v>0.23071579783011378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698.2</v>
      </c>
      <c r="E26" s="2"/>
      <c r="F26" s="6">
        <f t="shared" si="12"/>
        <v>2.8430283504734855E-2</v>
      </c>
      <c r="G26" s="2"/>
      <c r="H26" s="7">
        <v>527.65</v>
      </c>
      <c r="I26" s="2"/>
      <c r="J26" s="6">
        <f t="shared" si="13"/>
        <v>3.1814164040860078E-2</v>
      </c>
      <c r="K26" s="2"/>
      <c r="L26" s="7">
        <f t="shared" si="14"/>
        <v>170.55000000000007</v>
      </c>
      <c r="M26" s="2"/>
      <c r="N26" s="6">
        <f t="shared" si="15"/>
        <v>0.32322562304557961</v>
      </c>
      <c r="O26" s="11"/>
      <c r="P26" s="7">
        <v>698.2</v>
      </c>
      <c r="Q26" s="2"/>
      <c r="R26" s="6">
        <f t="shared" si="16"/>
        <v>2.8430283504734855E-2</v>
      </c>
      <c r="S26" s="2"/>
      <c r="T26" s="7">
        <v>527.65</v>
      </c>
      <c r="U26" s="2"/>
      <c r="V26" s="6">
        <f t="shared" si="17"/>
        <v>3.1814164040860078E-2</v>
      </c>
      <c r="W26" s="2"/>
      <c r="X26" s="7">
        <f t="shared" si="18"/>
        <v>170.55000000000007</v>
      </c>
      <c r="Y26" s="2"/>
      <c r="Z26" s="6">
        <f t="shared" si="19"/>
        <v>0.32322562304557961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24.93</v>
      </c>
      <c r="E27" s="2"/>
      <c r="F27" s="6">
        <f t="shared" si="12"/>
        <v>1.015134585753423E-3</v>
      </c>
      <c r="G27" s="2"/>
      <c r="H27" s="7">
        <v>22.46</v>
      </c>
      <c r="I27" s="2"/>
      <c r="J27" s="6">
        <f t="shared" si="13"/>
        <v>1.3542047272959679E-3</v>
      </c>
      <c r="K27" s="2"/>
      <c r="L27" s="7">
        <f t="shared" si="14"/>
        <v>2.4699999999999989</v>
      </c>
      <c r="M27" s="2"/>
      <c r="N27" s="6">
        <f t="shared" si="15"/>
        <v>0.10997328584149593</v>
      </c>
      <c r="O27" s="11"/>
      <c r="P27" s="7">
        <v>24.93</v>
      </c>
      <c r="Q27" s="2"/>
      <c r="R27" s="6">
        <f t="shared" si="16"/>
        <v>1.015134585753423E-3</v>
      </c>
      <c r="S27" s="2"/>
      <c r="T27" s="7">
        <v>22.46</v>
      </c>
      <c r="U27" s="2"/>
      <c r="V27" s="6">
        <f t="shared" si="17"/>
        <v>1.3542047272959679E-3</v>
      </c>
      <c r="W27" s="2"/>
      <c r="X27" s="7">
        <f t="shared" si="18"/>
        <v>2.4699999999999989</v>
      </c>
      <c r="Y27" s="2"/>
      <c r="Z27" s="6">
        <f t="shared" si="19"/>
        <v>0.10997328584149593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320.99</v>
      </c>
      <c r="E28" s="2"/>
      <c r="F28" s="6">
        <f t="shared" si="12"/>
        <v>1.3070519481788657E-2</v>
      </c>
      <c r="G28" s="2"/>
      <c r="H28" s="7">
        <v>435.32</v>
      </c>
      <c r="I28" s="2"/>
      <c r="J28" s="6">
        <f t="shared" si="13"/>
        <v>2.624721290678899E-2</v>
      </c>
      <c r="K28" s="2"/>
      <c r="L28" s="7">
        <f t="shared" si="14"/>
        <v>-114.32999999999998</v>
      </c>
      <c r="M28" s="2"/>
      <c r="N28" s="6">
        <f t="shared" si="15"/>
        <v>-0.26263438390149774</v>
      </c>
      <c r="O28" s="11"/>
      <c r="P28" s="7">
        <v>320.99</v>
      </c>
      <c r="Q28" s="2"/>
      <c r="R28" s="6">
        <f t="shared" si="16"/>
        <v>1.3070519481788657E-2</v>
      </c>
      <c r="S28" s="2"/>
      <c r="T28" s="7">
        <v>435.32</v>
      </c>
      <c r="U28" s="2"/>
      <c r="V28" s="6">
        <f t="shared" si="17"/>
        <v>2.624721290678899E-2</v>
      </c>
      <c r="W28" s="2"/>
      <c r="X28" s="7">
        <f t="shared" si="18"/>
        <v>-114.32999999999998</v>
      </c>
      <c r="Y28" s="2"/>
      <c r="Z28" s="6">
        <f t="shared" si="19"/>
        <v>-0.26263438390149774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203.22</v>
      </c>
      <c r="E29" s="2"/>
      <c r="F29" s="6">
        <f t="shared" si="12"/>
        <v>8.2749960094990211E-3</v>
      </c>
      <c r="G29" s="2"/>
      <c r="H29" s="7">
        <v>285.63</v>
      </c>
      <c r="I29" s="2"/>
      <c r="J29" s="6">
        <f t="shared" si="13"/>
        <v>1.7221794134352059E-2</v>
      </c>
      <c r="K29" s="2"/>
      <c r="L29" s="7">
        <f t="shared" si="14"/>
        <v>-82.41</v>
      </c>
      <c r="M29" s="2"/>
      <c r="N29" s="6">
        <f t="shared" si="15"/>
        <v>-0.28852011343346284</v>
      </c>
      <c r="O29" s="11"/>
      <c r="P29" s="7">
        <v>203.22</v>
      </c>
      <c r="Q29" s="2"/>
      <c r="R29" s="6">
        <f t="shared" si="16"/>
        <v>8.2749960094990211E-3</v>
      </c>
      <c r="S29" s="2"/>
      <c r="T29" s="7">
        <v>285.63</v>
      </c>
      <c r="U29" s="2"/>
      <c r="V29" s="6">
        <f t="shared" si="17"/>
        <v>1.7221794134352059E-2</v>
      </c>
      <c r="W29" s="2"/>
      <c r="X29" s="7">
        <f t="shared" si="18"/>
        <v>-82.41</v>
      </c>
      <c r="Y29" s="2"/>
      <c r="Z29" s="6">
        <f t="shared" si="19"/>
        <v>-0.28852011343346284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305.8</v>
      </c>
      <c r="E30" s="2"/>
      <c r="F30" s="6">
        <f t="shared" si="12"/>
        <v>1.2451991830060037E-2</v>
      </c>
      <c r="G30" s="2"/>
      <c r="H30" s="7">
        <v>387.61</v>
      </c>
      <c r="I30" s="2"/>
      <c r="J30" s="6">
        <f t="shared" si="13"/>
        <v>2.3370583007443903E-2</v>
      </c>
      <c r="K30" s="2"/>
      <c r="L30" s="7">
        <f t="shared" si="14"/>
        <v>-81.81</v>
      </c>
      <c r="M30" s="2"/>
      <c r="N30" s="6">
        <f t="shared" si="15"/>
        <v>-0.21106266608188642</v>
      </c>
      <c r="O30" s="11"/>
      <c r="P30" s="7">
        <v>305.8</v>
      </c>
      <c r="Q30" s="2"/>
      <c r="R30" s="6">
        <f t="shared" si="16"/>
        <v>1.2451991830060037E-2</v>
      </c>
      <c r="S30" s="2"/>
      <c r="T30" s="7">
        <v>387.61</v>
      </c>
      <c r="U30" s="2"/>
      <c r="V30" s="6">
        <f t="shared" si="17"/>
        <v>2.3370583007443903E-2</v>
      </c>
      <c r="W30" s="2"/>
      <c r="X30" s="7">
        <f t="shared" si="18"/>
        <v>-81.81</v>
      </c>
      <c r="Y30" s="2"/>
      <c r="Z30" s="6">
        <f t="shared" si="19"/>
        <v>-0.21106266608188642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150</v>
      </c>
      <c r="E31" s="2"/>
      <c r="F31" s="6">
        <f t="shared" si="12"/>
        <v>6.1079096615729413E-3</v>
      </c>
      <c r="G31" s="2"/>
      <c r="H31" s="7">
        <v>150</v>
      </c>
      <c r="I31" s="2"/>
      <c r="J31" s="6">
        <f t="shared" si="13"/>
        <v>9.0441099329650575E-3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>
        <v>150</v>
      </c>
      <c r="Q31" s="2"/>
      <c r="R31" s="6">
        <f t="shared" si="16"/>
        <v>6.1079096615729413E-3</v>
      </c>
      <c r="S31" s="2"/>
      <c r="T31" s="7">
        <v>150</v>
      </c>
      <c r="U31" s="2"/>
      <c r="V31" s="6">
        <f t="shared" si="17"/>
        <v>9.0441099329650575E-3</v>
      </c>
      <c r="W31" s="2"/>
      <c r="X31" s="7">
        <f t="shared" si="18"/>
        <v>0</v>
      </c>
      <c r="Y31" s="2"/>
      <c r="Z31" s="6">
        <f t="shared" si="19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7794.93</v>
      </c>
      <c r="E32" s="1"/>
      <c r="F32" s="5">
        <f t="shared" ref="F32:F37" si="20">IF(D$12=0,0,D32/D$12)</f>
        <v>0.3174048550552318</v>
      </c>
      <c r="G32" s="1"/>
      <c r="H32" s="1">
        <f>SUM(OSRRefH22_1x_0)</f>
        <v>6963.94</v>
      </c>
      <c r="I32" s="1"/>
      <c r="J32" s="5">
        <f t="shared" ref="J32:J37" si="21">IF(H$12=0,0,H32/H$12)</f>
        <v>0.41988425951048447</v>
      </c>
      <c r="K32" s="1"/>
      <c r="L32" s="1">
        <f t="shared" ref="L32:L37" si="22">+D32-H32</f>
        <v>830.99000000000069</v>
      </c>
      <c r="M32" s="1"/>
      <c r="N32" s="5">
        <f t="shared" ref="N32:N37" si="23">IF(H32=0,0,L32/H32)</f>
        <v>0.11932756456833354</v>
      </c>
      <c r="O32" s="14"/>
      <c r="P32" s="1">
        <f>SUM(OSRRefP22_1x_0)</f>
        <v>7794.93</v>
      </c>
      <c r="Q32" s="1"/>
      <c r="R32" s="5">
        <f t="shared" ref="R32:R37" si="24">IF(P$12=0,0,P32/P$12)</f>
        <v>0.3174048550552318</v>
      </c>
      <c r="S32" s="1"/>
      <c r="T32" s="1">
        <f>SUM(OSRRefT22_1x_0)</f>
        <v>6963.94</v>
      </c>
      <c r="U32" s="1"/>
      <c r="V32" s="5">
        <f t="shared" ref="V32:V37" si="25">IF(T$12=0,0,T32/T$12)</f>
        <v>0.41988425951048447</v>
      </c>
      <c r="W32" s="1"/>
      <c r="X32" s="1">
        <f t="shared" ref="X32:X37" si="26">+P32-T32</f>
        <v>830.99000000000069</v>
      </c>
      <c r="Y32" s="1"/>
      <c r="Z32" s="5">
        <f t="shared" ref="Z32:Z37" si="27">IF(T32=0,0,X32/T32)</f>
        <v>0.11932756456833354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5744.38</v>
      </c>
      <c r="E33" s="2"/>
      <c r="F33" s="6">
        <f t="shared" si="20"/>
        <v>0.23390769401164249</v>
      </c>
      <c r="G33" s="2"/>
      <c r="H33" s="7">
        <v>5140.08</v>
      </c>
      <c r="I33" s="2"/>
      <c r="J33" s="6">
        <f t="shared" si="21"/>
        <v>0.3099163238949002</v>
      </c>
      <c r="K33" s="2"/>
      <c r="L33" s="7">
        <f t="shared" si="22"/>
        <v>604.30000000000018</v>
      </c>
      <c r="M33" s="2"/>
      <c r="N33" s="6">
        <f t="shared" si="23"/>
        <v>0.11756626356010026</v>
      </c>
      <c r="O33" s="11"/>
      <c r="P33" s="7">
        <v>5744.38</v>
      </c>
      <c r="Q33" s="2"/>
      <c r="R33" s="6">
        <f t="shared" si="24"/>
        <v>0.23390769401164249</v>
      </c>
      <c r="S33" s="2"/>
      <c r="T33" s="7">
        <v>5140.08</v>
      </c>
      <c r="U33" s="2"/>
      <c r="V33" s="6">
        <f t="shared" si="25"/>
        <v>0.3099163238949002</v>
      </c>
      <c r="W33" s="2"/>
      <c r="X33" s="7">
        <f t="shared" si="26"/>
        <v>604.30000000000018</v>
      </c>
      <c r="Y33" s="2"/>
      <c r="Z33" s="6">
        <f t="shared" si="27"/>
        <v>0.11756626356010026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1058.55</v>
      </c>
      <c r="E34" s="2"/>
      <c r="F34" s="6">
        <f t="shared" si="20"/>
        <v>4.3103518481720247E-2</v>
      </c>
      <c r="G34" s="2"/>
      <c r="H34" s="7">
        <v>1067.8599999999999</v>
      </c>
      <c r="I34" s="2"/>
      <c r="J34" s="6">
        <f t="shared" si="21"/>
        <v>6.4385621553440436E-2</v>
      </c>
      <c r="K34" s="2"/>
      <c r="L34" s="7">
        <f t="shared" si="22"/>
        <v>-9.3099999999999454</v>
      </c>
      <c r="M34" s="2"/>
      <c r="N34" s="6">
        <f t="shared" si="23"/>
        <v>-8.7183713220833695E-3</v>
      </c>
      <c r="O34" s="11"/>
      <c r="P34" s="7">
        <v>1058.55</v>
      </c>
      <c r="Q34" s="2"/>
      <c r="R34" s="6">
        <f t="shared" si="24"/>
        <v>4.3103518481720247E-2</v>
      </c>
      <c r="S34" s="2"/>
      <c r="T34" s="7">
        <v>1067.8599999999999</v>
      </c>
      <c r="U34" s="2"/>
      <c r="V34" s="6">
        <f t="shared" si="25"/>
        <v>6.4385621553440436E-2</v>
      </c>
      <c r="W34" s="2"/>
      <c r="X34" s="7">
        <f t="shared" si="26"/>
        <v>-9.3099999999999454</v>
      </c>
      <c r="Y34" s="2"/>
      <c r="Z34" s="6">
        <f t="shared" si="27"/>
        <v>-8.7183713220833695E-3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78</v>
      </c>
      <c r="E35" s="2"/>
      <c r="F35" s="6">
        <f t="shared" si="20"/>
        <v>3.1761130240179295E-3</v>
      </c>
      <c r="G35" s="2"/>
      <c r="H35" s="7"/>
      <c r="I35" s="2"/>
      <c r="J35" s="6">
        <f t="shared" si="21"/>
        <v>0</v>
      </c>
      <c r="K35" s="2"/>
      <c r="L35" s="7">
        <f t="shared" si="22"/>
        <v>78</v>
      </c>
      <c r="M35" s="2"/>
      <c r="N35" s="6">
        <f t="shared" si="23"/>
        <v>0</v>
      </c>
      <c r="O35" s="11"/>
      <c r="P35" s="7">
        <v>78</v>
      </c>
      <c r="Q35" s="2"/>
      <c r="R35" s="6">
        <f t="shared" si="24"/>
        <v>3.1761130240179295E-3</v>
      </c>
      <c r="S35" s="2"/>
      <c r="T35" s="7"/>
      <c r="U35" s="2"/>
      <c r="V35" s="6">
        <f t="shared" si="25"/>
        <v>0</v>
      </c>
      <c r="W35" s="2"/>
      <c r="X35" s="7">
        <f t="shared" si="26"/>
        <v>78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866</v>
      </c>
      <c r="E36" s="2"/>
      <c r="F36" s="6">
        <f t="shared" si="20"/>
        <v>3.5262998446147782E-2</v>
      </c>
      <c r="G36" s="2"/>
      <c r="H36" s="7">
        <v>756</v>
      </c>
      <c r="I36" s="2"/>
      <c r="J36" s="6">
        <f t="shared" si="21"/>
        <v>4.5582314062143886E-2</v>
      </c>
      <c r="K36" s="2"/>
      <c r="L36" s="7">
        <f t="shared" si="22"/>
        <v>110</v>
      </c>
      <c r="M36" s="2"/>
      <c r="N36" s="6">
        <f t="shared" si="23"/>
        <v>0.14550264550264549</v>
      </c>
      <c r="O36" s="11"/>
      <c r="P36" s="7">
        <v>866</v>
      </c>
      <c r="Q36" s="2"/>
      <c r="R36" s="6">
        <f t="shared" si="24"/>
        <v>3.5262998446147782E-2</v>
      </c>
      <c r="S36" s="2"/>
      <c r="T36" s="7">
        <v>756</v>
      </c>
      <c r="U36" s="2"/>
      <c r="V36" s="6">
        <f t="shared" si="25"/>
        <v>4.5582314062143886E-2</v>
      </c>
      <c r="W36" s="2"/>
      <c r="X36" s="7">
        <f t="shared" si="26"/>
        <v>110</v>
      </c>
      <c r="Y36" s="2"/>
      <c r="Z36" s="6">
        <f t="shared" si="27"/>
        <v>0.14550264550264549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48</v>
      </c>
      <c r="E37" s="2"/>
      <c r="F37" s="6">
        <f t="shared" si="20"/>
        <v>1.9545310917033413E-3</v>
      </c>
      <c r="G37" s="2"/>
      <c r="H37" s="7"/>
      <c r="I37" s="2"/>
      <c r="J37" s="6">
        <f t="shared" si="21"/>
        <v>0</v>
      </c>
      <c r="K37" s="2"/>
      <c r="L37" s="7">
        <f t="shared" si="22"/>
        <v>48</v>
      </c>
      <c r="M37" s="2"/>
      <c r="N37" s="6">
        <f t="shared" si="23"/>
        <v>0</v>
      </c>
      <c r="O37" s="11"/>
      <c r="P37" s="7">
        <v>48</v>
      </c>
      <c r="Q37" s="2"/>
      <c r="R37" s="6">
        <f t="shared" si="24"/>
        <v>1.9545310917033413E-3</v>
      </c>
      <c r="S37" s="2"/>
      <c r="T37" s="7"/>
      <c r="U37" s="2"/>
      <c r="V37" s="6">
        <f t="shared" si="25"/>
        <v>0</v>
      </c>
      <c r="W37" s="2"/>
      <c r="X37" s="7">
        <f t="shared" si="26"/>
        <v>48</v>
      </c>
      <c r="Y37" s="2"/>
      <c r="Z37" s="6">
        <f t="shared" si="27"/>
        <v>0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4" si="28">IF(D$12=0,0,D38/D$12)</f>
        <v>0</v>
      </c>
      <c r="G38" s="1"/>
      <c r="H38" s="1">
        <f>SUM(OSRRefH22_2x_0)</f>
        <v>62</v>
      </c>
      <c r="I38" s="1"/>
      <c r="J38" s="5">
        <f t="shared" ref="J38:J54" si="29">IF(H$12=0,0,H38/H$12)</f>
        <v>3.7382321056255567E-3</v>
      </c>
      <c r="K38" s="1"/>
      <c r="L38" s="1">
        <f t="shared" ref="L38:L54" si="30">+D38-H38</f>
        <v>-62</v>
      </c>
      <c r="M38" s="1"/>
      <c r="N38" s="5">
        <f t="shared" ref="N38:N54" si="31">IF(H38=0,0,L38/H38)</f>
        <v>-1</v>
      </c>
      <c r="O38" s="14"/>
      <c r="P38" s="1">
        <f>SUM(OSRRefP22_2x_0)</f>
        <v>0</v>
      </c>
      <c r="Q38" s="1"/>
      <c r="R38" s="5">
        <f t="shared" ref="R38:R54" si="32">IF(P$12=0,0,P38/P$12)</f>
        <v>0</v>
      </c>
      <c r="S38" s="1"/>
      <c r="T38" s="1">
        <f>SUM(OSRRefT22_2x_0)</f>
        <v>62</v>
      </c>
      <c r="U38" s="1"/>
      <c r="V38" s="5">
        <f t="shared" ref="V38:V54" si="33">IF(T$12=0,0,T38/T$12)</f>
        <v>3.7382321056255567E-3</v>
      </c>
      <c r="W38" s="1"/>
      <c r="X38" s="1">
        <f t="shared" ref="X38:X54" si="34">+P38-T38</f>
        <v>-62</v>
      </c>
      <c r="Y38" s="1"/>
      <c r="Z38" s="5">
        <f t="shared" ref="Z38:Z54" si="35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8"/>
        <v>0</v>
      </c>
      <c r="G39" s="2"/>
      <c r="H39" s="7">
        <v>62</v>
      </c>
      <c r="I39" s="2"/>
      <c r="J39" s="6">
        <f t="shared" si="29"/>
        <v>3.7382321056255567E-3</v>
      </c>
      <c r="K39" s="2"/>
      <c r="L39" s="7">
        <f t="shared" si="30"/>
        <v>-62</v>
      </c>
      <c r="M39" s="2"/>
      <c r="N39" s="6">
        <f t="shared" si="31"/>
        <v>-1</v>
      </c>
      <c r="O39" s="11"/>
      <c r="P39" s="7"/>
      <c r="Q39" s="2"/>
      <c r="R39" s="6">
        <f t="shared" si="32"/>
        <v>0</v>
      </c>
      <c r="S39" s="2"/>
      <c r="T39" s="7">
        <v>62</v>
      </c>
      <c r="U39" s="2"/>
      <c r="V39" s="6">
        <f t="shared" si="33"/>
        <v>3.7382321056255567E-3</v>
      </c>
      <c r="W39" s="2"/>
      <c r="X39" s="7">
        <f t="shared" si="34"/>
        <v>-62</v>
      </c>
      <c r="Y39" s="2"/>
      <c r="Z39" s="6">
        <f t="shared" si="35"/>
        <v>-1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28"/>
        <v>0</v>
      </c>
      <c r="G40" s="1"/>
      <c r="H40" s="1">
        <f>SUM(OSRRefH22_3x_0)</f>
        <v>8.3000000000000007</v>
      </c>
      <c r="I40" s="1"/>
      <c r="J40" s="5">
        <f t="shared" si="29"/>
        <v>5.0044074962406649E-4</v>
      </c>
      <c r="K40" s="1"/>
      <c r="L40" s="1">
        <f t="shared" si="30"/>
        <v>-8.3000000000000007</v>
      </c>
      <c r="M40" s="1"/>
      <c r="N40" s="5">
        <f t="shared" si="31"/>
        <v>-1</v>
      </c>
      <c r="O40" s="14"/>
      <c r="P40" s="1">
        <f>SUM(OSRRefP22_3x_0)</f>
        <v>0</v>
      </c>
      <c r="Q40" s="1"/>
      <c r="R40" s="5">
        <f t="shared" si="32"/>
        <v>0</v>
      </c>
      <c r="S40" s="1"/>
      <c r="T40" s="1">
        <f>SUM(OSRRefT22_3x_0)</f>
        <v>8.3000000000000007</v>
      </c>
      <c r="U40" s="1"/>
      <c r="V40" s="5">
        <f t="shared" si="33"/>
        <v>5.0044074962406649E-4</v>
      </c>
      <c r="W40" s="1"/>
      <c r="X40" s="1">
        <f t="shared" si="34"/>
        <v>-8.3000000000000007</v>
      </c>
      <c r="Y40" s="1"/>
      <c r="Z40" s="5">
        <f t="shared" si="35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28"/>
        <v>0</v>
      </c>
      <c r="G41" s="2"/>
      <c r="H41" s="7">
        <v>8.3000000000000007</v>
      </c>
      <c r="I41" s="2"/>
      <c r="J41" s="6">
        <f t="shared" si="29"/>
        <v>5.0044074962406649E-4</v>
      </c>
      <c r="K41" s="2"/>
      <c r="L41" s="7">
        <f t="shared" si="30"/>
        <v>-8.3000000000000007</v>
      </c>
      <c r="M41" s="2"/>
      <c r="N41" s="6">
        <f t="shared" si="31"/>
        <v>-1</v>
      </c>
      <c r="O41" s="11"/>
      <c r="P41" s="7"/>
      <c r="Q41" s="2"/>
      <c r="R41" s="6">
        <f t="shared" si="32"/>
        <v>0</v>
      </c>
      <c r="S41" s="2"/>
      <c r="T41" s="7">
        <v>8.3000000000000007</v>
      </c>
      <c r="U41" s="2"/>
      <c r="V41" s="6">
        <f t="shared" si="33"/>
        <v>5.0044074962406649E-4</v>
      </c>
      <c r="W41" s="2"/>
      <c r="X41" s="7">
        <f t="shared" si="34"/>
        <v>-8.3000000000000007</v>
      </c>
      <c r="Y41" s="2"/>
      <c r="Z41" s="6">
        <f t="shared" si="35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505.8</v>
      </c>
      <c r="E42" s="1"/>
      <c r="F42" s="5">
        <f t="shared" si="28"/>
        <v>2.059587137882396E-2</v>
      </c>
      <c r="G42" s="1"/>
      <c r="H42" s="1">
        <f>SUM(OSRRefH22_4x_0)</f>
        <v>256.77</v>
      </c>
      <c r="I42" s="1"/>
      <c r="J42" s="5">
        <f t="shared" si="29"/>
        <v>1.5481707383249582E-2</v>
      </c>
      <c r="K42" s="1"/>
      <c r="L42" s="1">
        <f t="shared" si="30"/>
        <v>249.03000000000003</v>
      </c>
      <c r="M42" s="1"/>
      <c r="N42" s="5">
        <f t="shared" si="31"/>
        <v>0.96985629162285336</v>
      </c>
      <c r="O42" s="14"/>
      <c r="P42" s="1">
        <f>SUM(OSRRefP22_4x_0)</f>
        <v>505.8</v>
      </c>
      <c r="Q42" s="1"/>
      <c r="R42" s="5">
        <f t="shared" si="32"/>
        <v>2.059587137882396E-2</v>
      </c>
      <c r="S42" s="1"/>
      <c r="T42" s="1">
        <f>SUM(OSRRefT22_4x_0)</f>
        <v>256.77</v>
      </c>
      <c r="U42" s="1"/>
      <c r="V42" s="5">
        <f t="shared" si="33"/>
        <v>1.5481707383249582E-2</v>
      </c>
      <c r="W42" s="1"/>
      <c r="X42" s="1">
        <f t="shared" si="34"/>
        <v>249.03000000000003</v>
      </c>
      <c r="Y42" s="1"/>
      <c r="Z42" s="5">
        <f t="shared" si="35"/>
        <v>0.96985629162285336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505.8</v>
      </c>
      <c r="E43" s="2"/>
      <c r="F43" s="6">
        <f t="shared" si="28"/>
        <v>2.059587137882396E-2</v>
      </c>
      <c r="G43" s="2"/>
      <c r="H43" s="7">
        <v>256.77</v>
      </c>
      <c r="I43" s="2"/>
      <c r="J43" s="6">
        <f t="shared" si="29"/>
        <v>1.5481707383249582E-2</v>
      </c>
      <c r="K43" s="2"/>
      <c r="L43" s="7">
        <f t="shared" si="30"/>
        <v>249.03000000000003</v>
      </c>
      <c r="M43" s="2"/>
      <c r="N43" s="6">
        <f t="shared" si="31"/>
        <v>0.96985629162285336</v>
      </c>
      <c r="O43" s="11"/>
      <c r="P43" s="7">
        <v>505.8</v>
      </c>
      <c r="Q43" s="2"/>
      <c r="R43" s="6">
        <f t="shared" si="32"/>
        <v>2.059587137882396E-2</v>
      </c>
      <c r="S43" s="2"/>
      <c r="T43" s="7">
        <v>256.77</v>
      </c>
      <c r="U43" s="2"/>
      <c r="V43" s="6">
        <f t="shared" si="33"/>
        <v>1.5481707383249582E-2</v>
      </c>
      <c r="W43" s="2"/>
      <c r="X43" s="7">
        <f t="shared" si="34"/>
        <v>249.03000000000003</v>
      </c>
      <c r="Y43" s="2"/>
      <c r="Z43" s="6">
        <f t="shared" si="35"/>
        <v>0.96985629162285336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255.35</v>
      </c>
      <c r="E44" s="1"/>
      <c r="F44" s="5">
        <f t="shared" si="28"/>
        <v>1.0397698213884338E-2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255.35</v>
      </c>
      <c r="M44" s="1"/>
      <c r="N44" s="5">
        <f t="shared" si="31"/>
        <v>0</v>
      </c>
      <c r="O44" s="14"/>
      <c r="P44" s="1">
        <f>SUM(OSRRefP22_5x_0)</f>
        <v>255.35</v>
      </c>
      <c r="Q44" s="1"/>
      <c r="R44" s="5">
        <f t="shared" si="32"/>
        <v>1.0397698213884338E-2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255.35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255.35</v>
      </c>
      <c r="E45" s="2"/>
      <c r="F45" s="6">
        <f t="shared" si="28"/>
        <v>1.0397698213884338E-2</v>
      </c>
      <c r="G45" s="2"/>
      <c r="H45" s="7"/>
      <c r="I45" s="2"/>
      <c r="J45" s="6">
        <f t="shared" si="29"/>
        <v>0</v>
      </c>
      <c r="K45" s="2"/>
      <c r="L45" s="7">
        <f t="shared" si="30"/>
        <v>255.35</v>
      </c>
      <c r="M45" s="2"/>
      <c r="N45" s="6">
        <f t="shared" si="31"/>
        <v>0</v>
      </c>
      <c r="O45" s="11"/>
      <c r="P45" s="7">
        <v>255.35</v>
      </c>
      <c r="Q45" s="2"/>
      <c r="R45" s="6">
        <f t="shared" si="32"/>
        <v>1.0397698213884338E-2</v>
      </c>
      <c r="S45" s="2"/>
      <c r="T45" s="7"/>
      <c r="U45" s="2"/>
      <c r="V45" s="6">
        <f t="shared" si="33"/>
        <v>0</v>
      </c>
      <c r="W45" s="2"/>
      <c r="X45" s="7">
        <f t="shared" si="34"/>
        <v>255.35</v>
      </c>
      <c r="Y45" s="2"/>
      <c r="Z45" s="6">
        <f t="shared" si="35"/>
        <v>0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4973.49</v>
      </c>
      <c r="E46" s="1"/>
      <c r="F46" s="5">
        <f t="shared" si="28"/>
        <v>0.2025175174849094</v>
      </c>
      <c r="G46" s="1"/>
      <c r="H46" s="1">
        <f>SUM(OSRRefH22_6x_0)</f>
        <v>1888.34</v>
      </c>
      <c r="I46" s="1"/>
      <c r="J46" s="5">
        <f t="shared" si="29"/>
        <v>0.11385569700543489</v>
      </c>
      <c r="K46" s="1"/>
      <c r="L46" s="1">
        <f t="shared" si="30"/>
        <v>3085.1499999999996</v>
      </c>
      <c r="M46" s="1"/>
      <c r="N46" s="5">
        <f t="shared" si="31"/>
        <v>1.6337894658800851</v>
      </c>
      <c r="O46" s="14"/>
      <c r="P46" s="1">
        <f>SUM(OSRRefP22_6x_0)</f>
        <v>4973.49</v>
      </c>
      <c r="Q46" s="1"/>
      <c r="R46" s="5">
        <f t="shared" si="32"/>
        <v>0.2025175174849094</v>
      </c>
      <c r="S46" s="1"/>
      <c r="T46" s="1">
        <f>SUM(OSRRefT22_6x_0)</f>
        <v>1888.34</v>
      </c>
      <c r="U46" s="1"/>
      <c r="V46" s="5">
        <f t="shared" si="33"/>
        <v>0.11385569700543489</v>
      </c>
      <c r="W46" s="1"/>
      <c r="X46" s="1">
        <f t="shared" si="34"/>
        <v>3085.1499999999996</v>
      </c>
      <c r="Y46" s="1"/>
      <c r="Z46" s="5">
        <f t="shared" si="35"/>
        <v>1.6337894658800851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4973.49</v>
      </c>
      <c r="E47" s="2"/>
      <c r="F47" s="6">
        <f t="shared" si="28"/>
        <v>0.2025175174849094</v>
      </c>
      <c r="G47" s="2"/>
      <c r="H47" s="7">
        <v>1888.34</v>
      </c>
      <c r="I47" s="2"/>
      <c r="J47" s="6">
        <f t="shared" si="29"/>
        <v>0.11385569700543489</v>
      </c>
      <c r="K47" s="2"/>
      <c r="L47" s="7">
        <f t="shared" si="30"/>
        <v>3085.1499999999996</v>
      </c>
      <c r="M47" s="2"/>
      <c r="N47" s="6">
        <f t="shared" si="31"/>
        <v>1.6337894658800851</v>
      </c>
      <c r="O47" s="11"/>
      <c r="P47" s="7">
        <v>4973.49</v>
      </c>
      <c r="Q47" s="2"/>
      <c r="R47" s="6">
        <f t="shared" si="32"/>
        <v>0.2025175174849094</v>
      </c>
      <c r="S47" s="2"/>
      <c r="T47" s="7">
        <v>1888.34</v>
      </c>
      <c r="U47" s="2"/>
      <c r="V47" s="6">
        <f t="shared" si="33"/>
        <v>0.11385569700543489</v>
      </c>
      <c r="W47" s="2"/>
      <c r="X47" s="7">
        <f t="shared" si="34"/>
        <v>3085.1499999999996</v>
      </c>
      <c r="Y47" s="2"/>
      <c r="Z47" s="6">
        <f t="shared" si="35"/>
        <v>1.6337894658800851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838.95</v>
      </c>
      <c r="E48" s="1"/>
      <c r="F48" s="5">
        <f t="shared" si="28"/>
        <v>3.4161538737177463E-2</v>
      </c>
      <c r="G48" s="1"/>
      <c r="H48" s="1">
        <f>SUM(OSRRefH22_7x_0)</f>
        <v>631.42999999999995</v>
      </c>
      <c r="I48" s="1"/>
      <c r="J48" s="5">
        <f t="shared" si="29"/>
        <v>3.8071482233147505E-2</v>
      </c>
      <c r="K48" s="1"/>
      <c r="L48" s="1">
        <f t="shared" si="30"/>
        <v>207.5200000000001</v>
      </c>
      <c r="M48" s="1"/>
      <c r="N48" s="5">
        <f t="shared" si="31"/>
        <v>0.32865084015647039</v>
      </c>
      <c r="O48" s="14"/>
      <c r="P48" s="1">
        <f>SUM(OSRRefP22_7x_0)</f>
        <v>838.95</v>
      </c>
      <c r="Q48" s="1"/>
      <c r="R48" s="5">
        <f t="shared" si="32"/>
        <v>3.4161538737177463E-2</v>
      </c>
      <c r="S48" s="1"/>
      <c r="T48" s="1">
        <f>SUM(OSRRefT22_7x_0)</f>
        <v>631.42999999999995</v>
      </c>
      <c r="U48" s="1"/>
      <c r="V48" s="5">
        <f t="shared" si="33"/>
        <v>3.8071482233147505E-2</v>
      </c>
      <c r="W48" s="1"/>
      <c r="X48" s="1">
        <f t="shared" si="34"/>
        <v>207.5200000000001</v>
      </c>
      <c r="Y48" s="1"/>
      <c r="Z48" s="5">
        <f t="shared" si="35"/>
        <v>0.32865084015647039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838.95</v>
      </c>
      <c r="E49" s="2"/>
      <c r="F49" s="6">
        <f t="shared" si="28"/>
        <v>3.4161538737177463E-2</v>
      </c>
      <c r="G49" s="2"/>
      <c r="H49" s="7">
        <v>631.42999999999995</v>
      </c>
      <c r="I49" s="2"/>
      <c r="J49" s="6">
        <f t="shared" si="29"/>
        <v>3.8071482233147505E-2</v>
      </c>
      <c r="K49" s="2"/>
      <c r="L49" s="7">
        <f t="shared" si="30"/>
        <v>207.5200000000001</v>
      </c>
      <c r="M49" s="2"/>
      <c r="N49" s="6">
        <f t="shared" si="31"/>
        <v>0.32865084015647039</v>
      </c>
      <c r="O49" s="11"/>
      <c r="P49" s="7">
        <v>838.95</v>
      </c>
      <c r="Q49" s="2"/>
      <c r="R49" s="6">
        <f t="shared" si="32"/>
        <v>3.4161538737177463E-2</v>
      </c>
      <c r="S49" s="2"/>
      <c r="T49" s="7">
        <v>631.42999999999995</v>
      </c>
      <c r="U49" s="2"/>
      <c r="V49" s="6">
        <f t="shared" si="33"/>
        <v>3.8071482233147505E-2</v>
      </c>
      <c r="W49" s="2"/>
      <c r="X49" s="7">
        <f t="shared" si="34"/>
        <v>207.5200000000001</v>
      </c>
      <c r="Y49" s="2"/>
      <c r="Z49" s="6">
        <f t="shared" si="35"/>
        <v>0.32865084015647039</v>
      </c>
    </row>
    <row r="50" spans="1:26" s="28" customFormat="1" outlineLevel="1" collapsed="1" x14ac:dyDescent="0.25">
      <c r="A50" s="27"/>
      <c r="B50" s="14" t="str">
        <f>CONCATENATE("     ","Royalty &amp; Commissions                             ")</f>
        <v xml:space="preserve">     Royalty &amp; Commissions                             </v>
      </c>
      <c r="C50" s="14"/>
      <c r="D50" s="1">
        <f>SUM(OSRRefD22_8x_0)</f>
        <v>6354.66</v>
      </c>
      <c r="E50" s="1"/>
      <c r="F50" s="5">
        <f t="shared" si="28"/>
        <v>0.25875792806674069</v>
      </c>
      <c r="G50" s="1"/>
      <c r="H50" s="1">
        <f>SUM(OSRRefH22_8x_0)</f>
        <v>3892.27</v>
      </c>
      <c r="I50" s="1"/>
      <c r="J50" s="5">
        <f t="shared" si="29"/>
        <v>0.23468078512521268</v>
      </c>
      <c r="K50" s="1"/>
      <c r="L50" s="1">
        <f t="shared" si="30"/>
        <v>2462.39</v>
      </c>
      <c r="M50" s="1"/>
      <c r="N50" s="5">
        <f t="shared" si="31"/>
        <v>0.63263596821392143</v>
      </c>
      <c r="O50" s="14"/>
      <c r="P50" s="1">
        <f>SUM(OSRRefP22_8x_0)</f>
        <v>6354.66</v>
      </c>
      <c r="Q50" s="1"/>
      <c r="R50" s="5">
        <f t="shared" si="32"/>
        <v>0.25875792806674069</v>
      </c>
      <c r="S50" s="1"/>
      <c r="T50" s="1">
        <f>SUM(OSRRefT22_8x_0)</f>
        <v>3892.27</v>
      </c>
      <c r="U50" s="1"/>
      <c r="V50" s="5">
        <f t="shared" si="33"/>
        <v>0.23468078512521268</v>
      </c>
      <c r="W50" s="1"/>
      <c r="X50" s="1">
        <f t="shared" si="34"/>
        <v>2462.39</v>
      </c>
      <c r="Y50" s="1"/>
      <c r="Z50" s="5">
        <f t="shared" si="35"/>
        <v>0.63263596821392143</v>
      </c>
    </row>
    <row r="51" spans="1:26" s="24" customFormat="1" hidden="1" outlineLevel="2" x14ac:dyDescent="0.25">
      <c r="A51" s="29"/>
      <c r="B51" s="11" t="str">
        <f>CONCATENATE("          ", "6254", " - ", "ROYALTY &amp; COMMISSIONS")</f>
        <v xml:space="preserve">          6254 - ROYALTY &amp; COMMISSIONS</v>
      </c>
      <c r="C51" s="11"/>
      <c r="D51" s="7">
        <v>6354.66</v>
      </c>
      <c r="E51" s="2"/>
      <c r="F51" s="6">
        <f t="shared" si="28"/>
        <v>0.25875792806674069</v>
      </c>
      <c r="G51" s="2"/>
      <c r="H51" s="7">
        <v>3892.27</v>
      </c>
      <c r="I51" s="2"/>
      <c r="J51" s="6">
        <f t="shared" si="29"/>
        <v>0.23468078512521268</v>
      </c>
      <c r="K51" s="2"/>
      <c r="L51" s="7">
        <f t="shared" si="30"/>
        <v>2462.39</v>
      </c>
      <c r="M51" s="2"/>
      <c r="N51" s="6">
        <f t="shared" si="31"/>
        <v>0.63263596821392143</v>
      </c>
      <c r="O51" s="11"/>
      <c r="P51" s="7">
        <v>6354.66</v>
      </c>
      <c r="Q51" s="2"/>
      <c r="R51" s="6">
        <f t="shared" si="32"/>
        <v>0.25875792806674069</v>
      </c>
      <c r="S51" s="2"/>
      <c r="T51" s="7">
        <v>3892.27</v>
      </c>
      <c r="U51" s="2"/>
      <c r="V51" s="6">
        <f t="shared" si="33"/>
        <v>0.23468078512521268</v>
      </c>
      <c r="W51" s="2"/>
      <c r="X51" s="7">
        <f t="shared" si="34"/>
        <v>2462.39</v>
      </c>
      <c r="Y51" s="2"/>
      <c r="Z51" s="6">
        <f t="shared" si="35"/>
        <v>0.63263596821392143</v>
      </c>
    </row>
    <row r="52" spans="1:26" s="28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233.93</v>
      </c>
      <c r="E52" s="1"/>
      <c r="F52" s="5">
        <f t="shared" si="28"/>
        <v>9.5254887142117214E-3</v>
      </c>
      <c r="G52" s="1"/>
      <c r="H52" s="1">
        <f>SUM(OSRRefH22_9x_0)</f>
        <v>245.31</v>
      </c>
      <c r="I52" s="1"/>
      <c r="J52" s="5">
        <f t="shared" si="29"/>
        <v>1.4790737384371054E-2</v>
      </c>
      <c r="K52" s="1"/>
      <c r="L52" s="1">
        <f t="shared" si="30"/>
        <v>-11.379999999999995</v>
      </c>
      <c r="M52" s="1"/>
      <c r="N52" s="5">
        <f t="shared" si="31"/>
        <v>-4.6390281684399313E-2</v>
      </c>
      <c r="O52" s="14"/>
      <c r="P52" s="1">
        <f>SUM(OSRRefP22_9x_0)</f>
        <v>233.93</v>
      </c>
      <c r="Q52" s="1"/>
      <c r="R52" s="5">
        <f t="shared" si="32"/>
        <v>9.5254887142117214E-3</v>
      </c>
      <c r="S52" s="1"/>
      <c r="T52" s="1">
        <f>SUM(OSRRefT22_9x_0)</f>
        <v>245.31</v>
      </c>
      <c r="U52" s="1"/>
      <c r="V52" s="5">
        <f t="shared" si="33"/>
        <v>1.4790737384371054E-2</v>
      </c>
      <c r="W52" s="1"/>
      <c r="X52" s="1">
        <f t="shared" si="34"/>
        <v>-11.379999999999995</v>
      </c>
      <c r="Y52" s="1"/>
      <c r="Z52" s="5">
        <f t="shared" si="35"/>
        <v>-4.6390281684399313E-2</v>
      </c>
    </row>
    <row r="53" spans="1:26" s="24" customFormat="1" hidden="1" outlineLevel="2" x14ac:dyDescent="0.25">
      <c r="A53" s="29"/>
      <c r="B53" s="11" t="str">
        <f>CONCATENATE("          ", "6282", " - ", "JANITORIAL/EXTERMINATOR EXPENS")</f>
        <v xml:space="preserve">          6282 - JANITORIAL/EXTERMINATOR EXPENS</v>
      </c>
      <c r="C53" s="11"/>
      <c r="D53" s="7">
        <v>225.81</v>
      </c>
      <c r="E53" s="2"/>
      <c r="F53" s="6">
        <f t="shared" si="28"/>
        <v>9.1948472045319061E-3</v>
      </c>
      <c r="G53" s="2"/>
      <c r="H53" s="7">
        <v>225.81</v>
      </c>
      <c r="I53" s="2"/>
      <c r="J53" s="6">
        <f t="shared" si="29"/>
        <v>1.3615003093085597E-2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225.81</v>
      </c>
      <c r="Q53" s="2"/>
      <c r="R53" s="6">
        <f t="shared" si="32"/>
        <v>9.1948472045319061E-3</v>
      </c>
      <c r="S53" s="2"/>
      <c r="T53" s="7">
        <v>225.81</v>
      </c>
      <c r="U53" s="2"/>
      <c r="V53" s="6">
        <f t="shared" si="33"/>
        <v>1.3615003093085597E-2</v>
      </c>
      <c r="W53" s="2"/>
      <c r="X53" s="7">
        <f t="shared" si="34"/>
        <v>0</v>
      </c>
      <c r="Y53" s="2"/>
      <c r="Z53" s="6">
        <f t="shared" si="35"/>
        <v>0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>
        <v>8.1199999999999992</v>
      </c>
      <c r="E54" s="2"/>
      <c r="F54" s="6">
        <f t="shared" si="28"/>
        <v>3.3064150967981518E-4</v>
      </c>
      <c r="G54" s="2"/>
      <c r="H54" s="7">
        <v>19.5</v>
      </c>
      <c r="I54" s="2"/>
      <c r="J54" s="6">
        <f t="shared" si="29"/>
        <v>1.1757342912854575E-3</v>
      </c>
      <c r="K54" s="2"/>
      <c r="L54" s="7">
        <f t="shared" si="30"/>
        <v>-11.38</v>
      </c>
      <c r="M54" s="2"/>
      <c r="N54" s="6">
        <f t="shared" si="31"/>
        <v>-0.58358974358974358</v>
      </c>
      <c r="O54" s="11"/>
      <c r="P54" s="7">
        <v>8.1199999999999992</v>
      </c>
      <c r="Q54" s="2"/>
      <c r="R54" s="6">
        <f t="shared" si="32"/>
        <v>3.3064150967981518E-4</v>
      </c>
      <c r="S54" s="2"/>
      <c r="T54" s="7">
        <v>19.5</v>
      </c>
      <c r="U54" s="2"/>
      <c r="V54" s="6">
        <f t="shared" si="33"/>
        <v>1.1757342912854575E-3</v>
      </c>
      <c r="W54" s="2"/>
      <c r="X54" s="7">
        <f t="shared" si="34"/>
        <v>-11.38</v>
      </c>
      <c r="Y54" s="2"/>
      <c r="Z54" s="6">
        <f t="shared" si="35"/>
        <v>-0.58358974358974358</v>
      </c>
    </row>
    <row r="55" spans="1:26" s="28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1406.46</v>
      </c>
      <c r="E55" s="1"/>
      <c r="F55" s="5">
        <f t="shared" ref="F55:F58" si="36">IF(D$12=0,0,D55/D$12)</f>
        <v>5.7270204150772532E-2</v>
      </c>
      <c r="G55" s="1"/>
      <c r="H55" s="1">
        <f>SUM(OSRRefH22_10x_0)</f>
        <v>1.24</v>
      </c>
      <c r="I55" s="1"/>
      <c r="J55" s="5">
        <f t="shared" ref="J55:J58" si="37">IF(H$12=0,0,H55/H$12)</f>
        <v>7.476464211251113E-5</v>
      </c>
      <c r="K55" s="1"/>
      <c r="L55" s="1">
        <f t="shared" ref="L55:L58" si="38">+D55-H55</f>
        <v>1405.22</v>
      </c>
      <c r="M55" s="1"/>
      <c r="N55" s="5">
        <f t="shared" ref="N55:N58" si="39">IF(H55=0,0,L55/H55)</f>
        <v>1133.241935483871</v>
      </c>
      <c r="O55" s="14"/>
      <c r="P55" s="1">
        <f>SUM(OSRRefP22_10x_0)</f>
        <v>1406.46</v>
      </c>
      <c r="Q55" s="1"/>
      <c r="R55" s="5">
        <f t="shared" ref="R55:R58" si="40">IF(P$12=0,0,P55/P$12)</f>
        <v>5.7270204150772532E-2</v>
      </c>
      <c r="S55" s="1"/>
      <c r="T55" s="1">
        <f>SUM(OSRRefT22_10x_0)</f>
        <v>1.24</v>
      </c>
      <c r="U55" s="1"/>
      <c r="V55" s="5">
        <f t="shared" ref="V55:V58" si="41">IF(T$12=0,0,T55/T$12)</f>
        <v>7.476464211251113E-5</v>
      </c>
      <c r="W55" s="1"/>
      <c r="X55" s="1">
        <f t="shared" ref="X55:X58" si="42">+P55-T55</f>
        <v>1405.22</v>
      </c>
      <c r="Y55" s="1"/>
      <c r="Z55" s="5">
        <f t="shared" ref="Z55:Z58" si="43">IF(T55=0,0,X55/T55)</f>
        <v>1133.241935483871</v>
      </c>
    </row>
    <row r="56" spans="1:26" s="24" customFormat="1" hidden="1" outlineLevel="2" x14ac:dyDescent="0.25">
      <c r="A56" s="29"/>
      <c r="B56" s="11" t="str">
        <f>CONCATENATE("          ", "6239", " - ", "KITCHEN SUPPLIES")</f>
        <v xml:space="preserve">          6239 - KITCHEN SUPPLIES</v>
      </c>
      <c r="C56" s="11"/>
      <c r="D56" s="7">
        <v>1348.63</v>
      </c>
      <c r="E56" s="2"/>
      <c r="F56" s="6">
        <f t="shared" si="36"/>
        <v>5.4915401379247449E-2</v>
      </c>
      <c r="G56" s="2"/>
      <c r="H56" s="7"/>
      <c r="I56" s="2"/>
      <c r="J56" s="6">
        <f t="shared" si="37"/>
        <v>0</v>
      </c>
      <c r="K56" s="2"/>
      <c r="L56" s="7">
        <f t="shared" si="38"/>
        <v>1348.63</v>
      </c>
      <c r="M56" s="2"/>
      <c r="N56" s="6">
        <f t="shared" si="39"/>
        <v>0</v>
      </c>
      <c r="O56" s="11"/>
      <c r="P56" s="7">
        <v>1348.63</v>
      </c>
      <c r="Q56" s="2"/>
      <c r="R56" s="6">
        <f t="shared" si="40"/>
        <v>5.4915401379247449E-2</v>
      </c>
      <c r="S56" s="2"/>
      <c r="T56" s="7"/>
      <c r="U56" s="2"/>
      <c r="V56" s="6">
        <f t="shared" si="41"/>
        <v>0</v>
      </c>
      <c r="W56" s="2"/>
      <c r="X56" s="7">
        <f t="shared" si="42"/>
        <v>1348.63</v>
      </c>
      <c r="Y56" s="2"/>
      <c r="Z56" s="6">
        <f t="shared" si="43"/>
        <v>0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7">
        <v>57.83</v>
      </c>
      <c r="E57" s="2"/>
      <c r="F57" s="6">
        <f t="shared" si="36"/>
        <v>2.3548027715250882E-3</v>
      </c>
      <c r="G57" s="2"/>
      <c r="H57" s="7"/>
      <c r="I57" s="2"/>
      <c r="J57" s="6">
        <f t="shared" si="37"/>
        <v>0</v>
      </c>
      <c r="K57" s="2"/>
      <c r="L57" s="7">
        <f t="shared" si="38"/>
        <v>57.83</v>
      </c>
      <c r="M57" s="2"/>
      <c r="N57" s="6">
        <f t="shared" si="39"/>
        <v>0</v>
      </c>
      <c r="O57" s="11"/>
      <c r="P57" s="7">
        <v>57.83</v>
      </c>
      <c r="Q57" s="2"/>
      <c r="R57" s="6">
        <f t="shared" si="40"/>
        <v>2.3548027715250882E-3</v>
      </c>
      <c r="S57" s="2"/>
      <c r="T57" s="7"/>
      <c r="U57" s="2"/>
      <c r="V57" s="6">
        <f t="shared" si="41"/>
        <v>0</v>
      </c>
      <c r="W57" s="2"/>
      <c r="X57" s="7">
        <f t="shared" si="42"/>
        <v>57.83</v>
      </c>
      <c r="Y57" s="2"/>
      <c r="Z57" s="6">
        <f t="shared" si="43"/>
        <v>0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7"/>
      <c r="E58" s="2"/>
      <c r="F58" s="6">
        <f t="shared" si="36"/>
        <v>0</v>
      </c>
      <c r="G58" s="2"/>
      <c r="H58" s="7">
        <v>1.24</v>
      </c>
      <c r="I58" s="2"/>
      <c r="J58" s="6">
        <f t="shared" si="37"/>
        <v>7.476464211251113E-5</v>
      </c>
      <c r="K58" s="2"/>
      <c r="L58" s="7">
        <f t="shared" si="38"/>
        <v>-1.24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1.24</v>
      </c>
      <c r="U58" s="2"/>
      <c r="V58" s="6">
        <f t="shared" si="41"/>
        <v>7.476464211251113E-5</v>
      </c>
      <c r="W58" s="2"/>
      <c r="X58" s="7">
        <f t="shared" si="42"/>
        <v>-1.24</v>
      </c>
      <c r="Y58" s="2"/>
      <c r="Z58" s="6">
        <f t="shared" si="43"/>
        <v>-1</v>
      </c>
    </row>
    <row r="59" spans="1:26" s="28" customFormat="1" outlineLevel="1" collapsed="1" x14ac:dyDescent="0.25">
      <c r="A59" s="27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SUM(OSRRefD22_11x_0)</f>
        <v>221.43</v>
      </c>
      <c r="E59" s="1"/>
      <c r="F59" s="5">
        <f t="shared" ref="F59:F64" si="44">IF(D$12=0,0,D59/D$12)</f>
        <v>9.0164962424139766E-3</v>
      </c>
      <c r="G59" s="1"/>
      <c r="H59" s="1">
        <f>SUM(OSRRefH22_11x_0)</f>
        <v>451.66</v>
      </c>
      <c r="I59" s="1"/>
      <c r="J59" s="5">
        <f t="shared" ref="J59:J64" si="45">IF(H$12=0,0,H59/H$12)</f>
        <v>2.7232417948819986E-2</v>
      </c>
      <c r="K59" s="1"/>
      <c r="L59" s="1">
        <f t="shared" ref="L59:L64" si="46">+D59-H59</f>
        <v>-230.23000000000002</v>
      </c>
      <c r="M59" s="1"/>
      <c r="N59" s="5">
        <f t="shared" ref="N59:N64" si="47">IF(H59=0,0,L59/H59)</f>
        <v>-0.50974184120798827</v>
      </c>
      <c r="O59" s="14"/>
      <c r="P59" s="1">
        <f>SUM(OSRRefP22_11x_0)</f>
        <v>221.43</v>
      </c>
      <c r="Q59" s="1"/>
      <c r="R59" s="5">
        <f t="shared" ref="R59:R64" si="48">IF(P$12=0,0,P59/P$12)</f>
        <v>9.0164962424139766E-3</v>
      </c>
      <c r="S59" s="1"/>
      <c r="T59" s="1">
        <f>SUM(OSRRefT22_11x_0)</f>
        <v>451.66</v>
      </c>
      <c r="U59" s="1"/>
      <c r="V59" s="5">
        <f t="shared" ref="V59:V64" si="49">IF(T$12=0,0,T59/T$12)</f>
        <v>2.7232417948819986E-2</v>
      </c>
      <c r="W59" s="1"/>
      <c r="X59" s="1">
        <f t="shared" ref="X59:X64" si="50">+P59-T59</f>
        <v>-230.23000000000002</v>
      </c>
      <c r="Y59" s="1"/>
      <c r="Z59" s="5">
        <f t="shared" ref="Z59:Z64" si="51">IF(T59=0,0,X59/T59)</f>
        <v>-0.50974184120798827</v>
      </c>
    </row>
    <row r="60" spans="1:26" s="24" customFormat="1" hidden="1" outlineLevel="2" x14ac:dyDescent="0.25">
      <c r="A60" s="29"/>
      <c r="B60" s="11" t="str">
        <f>CONCATENATE("          ", "6309", " - ", "TELEPHONE")</f>
        <v xml:space="preserve">          6309 - TELEPHONE</v>
      </c>
      <c r="C60" s="11"/>
      <c r="D60" s="7">
        <v>221.43</v>
      </c>
      <c r="E60" s="2"/>
      <c r="F60" s="6">
        <f t="shared" si="44"/>
        <v>9.0164962424139766E-3</v>
      </c>
      <c r="G60" s="2"/>
      <c r="H60" s="7">
        <v>451.66</v>
      </c>
      <c r="I60" s="2"/>
      <c r="J60" s="6">
        <f t="shared" si="45"/>
        <v>2.7232417948819986E-2</v>
      </c>
      <c r="K60" s="2"/>
      <c r="L60" s="7">
        <f t="shared" si="46"/>
        <v>-230.23000000000002</v>
      </c>
      <c r="M60" s="2"/>
      <c r="N60" s="6">
        <f t="shared" si="47"/>
        <v>-0.50974184120798827</v>
      </c>
      <c r="O60" s="11"/>
      <c r="P60" s="7">
        <v>221.43</v>
      </c>
      <c r="Q60" s="2"/>
      <c r="R60" s="6">
        <f t="shared" si="48"/>
        <v>9.0164962424139766E-3</v>
      </c>
      <c r="S60" s="2"/>
      <c r="T60" s="7">
        <v>451.66</v>
      </c>
      <c r="U60" s="2"/>
      <c r="V60" s="6">
        <f t="shared" si="49"/>
        <v>2.7232417948819986E-2</v>
      </c>
      <c r="W60" s="2"/>
      <c r="X60" s="7">
        <f t="shared" si="50"/>
        <v>-230.23000000000002</v>
      </c>
      <c r="Y60" s="2"/>
      <c r="Z60" s="6">
        <f t="shared" si="51"/>
        <v>-0.50974184120798827</v>
      </c>
    </row>
    <row r="61" spans="1:26" s="28" customFormat="1" outlineLevel="1" collapsed="1" x14ac:dyDescent="0.25">
      <c r="A61" s="27"/>
      <c r="B61" s="14" t="str">
        <f>CONCATENATE("     ","Training                                          ")</f>
        <v xml:space="preserve">     Training                                          </v>
      </c>
      <c r="C61" s="14"/>
      <c r="D61" s="1">
        <f>SUM(OSRRefD22_12x_0)</f>
        <v>152.94999999999999</v>
      </c>
      <c r="E61" s="1"/>
      <c r="F61" s="5">
        <f t="shared" si="44"/>
        <v>6.2280318849172091E-3</v>
      </c>
      <c r="G61" s="1"/>
      <c r="H61" s="1">
        <f>SUM(OSRRefH22_12x_0)</f>
        <v>98.83</v>
      </c>
      <c r="I61" s="1"/>
      <c r="J61" s="5">
        <f t="shared" si="45"/>
        <v>5.958862564499577E-3</v>
      </c>
      <c r="K61" s="1"/>
      <c r="L61" s="1">
        <f t="shared" si="46"/>
        <v>54.11999999999999</v>
      </c>
      <c r="M61" s="1"/>
      <c r="N61" s="5">
        <f t="shared" si="47"/>
        <v>0.54760700192249312</v>
      </c>
      <c r="O61" s="14"/>
      <c r="P61" s="1">
        <f>SUM(OSRRefP22_12x_0)</f>
        <v>152.94999999999999</v>
      </c>
      <c r="Q61" s="1"/>
      <c r="R61" s="5">
        <f t="shared" si="48"/>
        <v>6.2280318849172091E-3</v>
      </c>
      <c r="S61" s="1"/>
      <c r="T61" s="1">
        <f>SUM(OSRRefT22_12x_0)</f>
        <v>98.83</v>
      </c>
      <c r="U61" s="1"/>
      <c r="V61" s="5">
        <f t="shared" si="49"/>
        <v>5.958862564499577E-3</v>
      </c>
      <c r="W61" s="1"/>
      <c r="X61" s="1">
        <f t="shared" si="50"/>
        <v>54.11999999999999</v>
      </c>
      <c r="Y61" s="1"/>
      <c r="Z61" s="5">
        <f t="shared" si="51"/>
        <v>0.54760700192249312</v>
      </c>
    </row>
    <row r="62" spans="1:26" s="24" customFormat="1" hidden="1" outlineLevel="2" x14ac:dyDescent="0.25">
      <c r="A62" s="29"/>
      <c r="B62" s="11" t="str">
        <f>CONCATENATE("          ", "6376", " - ", "TRAINING")</f>
        <v xml:space="preserve">          6376 - TRAINING</v>
      </c>
      <c r="C62" s="11"/>
      <c r="D62" s="7">
        <v>152.94999999999999</v>
      </c>
      <c r="E62" s="2"/>
      <c r="F62" s="6">
        <f t="shared" si="44"/>
        <v>6.2280318849172091E-3</v>
      </c>
      <c r="G62" s="2"/>
      <c r="H62" s="7">
        <v>98.83</v>
      </c>
      <c r="I62" s="2"/>
      <c r="J62" s="6">
        <f t="shared" si="45"/>
        <v>5.958862564499577E-3</v>
      </c>
      <c r="K62" s="2"/>
      <c r="L62" s="7">
        <f t="shared" si="46"/>
        <v>54.11999999999999</v>
      </c>
      <c r="M62" s="2"/>
      <c r="N62" s="6">
        <f t="shared" si="47"/>
        <v>0.54760700192249312</v>
      </c>
      <c r="O62" s="11"/>
      <c r="P62" s="7">
        <v>152.94999999999999</v>
      </c>
      <c r="Q62" s="2"/>
      <c r="R62" s="6">
        <f t="shared" si="48"/>
        <v>6.2280318849172091E-3</v>
      </c>
      <c r="S62" s="2"/>
      <c r="T62" s="7">
        <v>98.83</v>
      </c>
      <c r="U62" s="2"/>
      <c r="V62" s="6">
        <f t="shared" si="49"/>
        <v>5.958862564499577E-3</v>
      </c>
      <c r="W62" s="2"/>
      <c r="X62" s="7">
        <f t="shared" si="50"/>
        <v>54.11999999999999</v>
      </c>
      <c r="Y62" s="2"/>
      <c r="Z62" s="6">
        <f t="shared" si="51"/>
        <v>0.54760700192249312</v>
      </c>
    </row>
    <row r="63" spans="1:26" s="28" customFormat="1" outlineLevel="1" collapsed="1" x14ac:dyDescent="0.25">
      <c r="A63" s="27"/>
      <c r="B63" s="14" t="str">
        <f>CONCATENATE("     ","Travel                                            ")</f>
        <v xml:space="preserve">     Travel                                            </v>
      </c>
      <c r="C63" s="14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1258.9000000000001</v>
      </c>
      <c r="I63" s="1"/>
      <c r="J63" s="5">
        <f t="shared" si="45"/>
        <v>7.5904199964064736E-2</v>
      </c>
      <c r="K63" s="1"/>
      <c r="L63" s="1">
        <f t="shared" si="46"/>
        <v>-1258.9000000000001</v>
      </c>
      <c r="M63" s="1"/>
      <c r="N63" s="5">
        <f t="shared" si="47"/>
        <v>-1</v>
      </c>
      <c r="O63" s="14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1258.9000000000001</v>
      </c>
      <c r="U63" s="1"/>
      <c r="V63" s="5">
        <f t="shared" si="49"/>
        <v>7.5904199964064736E-2</v>
      </c>
      <c r="W63" s="1"/>
      <c r="X63" s="1">
        <f t="shared" si="50"/>
        <v>-1258.9000000000001</v>
      </c>
      <c r="Y63" s="1"/>
      <c r="Z63" s="5">
        <f t="shared" si="51"/>
        <v>-1</v>
      </c>
    </row>
    <row r="64" spans="1:26" s="24" customFormat="1" hidden="1" outlineLevel="2" x14ac:dyDescent="0.25">
      <c r="A64" s="29"/>
      <c r="B64" s="11" t="str">
        <f>CONCATENATE("          ", "6294", " - ", "TRAVEL OPERATIONAL")</f>
        <v xml:space="preserve">          6294 - TRAVEL OPERATIONAL</v>
      </c>
      <c r="C64" s="11"/>
      <c r="D64" s="7"/>
      <c r="E64" s="2"/>
      <c r="F64" s="6">
        <f t="shared" si="44"/>
        <v>0</v>
      </c>
      <c r="G64" s="2"/>
      <c r="H64" s="7">
        <v>1258.9000000000001</v>
      </c>
      <c r="I64" s="2"/>
      <c r="J64" s="6">
        <f t="shared" si="45"/>
        <v>7.5904199964064736E-2</v>
      </c>
      <c r="K64" s="2"/>
      <c r="L64" s="7">
        <f t="shared" si="46"/>
        <v>-1258.9000000000001</v>
      </c>
      <c r="M64" s="2"/>
      <c r="N64" s="6">
        <f t="shared" si="47"/>
        <v>-1</v>
      </c>
      <c r="O64" s="11"/>
      <c r="P64" s="7"/>
      <c r="Q64" s="2"/>
      <c r="R64" s="6">
        <f t="shared" si="48"/>
        <v>0</v>
      </c>
      <c r="S64" s="2"/>
      <c r="T64" s="7">
        <v>1258.9000000000001</v>
      </c>
      <c r="U64" s="2"/>
      <c r="V64" s="6">
        <f t="shared" si="49"/>
        <v>7.5904199964064736E-2</v>
      </c>
      <c r="W64" s="2"/>
      <c r="X64" s="7">
        <f t="shared" si="50"/>
        <v>-1258.9000000000001</v>
      </c>
      <c r="Y64" s="2"/>
      <c r="Z64" s="6">
        <f t="shared" si="51"/>
        <v>-1</v>
      </c>
    </row>
    <row r="65" spans="1:26" s="54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6" t="s">
        <v>0</v>
      </c>
      <c r="C66" s="10"/>
      <c r="D66" s="4">
        <f>SUM(OSRRefD25x_0)</f>
        <v>29281.48</v>
      </c>
      <c r="E66" s="4"/>
      <c r="F66" s="12">
        <f t="shared" ref="F66:F67" si="52">IF(D$12=0,0,D66/D$12)</f>
        <v>1.1923242306476991</v>
      </c>
      <c r="G66" s="4"/>
      <c r="H66" s="4">
        <f>SUM(OSRRefH25x_0)</f>
        <v>0</v>
      </c>
      <c r="I66" s="4"/>
      <c r="J66" s="12">
        <f t="shared" ref="J66:J67" si="53">IF(H$12=0,0,H66/H$12)</f>
        <v>0</v>
      </c>
      <c r="K66" s="4"/>
      <c r="L66" s="4">
        <f t="shared" ref="L66:L67" si="54">+D66-H66</f>
        <v>29281.48</v>
      </c>
      <c r="M66" s="4"/>
      <c r="N66" s="12">
        <f t="shared" ref="N66:N67" si="55">IF(H66=0,0,L66/H66)</f>
        <v>0</v>
      </c>
      <c r="O66" s="10"/>
      <c r="P66" s="4">
        <f>SUM(OSRRefP25x_0)</f>
        <v>29281.48</v>
      </c>
      <c r="Q66" s="4"/>
      <c r="R66" s="12">
        <f t="shared" ref="R66:R67" si="56">IF(P$12=0,0,P66/P$12)</f>
        <v>1.1923242306476991</v>
      </c>
      <c r="S66" s="4"/>
      <c r="T66" s="4">
        <f>SUM(OSRRefT25x_0)</f>
        <v>0</v>
      </c>
      <c r="U66" s="4"/>
      <c r="V66" s="12">
        <f t="shared" ref="V66:V67" si="57">IF(T$12=0,0,T66/T$12)</f>
        <v>0</v>
      </c>
      <c r="W66" s="4"/>
      <c r="X66" s="4">
        <f t="shared" ref="X66:X67" si="58">+P66-T66</f>
        <v>29281.48</v>
      </c>
      <c r="Y66" s="4"/>
      <c r="Z66" s="12">
        <f t="shared" ref="Z66:Z67" si="59">IF(T66=0,0,X66/T66)</f>
        <v>0</v>
      </c>
    </row>
    <row r="67" spans="1:26" s="24" customFormat="1" hidden="1" outlineLevel="1" x14ac:dyDescent="0.25">
      <c r="A67" s="50"/>
      <c r="B67" s="11" t="str">
        <f>CONCATENATE("          ", "9150", " - ", "MISC. INCOME")</f>
        <v xml:space="preserve">          9150 - MISC. INCOME</v>
      </c>
      <c r="C67" s="11"/>
      <c r="D67" s="2">
        <f>--29281.48</f>
        <v>29281.48</v>
      </c>
      <c r="E67" s="2"/>
      <c r="F67" s="22">
        <f t="shared" si="52"/>
        <v>1.1923242306476991</v>
      </c>
      <c r="G67" s="2"/>
      <c r="H67" s="2">
        <f>0</f>
        <v>0</v>
      </c>
      <c r="I67" s="2"/>
      <c r="J67" s="22">
        <f t="shared" si="53"/>
        <v>0</v>
      </c>
      <c r="K67" s="2"/>
      <c r="L67" s="2">
        <f t="shared" si="54"/>
        <v>29281.48</v>
      </c>
      <c r="M67" s="2"/>
      <c r="N67" s="22">
        <f t="shared" si="55"/>
        <v>0</v>
      </c>
      <c r="O67" s="11"/>
      <c r="P67" s="2">
        <f>--29281.48</f>
        <v>29281.48</v>
      </c>
      <c r="Q67" s="2"/>
      <c r="R67" s="22">
        <f t="shared" si="56"/>
        <v>1.1923242306476991</v>
      </c>
      <c r="S67" s="2"/>
      <c r="T67" s="2">
        <f>0</f>
        <v>0</v>
      </c>
      <c r="U67" s="2"/>
      <c r="V67" s="22">
        <f t="shared" si="57"/>
        <v>0</v>
      </c>
      <c r="W67" s="2"/>
      <c r="X67" s="2">
        <f t="shared" si="58"/>
        <v>29281.48</v>
      </c>
      <c r="Y67" s="2"/>
      <c r="Z67" s="22">
        <f t="shared" si="59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1">
        <f>+D20-D22+D66</f>
        <v>21967.179999999993</v>
      </c>
      <c r="E69" s="13"/>
      <c r="F69" s="20">
        <f>IF(D$12=0,0,D69/D$12)</f>
        <v>0.89449033973007896</v>
      </c>
      <c r="G69" s="13"/>
      <c r="H69" s="21">
        <f>+H20-H22+H66</f>
        <v>-5039.2600000000039</v>
      </c>
      <c r="I69" s="13"/>
      <c r="J69" s="20">
        <f>IF(H$12=0,0,H69/H$12)</f>
        <v>-0.3038374761386235</v>
      </c>
      <c r="K69" s="16"/>
      <c r="L69" s="21">
        <f>+D69-H69</f>
        <v>27006.439999999995</v>
      </c>
      <c r="M69" s="16"/>
      <c r="N69" s="20">
        <f>IF(H69=0,0,L69/H69)</f>
        <v>-5.3592075026888821</v>
      </c>
      <c r="O69" s="26"/>
      <c r="P69" s="21">
        <f>+P20-P22+P66</f>
        <v>21967.179999999993</v>
      </c>
      <c r="Q69" s="13"/>
      <c r="R69" s="20">
        <f>IF(P$12=0,0,P69/P$12)</f>
        <v>0.89449033973007896</v>
      </c>
      <c r="S69" s="13"/>
      <c r="T69" s="21">
        <f>+T20-T22+T66</f>
        <v>-5039.2600000000039</v>
      </c>
      <c r="U69" s="13"/>
      <c r="V69" s="20">
        <f>IF(T$12=0,0,T69/T$12)</f>
        <v>-0.3038374761386235</v>
      </c>
      <c r="W69" s="16"/>
      <c r="X69" s="21">
        <f>+P69-T69</f>
        <v>27006.439999999995</v>
      </c>
      <c r="Y69" s="16"/>
      <c r="Z69" s="20">
        <f>IF(T69=0,0,X69/T69)</f>
        <v>-5.3592075026888821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5106.3999999999996</v>
      </c>
      <c r="E71" s="4"/>
      <c r="F71" s="12">
        <f>IF(D$12=0,0,D71/D$12)</f>
        <v>0.20792953263904043</v>
      </c>
      <c r="G71" s="4"/>
      <c r="H71" s="4">
        <v>3404.99</v>
      </c>
      <c r="I71" s="4"/>
      <c r="J71" s="12">
        <f>IF(H$12=0,0,H71/H$12)</f>
        <v>0.20530069253764457</v>
      </c>
      <c r="K71" s="4"/>
      <c r="L71" s="4">
        <f>+D71-H71</f>
        <v>1701.4099999999999</v>
      </c>
      <c r="M71" s="4"/>
      <c r="N71" s="12">
        <f>IF(H71=0,0,L71/H71)</f>
        <v>0.49968135001864911</v>
      </c>
      <c r="O71" s="10"/>
      <c r="P71" s="4">
        <v>5106.3999999999996</v>
      </c>
      <c r="Q71" s="4"/>
      <c r="R71" s="12">
        <f>IF(P$12=0,0,P71/P$12)</f>
        <v>0.20792953263904043</v>
      </c>
      <c r="S71" s="4"/>
      <c r="T71" s="4">
        <v>3404.99</v>
      </c>
      <c r="U71" s="4"/>
      <c r="V71" s="12">
        <f>IF(T$12=0,0,T71/T$12)</f>
        <v>0.20530069253764457</v>
      </c>
      <c r="W71" s="4"/>
      <c r="X71" s="4">
        <f>+P71-T71</f>
        <v>1701.4099999999999</v>
      </c>
      <c r="Y71" s="4"/>
      <c r="Z71" s="12">
        <f>IF(T71=0,0,X71/T71)</f>
        <v>0.49968135001864911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16860.779999999992</v>
      </c>
      <c r="E73" s="13"/>
      <c r="F73" s="34">
        <f>IF(D$12=0,0,D73/D$12)</f>
        <v>0.68656080709103851</v>
      </c>
      <c r="G73" s="13"/>
      <c r="H73" s="33">
        <f>+H69-H71</f>
        <v>-8444.2500000000036</v>
      </c>
      <c r="I73" s="13"/>
      <c r="J73" s="34">
        <f>IF(H$12=0,0,H73/H$12)</f>
        <v>-0.50913816867626804</v>
      </c>
      <c r="K73" s="16"/>
      <c r="L73" s="33">
        <f>D73-H73</f>
        <v>25305.029999999995</v>
      </c>
      <c r="M73" s="16"/>
      <c r="N73" s="34">
        <f>IF(H73=0,0,L73/H73)</f>
        <v>-2.9967172928323991</v>
      </c>
      <c r="O73" s="26"/>
      <c r="P73" s="33">
        <f>+P69-P71</f>
        <v>16860.779999999992</v>
      </c>
      <c r="Q73" s="13"/>
      <c r="R73" s="34">
        <f>IF(P$12=0,0,P73/P$12)</f>
        <v>0.68656080709103851</v>
      </c>
      <c r="S73" s="13"/>
      <c r="T73" s="33">
        <f>+T69-T71</f>
        <v>-8444.2500000000036</v>
      </c>
      <c r="U73" s="13"/>
      <c r="V73" s="34">
        <f>IF(T$12=0,0,T73/T$12)</f>
        <v>-0.50913816867626804</v>
      </c>
      <c r="W73" s="16"/>
      <c r="X73" s="33">
        <f>P73-T73</f>
        <v>25305.029999999995</v>
      </c>
      <c r="Y73" s="16"/>
      <c r="Z73" s="34">
        <f>IF(T73=0,0,X73/T73)</f>
        <v>-2.9967172928323991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1">
        <f>SUM(D73:D75)</f>
        <v>16860.779999999992</v>
      </c>
      <c r="E76" s="13"/>
      <c r="F76" s="30">
        <f>IF(D$12=0,0,D76/D$12)</f>
        <v>0.68656080709103851</v>
      </c>
      <c r="G76" s="13"/>
      <c r="H76" s="31">
        <f>SUM(H73:H75)</f>
        <v>-8444.2500000000036</v>
      </c>
      <c r="I76" s="13"/>
      <c r="J76" s="30">
        <f>IF(H$12=0,0,H76/H$12)</f>
        <v>-0.50913816867626804</v>
      </c>
      <c r="K76" s="16"/>
      <c r="L76" s="31">
        <f>+D76-H76</f>
        <v>25305.029999999995</v>
      </c>
      <c r="M76" s="16"/>
      <c r="N76" s="30">
        <f>IF(H76=0,0,L76/H76)</f>
        <v>-2.9967172928323991</v>
      </c>
      <c r="O76" s="26"/>
      <c r="P76" s="31">
        <f>SUM(P73:P75)</f>
        <v>16860.779999999992</v>
      </c>
      <c r="Q76" s="13"/>
      <c r="R76" s="30">
        <f>IF(P$12=0,0,P76/P$12)</f>
        <v>0.68656080709103851</v>
      </c>
      <c r="S76" s="13"/>
      <c r="T76" s="31">
        <f>SUM(T73:T75)</f>
        <v>-8444.2500000000036</v>
      </c>
      <c r="U76" s="13"/>
      <c r="V76" s="30">
        <f>IF(T$12=0,0,T76/T$12)</f>
        <v>-0.50913816867626804</v>
      </c>
      <c r="W76" s="16"/>
      <c r="X76" s="31">
        <f>+P76-T76</f>
        <v>25305.029999999995</v>
      </c>
      <c r="Y76" s="16"/>
      <c r="Z76" s="30">
        <f>IF(T76=0,0,X76/T76)</f>
        <v>-2.9967172928323991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43726.682359571758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10114.89</v>
      </c>
      <c r="E18" s="19"/>
      <c r="F18" s="35">
        <f t="shared" ref="F18:F26" si="0">IF(D$12=0,0,D18/D$12)</f>
        <v>0</v>
      </c>
      <c r="G18" s="19"/>
      <c r="H18" s="19">
        <f>SUM(OSRRefH22x_0)</f>
        <v>8328.33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1786.5599999999995</v>
      </c>
      <c r="M18" s="4"/>
      <c r="N18" s="35">
        <f t="shared" ref="N18:N26" si="3">IF(H18=0,0,L18/H18)</f>
        <v>0.21451599540364027</v>
      </c>
      <c r="O18" s="10"/>
      <c r="P18" s="19">
        <f>SUM(OSRRefP22x_0)</f>
        <v>10114.89</v>
      </c>
      <c r="Q18" s="19"/>
      <c r="R18" s="35">
        <f t="shared" ref="R18:R26" si="4">IF(P$12=0,0,P18/P$12)</f>
        <v>0</v>
      </c>
      <c r="S18" s="19"/>
      <c r="T18" s="19">
        <f>SUM(OSRRefT22x_0)</f>
        <v>8328.33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1786.5599999999995</v>
      </c>
      <c r="Y18" s="4"/>
      <c r="Z18" s="35">
        <f t="shared" ref="Z18:Z26" si="7">IF(T18=0,0,X18/T18)</f>
        <v>0.21451599540364027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4396.8100000000004</v>
      </c>
      <c r="E19" s="1"/>
      <c r="F19" s="5">
        <f t="shared" si="0"/>
        <v>0</v>
      </c>
      <c r="G19" s="1"/>
      <c r="H19" s="1">
        <f>SUM(OSRRefH22_0x_0)</f>
        <v>3887.6899999999996</v>
      </c>
      <c r="I19" s="1"/>
      <c r="J19" s="5">
        <f t="shared" si="1"/>
        <v>0</v>
      </c>
      <c r="K19" s="1"/>
      <c r="L19" s="1">
        <f t="shared" si="2"/>
        <v>509.1200000000008</v>
      </c>
      <c r="M19" s="1"/>
      <c r="N19" s="5">
        <f t="shared" si="3"/>
        <v>0.13095694358346496</v>
      </c>
      <c r="O19" s="14"/>
      <c r="P19" s="1">
        <f>SUM(OSRRefP22_0x_0)</f>
        <v>4396.8100000000004</v>
      </c>
      <c r="Q19" s="1"/>
      <c r="R19" s="5">
        <f t="shared" si="4"/>
        <v>0</v>
      </c>
      <c r="S19" s="1"/>
      <c r="T19" s="1">
        <f>SUM(OSRRefT22_0x_0)</f>
        <v>3887.6899999999996</v>
      </c>
      <c r="U19" s="1"/>
      <c r="V19" s="5">
        <f t="shared" si="5"/>
        <v>0</v>
      </c>
      <c r="W19" s="1"/>
      <c r="X19" s="1">
        <f t="shared" si="6"/>
        <v>509.1200000000008</v>
      </c>
      <c r="Y19" s="1"/>
      <c r="Z19" s="5">
        <f t="shared" si="7"/>
        <v>0.13095694358346496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349.92</v>
      </c>
      <c r="E20" s="2"/>
      <c r="F20" s="6">
        <f t="shared" si="0"/>
        <v>0</v>
      </c>
      <c r="G20" s="2"/>
      <c r="H20" s="7">
        <v>339.74</v>
      </c>
      <c r="I20" s="2"/>
      <c r="J20" s="6">
        <f t="shared" si="1"/>
        <v>0</v>
      </c>
      <c r="K20" s="2"/>
      <c r="L20" s="7">
        <f t="shared" si="2"/>
        <v>10.180000000000007</v>
      </c>
      <c r="M20" s="2"/>
      <c r="N20" s="6">
        <f t="shared" si="3"/>
        <v>2.996409018661331E-2</v>
      </c>
      <c r="O20" s="11"/>
      <c r="P20" s="7">
        <v>349.92</v>
      </c>
      <c r="Q20" s="2"/>
      <c r="R20" s="6">
        <f t="shared" si="4"/>
        <v>0</v>
      </c>
      <c r="S20" s="2"/>
      <c r="T20" s="7">
        <v>339.74</v>
      </c>
      <c r="U20" s="2"/>
      <c r="V20" s="6">
        <f t="shared" si="5"/>
        <v>0</v>
      </c>
      <c r="W20" s="2"/>
      <c r="X20" s="7">
        <f t="shared" si="6"/>
        <v>10.180000000000007</v>
      </c>
      <c r="Y20" s="2"/>
      <c r="Z20" s="6">
        <f t="shared" si="7"/>
        <v>2.996409018661331E-2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177.47</v>
      </c>
      <c r="E21" s="2"/>
      <c r="F21" s="6">
        <f t="shared" si="0"/>
        <v>0</v>
      </c>
      <c r="G21" s="2"/>
      <c r="H21" s="7">
        <v>230.88</v>
      </c>
      <c r="I21" s="2"/>
      <c r="J21" s="6">
        <f t="shared" si="1"/>
        <v>0</v>
      </c>
      <c r="K21" s="2"/>
      <c r="L21" s="7">
        <f t="shared" si="2"/>
        <v>-53.41</v>
      </c>
      <c r="M21" s="2"/>
      <c r="N21" s="6">
        <f t="shared" si="3"/>
        <v>-0.23133229383229381</v>
      </c>
      <c r="O21" s="11"/>
      <c r="P21" s="7">
        <v>177.47</v>
      </c>
      <c r="Q21" s="2"/>
      <c r="R21" s="6">
        <f t="shared" si="4"/>
        <v>0</v>
      </c>
      <c r="S21" s="2"/>
      <c r="T21" s="7">
        <v>230.88</v>
      </c>
      <c r="U21" s="2"/>
      <c r="V21" s="6">
        <f t="shared" si="5"/>
        <v>0</v>
      </c>
      <c r="W21" s="2"/>
      <c r="X21" s="7">
        <f t="shared" si="6"/>
        <v>-53.41</v>
      </c>
      <c r="Y21" s="2"/>
      <c r="Z21" s="6">
        <f t="shared" si="7"/>
        <v>-0.23133229383229381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931.95</v>
      </c>
      <c r="E22" s="2"/>
      <c r="F22" s="6">
        <f t="shared" si="0"/>
        <v>0</v>
      </c>
      <c r="G22" s="2"/>
      <c r="H22" s="7">
        <v>338.11</v>
      </c>
      <c r="I22" s="2"/>
      <c r="J22" s="6">
        <f t="shared" si="1"/>
        <v>0</v>
      </c>
      <c r="K22" s="2"/>
      <c r="L22" s="7">
        <f t="shared" si="2"/>
        <v>593.84</v>
      </c>
      <c r="M22" s="2"/>
      <c r="N22" s="6">
        <f t="shared" si="3"/>
        <v>1.7563514832450977</v>
      </c>
      <c r="O22" s="11"/>
      <c r="P22" s="7">
        <v>931.95</v>
      </c>
      <c r="Q22" s="2"/>
      <c r="R22" s="6">
        <f t="shared" si="4"/>
        <v>0</v>
      </c>
      <c r="S22" s="2"/>
      <c r="T22" s="7">
        <v>338.11</v>
      </c>
      <c r="U22" s="2"/>
      <c r="V22" s="6">
        <f t="shared" si="5"/>
        <v>0</v>
      </c>
      <c r="W22" s="2"/>
      <c r="X22" s="7">
        <f t="shared" si="6"/>
        <v>593.84</v>
      </c>
      <c r="Y22" s="2"/>
      <c r="Z22" s="6">
        <f t="shared" si="7"/>
        <v>1.7563514832450977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11.89</v>
      </c>
      <c r="E23" s="2"/>
      <c r="F23" s="6">
        <f t="shared" si="0"/>
        <v>0</v>
      </c>
      <c r="G23" s="2"/>
      <c r="H23" s="7">
        <v>17.149999999999999</v>
      </c>
      <c r="I23" s="2"/>
      <c r="J23" s="6">
        <f t="shared" si="1"/>
        <v>0</v>
      </c>
      <c r="K23" s="2"/>
      <c r="L23" s="7">
        <f t="shared" si="2"/>
        <v>-5.259999999999998</v>
      </c>
      <c r="M23" s="2"/>
      <c r="N23" s="6">
        <f t="shared" si="3"/>
        <v>-0.30670553935860051</v>
      </c>
      <c r="O23" s="11"/>
      <c r="P23" s="7">
        <v>11.89</v>
      </c>
      <c r="Q23" s="2"/>
      <c r="R23" s="6">
        <f t="shared" si="4"/>
        <v>0</v>
      </c>
      <c r="S23" s="2"/>
      <c r="T23" s="7">
        <v>17.149999999999999</v>
      </c>
      <c r="U23" s="2"/>
      <c r="V23" s="6">
        <f t="shared" si="5"/>
        <v>0</v>
      </c>
      <c r="W23" s="2"/>
      <c r="X23" s="7">
        <f t="shared" si="6"/>
        <v>-5.259999999999998</v>
      </c>
      <c r="Y23" s="2"/>
      <c r="Z23" s="6">
        <f t="shared" si="7"/>
        <v>-0.30670553935860051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467.52</v>
      </c>
      <c r="E24" s="2"/>
      <c r="F24" s="6">
        <f t="shared" si="0"/>
        <v>0</v>
      </c>
      <c r="G24" s="2"/>
      <c r="H24" s="7">
        <v>620.67999999999995</v>
      </c>
      <c r="I24" s="2"/>
      <c r="J24" s="6">
        <f t="shared" si="1"/>
        <v>0</v>
      </c>
      <c r="K24" s="2"/>
      <c r="L24" s="7">
        <f t="shared" si="2"/>
        <v>-153.15999999999997</v>
      </c>
      <c r="M24" s="2"/>
      <c r="N24" s="6">
        <f t="shared" si="3"/>
        <v>-0.24676161629180896</v>
      </c>
      <c r="O24" s="11"/>
      <c r="P24" s="7">
        <v>467.52</v>
      </c>
      <c r="Q24" s="2"/>
      <c r="R24" s="6">
        <f t="shared" si="4"/>
        <v>0</v>
      </c>
      <c r="S24" s="2"/>
      <c r="T24" s="7">
        <v>620.67999999999995</v>
      </c>
      <c r="U24" s="2"/>
      <c r="V24" s="6">
        <f t="shared" si="5"/>
        <v>0</v>
      </c>
      <c r="W24" s="2"/>
      <c r="X24" s="7">
        <f t="shared" si="6"/>
        <v>-153.15999999999997</v>
      </c>
      <c r="Y24" s="2"/>
      <c r="Z24" s="6">
        <f t="shared" si="7"/>
        <v>-0.24676161629180896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755.72</v>
      </c>
      <c r="E25" s="2"/>
      <c r="F25" s="6">
        <f t="shared" si="0"/>
        <v>0</v>
      </c>
      <c r="G25" s="2"/>
      <c r="H25" s="7">
        <v>765.93</v>
      </c>
      <c r="I25" s="2"/>
      <c r="J25" s="6">
        <f t="shared" si="1"/>
        <v>0</v>
      </c>
      <c r="K25" s="2"/>
      <c r="L25" s="7">
        <f t="shared" si="2"/>
        <v>-10.209999999999923</v>
      </c>
      <c r="M25" s="2"/>
      <c r="N25" s="6">
        <f t="shared" si="3"/>
        <v>-1.33301998877181E-2</v>
      </c>
      <c r="O25" s="11"/>
      <c r="P25" s="7">
        <v>755.72</v>
      </c>
      <c r="Q25" s="2"/>
      <c r="R25" s="6">
        <f t="shared" si="4"/>
        <v>0</v>
      </c>
      <c r="S25" s="2"/>
      <c r="T25" s="7">
        <v>765.93</v>
      </c>
      <c r="U25" s="2"/>
      <c r="V25" s="6">
        <f t="shared" si="5"/>
        <v>0</v>
      </c>
      <c r="W25" s="2"/>
      <c r="X25" s="7">
        <f t="shared" si="6"/>
        <v>-10.209999999999923</v>
      </c>
      <c r="Y25" s="2"/>
      <c r="Z25" s="6">
        <f t="shared" si="7"/>
        <v>-1.33301998877181E-2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1702.34</v>
      </c>
      <c r="E26" s="2"/>
      <c r="F26" s="6">
        <f t="shared" si="0"/>
        <v>0</v>
      </c>
      <c r="G26" s="2"/>
      <c r="H26" s="7">
        <v>1575.2</v>
      </c>
      <c r="I26" s="2"/>
      <c r="J26" s="6">
        <f t="shared" si="1"/>
        <v>0</v>
      </c>
      <c r="K26" s="2"/>
      <c r="L26" s="7">
        <f t="shared" si="2"/>
        <v>127.13999999999987</v>
      </c>
      <c r="M26" s="2"/>
      <c r="N26" s="6">
        <f t="shared" si="3"/>
        <v>8.0713560182833849E-2</v>
      </c>
      <c r="O26" s="11"/>
      <c r="P26" s="7">
        <v>1702.34</v>
      </c>
      <c r="Q26" s="2"/>
      <c r="R26" s="6">
        <f t="shared" si="4"/>
        <v>0</v>
      </c>
      <c r="S26" s="2"/>
      <c r="T26" s="7">
        <v>1575.2</v>
      </c>
      <c r="U26" s="2"/>
      <c r="V26" s="6">
        <f t="shared" si="5"/>
        <v>0</v>
      </c>
      <c r="W26" s="2"/>
      <c r="X26" s="7">
        <f t="shared" si="6"/>
        <v>127.13999999999987</v>
      </c>
      <c r="Y26" s="2"/>
      <c r="Z26" s="6">
        <f t="shared" si="7"/>
        <v>8.0713560182833849E-2</v>
      </c>
    </row>
    <row r="27" spans="1:26" s="28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5718.08</v>
      </c>
      <c r="E27" s="1"/>
      <c r="F27" s="5">
        <f t="shared" ref="F27:F29" si="8">IF(D$12=0,0,D27/D$12)</f>
        <v>0</v>
      </c>
      <c r="G27" s="1"/>
      <c r="H27" s="1">
        <f>SUM(OSRRefH22_1x_0)</f>
        <v>4440.6400000000003</v>
      </c>
      <c r="I27" s="1"/>
      <c r="J27" s="5">
        <f t="shared" ref="J27:J29" si="9">IF(H$12=0,0,H27/H$12)</f>
        <v>0</v>
      </c>
      <c r="K27" s="1"/>
      <c r="L27" s="1">
        <f t="shared" ref="L27:L29" si="10">+D27-H27</f>
        <v>1277.4399999999996</v>
      </c>
      <c r="M27" s="1"/>
      <c r="N27" s="5">
        <f t="shared" ref="N27:N29" si="11">IF(H27=0,0,L27/H27)</f>
        <v>0.28767024573034505</v>
      </c>
      <c r="O27" s="14"/>
      <c r="P27" s="1">
        <f>SUM(OSRRefP22_1x_0)</f>
        <v>5718.08</v>
      </c>
      <c r="Q27" s="1"/>
      <c r="R27" s="5">
        <f t="shared" ref="R27:R29" si="12">IF(P$12=0,0,P27/P$12)</f>
        <v>0</v>
      </c>
      <c r="S27" s="1"/>
      <c r="T27" s="1">
        <f>SUM(OSRRefT22_1x_0)</f>
        <v>4440.6400000000003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1277.4399999999996</v>
      </c>
      <c r="Y27" s="1"/>
      <c r="Z27" s="5">
        <f t="shared" ref="Z27:Z29" si="15">IF(T27=0,0,X27/T27)</f>
        <v>0.28767024573034505</v>
      </c>
    </row>
    <row r="28" spans="1:26" s="24" customFormat="1" hidden="1" outlineLevel="2" x14ac:dyDescent="0.25">
      <c r="A28" s="29"/>
      <c r="B28" s="11" t="str">
        <f>CONCATENATE("          ", "6001", " - ", "ADMINISTRATIVE SALARIES")</f>
        <v xml:space="preserve">          6001 - ADMINISTRATIVE SALARIES</v>
      </c>
      <c r="C28" s="11"/>
      <c r="D28" s="7">
        <v>4574.08</v>
      </c>
      <c r="E28" s="2"/>
      <c r="F28" s="6">
        <f t="shared" si="8"/>
        <v>0</v>
      </c>
      <c r="G28" s="2"/>
      <c r="H28" s="7">
        <v>4440.6400000000003</v>
      </c>
      <c r="I28" s="2"/>
      <c r="J28" s="6">
        <f t="shared" si="9"/>
        <v>0</v>
      </c>
      <c r="K28" s="2"/>
      <c r="L28" s="7">
        <f t="shared" si="10"/>
        <v>133.4399999999996</v>
      </c>
      <c r="M28" s="2"/>
      <c r="N28" s="6">
        <f t="shared" si="11"/>
        <v>3.0049722562513419E-2</v>
      </c>
      <c r="O28" s="11"/>
      <c r="P28" s="7">
        <v>4574.08</v>
      </c>
      <c r="Q28" s="2"/>
      <c r="R28" s="6">
        <f t="shared" si="12"/>
        <v>0</v>
      </c>
      <c r="S28" s="2"/>
      <c r="T28" s="7">
        <v>4440.6400000000003</v>
      </c>
      <c r="U28" s="2"/>
      <c r="V28" s="6">
        <f t="shared" si="13"/>
        <v>0</v>
      </c>
      <c r="W28" s="2"/>
      <c r="X28" s="7">
        <f t="shared" si="14"/>
        <v>133.4399999999996</v>
      </c>
      <c r="Y28" s="2"/>
      <c r="Z28" s="6">
        <f t="shared" si="15"/>
        <v>3.0049722562513419E-2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1144</v>
      </c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1144</v>
      </c>
      <c r="M29" s="2"/>
      <c r="N29" s="6">
        <f t="shared" si="11"/>
        <v>0</v>
      </c>
      <c r="O29" s="11"/>
      <c r="P29" s="7">
        <v>1144</v>
      </c>
      <c r="Q29" s="2"/>
      <c r="R29" s="6">
        <f t="shared" si="12"/>
        <v>0</v>
      </c>
      <c r="S29" s="2"/>
      <c r="T29" s="7"/>
      <c r="U29" s="2"/>
      <c r="V29" s="6">
        <f t="shared" si="13"/>
        <v>0</v>
      </c>
      <c r="W29" s="2"/>
      <c r="X29" s="7">
        <f t="shared" si="14"/>
        <v>1144</v>
      </c>
      <c r="Y29" s="2"/>
      <c r="Z29" s="6">
        <f t="shared" si="15"/>
        <v>0</v>
      </c>
    </row>
    <row r="30" spans="1:26" s="54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6" t="s">
        <v>0</v>
      </c>
      <c r="C31" s="10"/>
      <c r="D31" s="4">
        <f>SUM(OSRRefD25x_0)</f>
        <v>8662.2200000000012</v>
      </c>
      <c r="E31" s="4"/>
      <c r="F31" s="12">
        <f t="shared" ref="F31:F33" si="16">IF(D$12=0,0,D31/D$12)</f>
        <v>0</v>
      </c>
      <c r="G31" s="4"/>
      <c r="H31" s="4">
        <f>SUM(OSRRefH25x_0)</f>
        <v>12081.17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-3418.9499999999989</v>
      </c>
      <c r="M31" s="4"/>
      <c r="N31" s="12">
        <f t="shared" ref="N31:N33" si="19">IF(H31=0,0,L31/H31)</f>
        <v>-0.28299825265268175</v>
      </c>
      <c r="O31" s="10"/>
      <c r="P31" s="4">
        <f>SUM(OSRRefP25x_0)</f>
        <v>8662.2200000000012</v>
      </c>
      <c r="Q31" s="4"/>
      <c r="R31" s="12">
        <f t="shared" ref="R31:R33" si="20">IF(P$12=0,0,P31/P$12)</f>
        <v>0</v>
      </c>
      <c r="S31" s="4"/>
      <c r="T31" s="4">
        <f>SUM(OSRRefT25x_0)</f>
        <v>12081.17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-3418.9499999999989</v>
      </c>
      <c r="Y31" s="4"/>
      <c r="Z31" s="12">
        <f t="shared" ref="Z31:Z33" si="23">IF(T31=0,0,X31/T31)</f>
        <v>-0.28299825265268175</v>
      </c>
    </row>
    <row r="32" spans="1:26" s="24" customFormat="1" hidden="1" outlineLevel="1" x14ac:dyDescent="0.25">
      <c r="A32" s="50"/>
      <c r="B32" s="11" t="str">
        <f>CONCATENATE("          ", "9160", " - ", "MISC. INCOME")</f>
        <v xml:space="preserve">          9160 - MISC. INCOME</v>
      </c>
      <c r="C32" s="11"/>
      <c r="D32" s="2">
        <f>--4981.17</f>
        <v>4981.17</v>
      </c>
      <c r="E32" s="2"/>
      <c r="F32" s="22">
        <f t="shared" si="16"/>
        <v>0</v>
      </c>
      <c r="G32" s="2"/>
      <c r="H32" s="2">
        <f>--9962.34</f>
        <v>9962.34</v>
      </c>
      <c r="I32" s="2"/>
      <c r="J32" s="22">
        <f t="shared" si="17"/>
        <v>0</v>
      </c>
      <c r="K32" s="2"/>
      <c r="L32" s="2">
        <f t="shared" si="18"/>
        <v>-4981.17</v>
      </c>
      <c r="M32" s="2"/>
      <c r="N32" s="22">
        <f t="shared" si="19"/>
        <v>-0.5</v>
      </c>
      <c r="O32" s="11"/>
      <c r="P32" s="2">
        <f>--4981.17</f>
        <v>4981.17</v>
      </c>
      <c r="Q32" s="2"/>
      <c r="R32" s="22">
        <f t="shared" si="20"/>
        <v>0</v>
      </c>
      <c r="S32" s="2"/>
      <c r="T32" s="2">
        <f>--9962.34</f>
        <v>9962.34</v>
      </c>
      <c r="U32" s="2"/>
      <c r="V32" s="22">
        <f t="shared" si="21"/>
        <v>0</v>
      </c>
      <c r="W32" s="2"/>
      <c r="X32" s="2">
        <f t="shared" si="22"/>
        <v>-4981.17</v>
      </c>
      <c r="Y32" s="2"/>
      <c r="Z32" s="22">
        <f t="shared" si="23"/>
        <v>-0.5</v>
      </c>
    </row>
    <row r="33" spans="1:26" s="24" customFormat="1" hidden="1" outlineLevel="1" x14ac:dyDescent="0.25">
      <c r="A33" s="50"/>
      <c r="B33" s="11" t="str">
        <f>CONCATENATE("          ", "9165", " - ", "OTHER INCOME")</f>
        <v xml:space="preserve">          9165 - OTHER INCOME</v>
      </c>
      <c r="C33" s="11"/>
      <c r="D33" s="2">
        <f>--3681.05</f>
        <v>3681.05</v>
      </c>
      <c r="E33" s="2"/>
      <c r="F33" s="22">
        <f t="shared" si="16"/>
        <v>0</v>
      </c>
      <c r="G33" s="2"/>
      <c r="H33" s="2">
        <f>--2118.83</f>
        <v>2118.83</v>
      </c>
      <c r="I33" s="2"/>
      <c r="J33" s="22">
        <f t="shared" si="17"/>
        <v>0</v>
      </c>
      <c r="K33" s="2"/>
      <c r="L33" s="2">
        <f t="shared" si="18"/>
        <v>1562.2200000000003</v>
      </c>
      <c r="M33" s="2"/>
      <c r="N33" s="22">
        <f t="shared" si="19"/>
        <v>0.73730313427693606</v>
      </c>
      <c r="O33" s="11"/>
      <c r="P33" s="2">
        <f>--3681.05</f>
        <v>3681.05</v>
      </c>
      <c r="Q33" s="2"/>
      <c r="R33" s="22">
        <f t="shared" si="20"/>
        <v>0</v>
      </c>
      <c r="S33" s="2"/>
      <c r="T33" s="2">
        <f>--2118.83</f>
        <v>2118.83</v>
      </c>
      <c r="U33" s="2"/>
      <c r="V33" s="22">
        <f t="shared" si="21"/>
        <v>0</v>
      </c>
      <c r="W33" s="2"/>
      <c r="X33" s="2">
        <f t="shared" si="22"/>
        <v>1562.2200000000003</v>
      </c>
      <c r="Y33" s="2"/>
      <c r="Z33" s="22">
        <f t="shared" si="23"/>
        <v>0.73730313427693606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3</v>
      </c>
      <c r="C35" s="25"/>
      <c r="D35" s="21">
        <f>+D16-D18+D31</f>
        <v>-1452.6699999999983</v>
      </c>
      <c r="E35" s="13"/>
      <c r="F35" s="20">
        <f>IF(D$12=0,0,D35/D$12)</f>
        <v>0</v>
      </c>
      <c r="G35" s="13"/>
      <c r="H35" s="21">
        <f>+H16-H18+H31</f>
        <v>3752.84</v>
      </c>
      <c r="I35" s="13"/>
      <c r="J35" s="20">
        <f>IF(H$12=0,0,H35/H$12)</f>
        <v>0</v>
      </c>
      <c r="K35" s="16"/>
      <c r="L35" s="21">
        <f>+D35-H35</f>
        <v>-5205.5099999999984</v>
      </c>
      <c r="M35" s="16"/>
      <c r="N35" s="20">
        <f>IF(H35=0,0,L35/H35)</f>
        <v>-1.387085513904136</v>
      </c>
      <c r="O35" s="26"/>
      <c r="P35" s="21">
        <f>+P16-P18+P31</f>
        <v>-1452.6699999999983</v>
      </c>
      <c r="Q35" s="13"/>
      <c r="R35" s="20">
        <f>IF(P$12=0,0,P35/P$12)</f>
        <v>0</v>
      </c>
      <c r="S35" s="13"/>
      <c r="T35" s="21">
        <f>+T16-T18+T31</f>
        <v>3752.84</v>
      </c>
      <c r="U35" s="13"/>
      <c r="V35" s="20">
        <f>IF(T$12=0,0,T35/T$12)</f>
        <v>0</v>
      </c>
      <c r="W35" s="16"/>
      <c r="X35" s="21">
        <f>+P35-T35</f>
        <v>-5205.5099999999984</v>
      </c>
      <c r="Y35" s="16"/>
      <c r="Z35" s="20">
        <f>IF(T35=0,0,X35/T35)</f>
        <v>-1.387085513904136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4</v>
      </c>
      <c r="C39" s="25"/>
      <c r="D39" s="33">
        <f>+D35-D37</f>
        <v>-1452.6699999999983</v>
      </c>
      <c r="E39" s="13"/>
      <c r="F39" s="34">
        <f>IF(D$12=0,0,D39/D$12)</f>
        <v>0</v>
      </c>
      <c r="G39" s="13"/>
      <c r="H39" s="33">
        <f>+H35-H37</f>
        <v>3752.84</v>
      </c>
      <c r="I39" s="13"/>
      <c r="J39" s="34">
        <f>IF(H$12=0,0,H39/H$12)</f>
        <v>0</v>
      </c>
      <c r="K39" s="16"/>
      <c r="L39" s="33">
        <f>D39-H39</f>
        <v>-5205.5099999999984</v>
      </c>
      <c r="M39" s="16"/>
      <c r="N39" s="34">
        <f>IF(H39=0,0,L39/H39)</f>
        <v>-1.387085513904136</v>
      </c>
      <c r="O39" s="26"/>
      <c r="P39" s="33">
        <f>+P35-P37</f>
        <v>-1452.6699999999983</v>
      </c>
      <c r="Q39" s="13"/>
      <c r="R39" s="34">
        <f>IF(P$12=0,0,P39/P$12)</f>
        <v>0</v>
      </c>
      <c r="S39" s="13"/>
      <c r="T39" s="33">
        <f>+T35-T37</f>
        <v>3752.84</v>
      </c>
      <c r="U39" s="13"/>
      <c r="V39" s="34">
        <f>IF(T$12=0,0,T39/T$12)</f>
        <v>0</v>
      </c>
      <c r="W39" s="16"/>
      <c r="X39" s="33">
        <f>P39-T39</f>
        <v>-5205.5099999999984</v>
      </c>
      <c r="Y39" s="16"/>
      <c r="Z39" s="34">
        <f>IF(T39=0,0,X39/T39)</f>
        <v>-1.387085513904136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5" t="s">
        <v>5</v>
      </c>
      <c r="C42" s="25"/>
      <c r="D42" s="31">
        <f>SUM(D39:D41)</f>
        <v>-1452.6699999999983</v>
      </c>
      <c r="E42" s="13"/>
      <c r="F42" s="30">
        <f>IF(D$12=0,0,D42/D$12)</f>
        <v>0</v>
      </c>
      <c r="G42" s="13"/>
      <c r="H42" s="31">
        <f>SUM(H39:H41)</f>
        <v>3752.84</v>
      </c>
      <c r="I42" s="13"/>
      <c r="J42" s="30">
        <f>IF(H$12=0,0,H42/H$12)</f>
        <v>0</v>
      </c>
      <c r="K42" s="16"/>
      <c r="L42" s="31">
        <f>+D42-H42</f>
        <v>-5205.5099999999984</v>
      </c>
      <c r="M42" s="16"/>
      <c r="N42" s="30">
        <f>IF(H42=0,0,L42/H42)</f>
        <v>-1.387085513904136</v>
      </c>
      <c r="O42" s="26"/>
      <c r="P42" s="31">
        <f>SUM(P39:P41)</f>
        <v>-1452.6699999999983</v>
      </c>
      <c r="Q42" s="13"/>
      <c r="R42" s="30">
        <f>IF(P$12=0,0,P42/P$12)</f>
        <v>0</v>
      </c>
      <c r="S42" s="13"/>
      <c r="T42" s="31">
        <f>SUM(T39:T41)</f>
        <v>3752.84</v>
      </c>
      <c r="U42" s="13"/>
      <c r="V42" s="30">
        <f>IF(T$12=0,0,T42/T$12)</f>
        <v>0</v>
      </c>
      <c r="W42" s="16"/>
      <c r="X42" s="31">
        <f>+P42-T42</f>
        <v>-5205.5099999999984</v>
      </c>
      <c r="Y42" s="16"/>
      <c r="Z42" s="30">
        <f>IF(T42=0,0,X42/T42)</f>
        <v>-1.387085513904136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6">
        <v>43726.682470798609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53" t="s">
        <v>313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9"/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298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300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509433.86</v>
      </c>
      <c r="E12" s="4"/>
      <c r="F12" s="12"/>
      <c r="G12" s="4"/>
      <c r="H12" s="4">
        <f>SUM(OSRRefH13x_0)</f>
        <v>505823.19</v>
      </c>
      <c r="I12" s="4"/>
      <c r="J12" s="12"/>
      <c r="K12" s="4"/>
      <c r="L12" s="4">
        <f t="shared" ref="L12:L15" si="0">+D12-H12</f>
        <v>3610.6699999999837</v>
      </c>
      <c r="M12" s="4"/>
      <c r="N12" s="12">
        <f t="shared" ref="N12:N15" si="1">IF(H12=0,0,L12/H12)</f>
        <v>7.1382057433942159E-3</v>
      </c>
      <c r="O12" s="10"/>
      <c r="P12" s="4">
        <f>SUM(OSRRefP13x_0)</f>
        <v>509433.86</v>
      </c>
      <c r="Q12" s="4"/>
      <c r="R12" s="12"/>
      <c r="S12" s="4"/>
      <c r="T12" s="4">
        <f>SUM(OSRRefT13x_0)</f>
        <v>505823.19</v>
      </c>
      <c r="U12" s="4"/>
      <c r="V12" s="12"/>
      <c r="W12" s="4"/>
      <c r="X12" s="4">
        <f t="shared" ref="X12:X15" si="2">+P12-T12</f>
        <v>3610.6699999999837</v>
      </c>
      <c r="Y12" s="4"/>
      <c r="Z12" s="12">
        <f t="shared" ref="Z12:Z15" si="3">IF(T12=0,0,X12/T12)</f>
        <v>7.1382057433942159E-3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--1144.1</f>
        <v>1144.0999999999999</v>
      </c>
      <c r="E13" s="2"/>
      <c r="F13" s="22"/>
      <c r="G13" s="2"/>
      <c r="H13" s="2">
        <f>--2522.84</f>
        <v>2522.84</v>
      </c>
      <c r="I13" s="2"/>
      <c r="J13" s="22"/>
      <c r="K13" s="2"/>
      <c r="L13" s="2">
        <f t="shared" si="0"/>
        <v>-1378.7400000000002</v>
      </c>
      <c r="M13" s="2"/>
      <c r="N13" s="22">
        <f t="shared" si="1"/>
        <v>-0.54650314724675375</v>
      </c>
      <c r="O13" s="11"/>
      <c r="P13" s="2">
        <f>--1144.1</f>
        <v>1144.0999999999999</v>
      </c>
      <c r="Q13" s="2"/>
      <c r="R13" s="22"/>
      <c r="S13" s="2"/>
      <c r="T13" s="2">
        <f>--2522.84</f>
        <v>2522.84</v>
      </c>
      <c r="U13" s="2"/>
      <c r="V13" s="22"/>
      <c r="W13" s="2"/>
      <c r="X13" s="2">
        <f t="shared" si="2"/>
        <v>-1378.7400000000002</v>
      </c>
      <c r="Y13" s="2"/>
      <c r="Z13" s="22">
        <f t="shared" si="3"/>
        <v>-0.54650314724675375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--489278.05</f>
        <v>489278.05</v>
      </c>
      <c r="E14" s="2"/>
      <c r="F14" s="22"/>
      <c r="G14" s="2"/>
      <c r="H14" s="2">
        <f>--475873.61</f>
        <v>475873.61</v>
      </c>
      <c r="I14" s="2"/>
      <c r="J14" s="22"/>
      <c r="K14" s="2"/>
      <c r="L14" s="2">
        <f t="shared" si="0"/>
        <v>13404.440000000002</v>
      </c>
      <c r="M14" s="2"/>
      <c r="N14" s="22">
        <f t="shared" si="1"/>
        <v>2.8168067567352607E-2</v>
      </c>
      <c r="O14" s="11"/>
      <c r="P14" s="2">
        <f>--489278.05</f>
        <v>489278.05</v>
      </c>
      <c r="Q14" s="2"/>
      <c r="R14" s="22"/>
      <c r="S14" s="2"/>
      <c r="T14" s="2">
        <f>--475873.61</f>
        <v>475873.61</v>
      </c>
      <c r="U14" s="2"/>
      <c r="V14" s="22"/>
      <c r="W14" s="2"/>
      <c r="X14" s="2">
        <f t="shared" si="2"/>
        <v>13404.440000000002</v>
      </c>
      <c r="Y14" s="2"/>
      <c r="Z14" s="22">
        <f t="shared" si="3"/>
        <v>2.8168067567352607E-2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2">
        <f>--19011.71</f>
        <v>19011.71</v>
      </c>
      <c r="E15" s="2"/>
      <c r="F15" s="22"/>
      <c r="G15" s="2"/>
      <c r="H15" s="2">
        <f>--27426.74</f>
        <v>27426.74</v>
      </c>
      <c r="I15" s="2"/>
      <c r="J15" s="22"/>
      <c r="K15" s="2"/>
      <c r="L15" s="2">
        <f t="shared" si="0"/>
        <v>-8415.0300000000025</v>
      </c>
      <c r="M15" s="2"/>
      <c r="N15" s="22">
        <f t="shared" si="1"/>
        <v>-0.30681845527394075</v>
      </c>
      <c r="O15" s="11"/>
      <c r="P15" s="2">
        <f>--19011.71</f>
        <v>19011.71</v>
      </c>
      <c r="Q15" s="2"/>
      <c r="R15" s="22"/>
      <c r="S15" s="2"/>
      <c r="T15" s="2">
        <f>--27426.74</f>
        <v>27426.74</v>
      </c>
      <c r="U15" s="2"/>
      <c r="V15" s="22"/>
      <c r="W15" s="2"/>
      <c r="X15" s="2">
        <f t="shared" si="2"/>
        <v>-8415.0300000000025</v>
      </c>
      <c r="Y15" s="2"/>
      <c r="Z15" s="22">
        <f t="shared" si="3"/>
        <v>-0.30681845527394075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158407.47</v>
      </c>
      <c r="E17" s="4"/>
      <c r="F17" s="12">
        <f t="shared" ref="F17:F19" si="4">IF(D$12=0,0,D17/D$12)</f>
        <v>0.31094805908661038</v>
      </c>
      <c r="G17" s="4"/>
      <c r="H17" s="4">
        <f>SUM(OSRRefH16x_0)</f>
        <v>141478.25</v>
      </c>
      <c r="I17" s="4"/>
      <c r="J17" s="12">
        <f t="shared" ref="J17:J19" si="5">IF(H$12=0,0,H17/H$12)</f>
        <v>0.27969901893979987</v>
      </c>
      <c r="K17" s="4"/>
      <c r="L17" s="4">
        <f t="shared" ref="L17:L19" si="6">+D17-H17</f>
        <v>16929.22</v>
      </c>
      <c r="M17" s="4"/>
      <c r="N17" s="12">
        <f t="shared" ref="N17:N19" si="7">IF(H17=0,0,L17/H17)</f>
        <v>0.11965952363702549</v>
      </c>
      <c r="O17" s="10"/>
      <c r="P17" s="4">
        <f>SUM(OSRRefP16x_0)</f>
        <v>158407.47</v>
      </c>
      <c r="Q17" s="4"/>
      <c r="R17" s="12">
        <f t="shared" ref="R17:R19" si="8">IF(P$12=0,0,P17/P$12)</f>
        <v>0.31094805908661038</v>
      </c>
      <c r="S17" s="4"/>
      <c r="T17" s="4">
        <f>SUM(OSRRefT16x_0)</f>
        <v>141478.25</v>
      </c>
      <c r="U17" s="4"/>
      <c r="V17" s="12">
        <f t="shared" ref="V17:V19" si="9">IF(T$12=0,0,T17/T$12)</f>
        <v>0.27969901893979987</v>
      </c>
      <c r="W17" s="4"/>
      <c r="X17" s="4">
        <f t="shared" ref="X17:X19" si="10">+P17-T17</f>
        <v>16929.22</v>
      </c>
      <c r="Y17" s="4"/>
      <c r="Z17" s="12">
        <f t="shared" ref="Z17:Z19" si="11">IF(T17=0,0,X17/T17)</f>
        <v>0.11965952363702549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2">
        <v>154210.47</v>
      </c>
      <c r="E18" s="2"/>
      <c r="F18" s="22">
        <f t="shared" si="4"/>
        <v>0.30270950187724077</v>
      </c>
      <c r="G18" s="2"/>
      <c r="H18" s="2">
        <v>140273.25</v>
      </c>
      <c r="I18" s="2"/>
      <c r="J18" s="22">
        <f t="shared" si="5"/>
        <v>0.27731676359085078</v>
      </c>
      <c r="K18" s="2"/>
      <c r="L18" s="2">
        <f t="shared" si="6"/>
        <v>13937.220000000001</v>
      </c>
      <c r="M18" s="2"/>
      <c r="N18" s="22">
        <f t="shared" si="7"/>
        <v>9.9357646593345492E-2</v>
      </c>
      <c r="O18" s="11"/>
      <c r="P18" s="2">
        <v>154210.47</v>
      </c>
      <c r="Q18" s="2"/>
      <c r="R18" s="22">
        <f t="shared" si="8"/>
        <v>0.30270950187724077</v>
      </c>
      <c r="S18" s="2"/>
      <c r="T18" s="2">
        <v>140273.25</v>
      </c>
      <c r="U18" s="2"/>
      <c r="V18" s="22">
        <f t="shared" si="9"/>
        <v>0.27731676359085078</v>
      </c>
      <c r="W18" s="2"/>
      <c r="X18" s="2">
        <f t="shared" si="10"/>
        <v>13937.220000000001</v>
      </c>
      <c r="Y18" s="2"/>
      <c r="Z18" s="22">
        <f t="shared" si="11"/>
        <v>9.9357646593345492E-2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2">
        <v>4197</v>
      </c>
      <c r="E19" s="2"/>
      <c r="F19" s="22">
        <f t="shared" si="4"/>
        <v>8.2385572093696333E-3</v>
      </c>
      <c r="G19" s="2"/>
      <c r="H19" s="2">
        <v>1205</v>
      </c>
      <c r="I19" s="2"/>
      <c r="J19" s="22">
        <f t="shared" si="5"/>
        <v>2.3822553489491059E-3</v>
      </c>
      <c r="K19" s="2"/>
      <c r="L19" s="2">
        <f t="shared" si="6"/>
        <v>2992</v>
      </c>
      <c r="M19" s="2"/>
      <c r="N19" s="22">
        <f t="shared" si="7"/>
        <v>2.48298755186722</v>
      </c>
      <c r="O19" s="11"/>
      <c r="P19" s="2">
        <v>4197</v>
      </c>
      <c r="Q19" s="2"/>
      <c r="R19" s="22">
        <f t="shared" si="8"/>
        <v>8.2385572093696333E-3</v>
      </c>
      <c r="S19" s="2"/>
      <c r="T19" s="2">
        <v>1205</v>
      </c>
      <c r="U19" s="2"/>
      <c r="V19" s="22">
        <f t="shared" si="9"/>
        <v>2.3822553489491059E-3</v>
      </c>
      <c r="W19" s="2"/>
      <c r="X19" s="2">
        <f t="shared" si="10"/>
        <v>2992</v>
      </c>
      <c r="Y19" s="2"/>
      <c r="Z19" s="22">
        <f t="shared" si="11"/>
        <v>2.48298755186722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D12-D17</f>
        <v>351026.39</v>
      </c>
      <c r="E21" s="13"/>
      <c r="F21" s="20">
        <f>IF(D$12=0,0,D21/D$12)</f>
        <v>0.68905194091338962</v>
      </c>
      <c r="G21" s="13"/>
      <c r="H21" s="21">
        <f>H12-H17</f>
        <v>364344.94</v>
      </c>
      <c r="I21" s="13"/>
      <c r="J21" s="20">
        <f>IF(H$12=0,0,H21/H$12)</f>
        <v>0.72030098106020013</v>
      </c>
      <c r="K21" s="16"/>
      <c r="L21" s="21">
        <f>+D21-H21</f>
        <v>-13318.549999999988</v>
      </c>
      <c r="M21" s="16"/>
      <c r="N21" s="20">
        <f>IF(H21=0,0,L21/H21)</f>
        <v>-3.6554782399338355E-2</v>
      </c>
      <c r="O21" s="26"/>
      <c r="P21" s="21">
        <f>P12-P17</f>
        <v>351026.39</v>
      </c>
      <c r="Q21" s="13"/>
      <c r="R21" s="20">
        <f>IF(P$12=0,0,P21/P$12)</f>
        <v>0.68905194091338962</v>
      </c>
      <c r="S21" s="13"/>
      <c r="T21" s="21">
        <f>T12-T17</f>
        <v>364344.94</v>
      </c>
      <c r="U21" s="13"/>
      <c r="V21" s="20">
        <f>IF(T$12=0,0,T21/T$12)</f>
        <v>0.72030098106020013</v>
      </c>
      <c r="W21" s="16"/>
      <c r="X21" s="21">
        <f>+P21-T21</f>
        <v>-13318.549999999988</v>
      </c>
      <c r="Y21" s="16"/>
      <c r="Z21" s="20">
        <f>IF(T21=0,0,X21/T21)</f>
        <v>-3.6554782399338355E-2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19">
        <f>SUM(OSRRefD22x_0)</f>
        <v>405619.70000000007</v>
      </c>
      <c r="E23" s="19"/>
      <c r="F23" s="35">
        <f t="shared" ref="F23:F33" si="12">IF(D$12=0,0,D23/D$12)</f>
        <v>0.79621660798126004</v>
      </c>
      <c r="G23" s="19"/>
      <c r="H23" s="19">
        <f>SUM(OSRRefH22x_0)</f>
        <v>335522.61999999988</v>
      </c>
      <c r="I23" s="19"/>
      <c r="J23" s="35">
        <f t="shared" ref="J23:J33" si="13">IF(H$12=0,0,H23/H$12)</f>
        <v>0.66331996364184065</v>
      </c>
      <c r="K23" s="4"/>
      <c r="L23" s="19">
        <f t="shared" ref="L23:L33" si="14">+D23-H23</f>
        <v>70097.080000000191</v>
      </c>
      <c r="M23" s="4"/>
      <c r="N23" s="35">
        <f t="shared" ref="N23:N33" si="15">IF(H23=0,0,L23/H23)</f>
        <v>0.20891908867426051</v>
      </c>
      <c r="O23" s="10"/>
      <c r="P23" s="19">
        <f>SUM(OSRRefP22x_0)</f>
        <v>405619.70000000007</v>
      </c>
      <c r="Q23" s="19"/>
      <c r="R23" s="35">
        <f t="shared" ref="R23:R33" si="16">IF(P$12=0,0,P23/P$12)</f>
        <v>0.79621660798126004</v>
      </c>
      <c r="S23" s="19"/>
      <c r="T23" s="19">
        <f>SUM(OSRRefT22x_0)</f>
        <v>335522.61999999988</v>
      </c>
      <c r="U23" s="19"/>
      <c r="V23" s="35">
        <f t="shared" ref="V23:V33" si="17">IF(T$12=0,0,T23/T$12)</f>
        <v>0.66331996364184065</v>
      </c>
      <c r="W23" s="4"/>
      <c r="X23" s="19">
        <f t="shared" ref="X23:X33" si="18">+P23-T23</f>
        <v>70097.080000000191</v>
      </c>
      <c r="Y23" s="4"/>
      <c r="Z23" s="35">
        <f t="shared" ref="Z23:Z33" si="19">IF(T23=0,0,X23/T23)</f>
        <v>0.20891908867426051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100933.98</v>
      </c>
      <c r="E24" s="1"/>
      <c r="F24" s="5">
        <f t="shared" si="12"/>
        <v>0.19812970421714804</v>
      </c>
      <c r="G24" s="1"/>
      <c r="H24" s="1">
        <f>SUM(OSRRefH22_0x_0)</f>
        <v>69532.23</v>
      </c>
      <c r="I24" s="1"/>
      <c r="J24" s="5">
        <f t="shared" si="13"/>
        <v>0.13746350775258048</v>
      </c>
      <c r="K24" s="1"/>
      <c r="L24" s="1">
        <f t="shared" si="14"/>
        <v>31401.75</v>
      </c>
      <c r="M24" s="1"/>
      <c r="N24" s="5">
        <f t="shared" si="15"/>
        <v>0.45161430893270649</v>
      </c>
      <c r="O24" s="14"/>
      <c r="P24" s="1">
        <f>SUM(OSRRefP22_0x_0)</f>
        <v>100933.98</v>
      </c>
      <c r="Q24" s="1"/>
      <c r="R24" s="5">
        <f t="shared" si="16"/>
        <v>0.19812970421714804</v>
      </c>
      <c r="S24" s="1"/>
      <c r="T24" s="1">
        <f>SUM(OSRRefT22_0x_0)</f>
        <v>69532.23</v>
      </c>
      <c r="U24" s="1"/>
      <c r="V24" s="5">
        <f t="shared" si="17"/>
        <v>0.13746350775258048</v>
      </c>
      <c r="W24" s="1"/>
      <c r="X24" s="1">
        <f t="shared" si="18"/>
        <v>31401.75</v>
      </c>
      <c r="Y24" s="1"/>
      <c r="Z24" s="5">
        <f t="shared" si="19"/>
        <v>0.45161430893270649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13134.84</v>
      </c>
      <c r="E25" s="2"/>
      <c r="F25" s="6">
        <f t="shared" si="12"/>
        <v>2.5783209620185044E-2</v>
      </c>
      <c r="G25" s="2"/>
      <c r="H25" s="7">
        <v>11297.26</v>
      </c>
      <c r="I25" s="2"/>
      <c r="J25" s="6">
        <f t="shared" si="13"/>
        <v>2.2334405031924298E-2</v>
      </c>
      <c r="K25" s="2"/>
      <c r="L25" s="7">
        <f t="shared" si="14"/>
        <v>1837.58</v>
      </c>
      <c r="M25" s="2"/>
      <c r="N25" s="6">
        <f t="shared" si="15"/>
        <v>0.16265713987285413</v>
      </c>
      <c r="O25" s="11"/>
      <c r="P25" s="7">
        <v>13134.84</v>
      </c>
      <c r="Q25" s="2"/>
      <c r="R25" s="6">
        <f t="shared" si="16"/>
        <v>2.5783209620185044E-2</v>
      </c>
      <c r="S25" s="2"/>
      <c r="T25" s="7">
        <v>11297.26</v>
      </c>
      <c r="U25" s="2"/>
      <c r="V25" s="6">
        <f t="shared" si="17"/>
        <v>2.2334405031924298E-2</v>
      </c>
      <c r="W25" s="2"/>
      <c r="X25" s="7">
        <f t="shared" si="18"/>
        <v>1837.58</v>
      </c>
      <c r="Y25" s="2"/>
      <c r="Z25" s="6">
        <f t="shared" si="19"/>
        <v>0.16265713987285413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7054.76</v>
      </c>
      <c r="E26" s="2"/>
      <c r="F26" s="6">
        <f t="shared" si="12"/>
        <v>1.384823537249762E-2</v>
      </c>
      <c r="G26" s="2"/>
      <c r="H26" s="7">
        <v>7686.26</v>
      </c>
      <c r="I26" s="2"/>
      <c r="J26" s="6">
        <f t="shared" si="13"/>
        <v>1.5195546886650254E-2</v>
      </c>
      <c r="K26" s="2"/>
      <c r="L26" s="7">
        <f t="shared" si="14"/>
        <v>-631.5</v>
      </c>
      <c r="M26" s="2"/>
      <c r="N26" s="6">
        <f t="shared" si="15"/>
        <v>-8.2159593872702719E-2</v>
      </c>
      <c r="O26" s="11"/>
      <c r="P26" s="7">
        <v>7054.76</v>
      </c>
      <c r="Q26" s="2"/>
      <c r="R26" s="6">
        <f t="shared" si="16"/>
        <v>1.384823537249762E-2</v>
      </c>
      <c r="S26" s="2"/>
      <c r="T26" s="7">
        <v>7686.26</v>
      </c>
      <c r="U26" s="2"/>
      <c r="V26" s="6">
        <f t="shared" si="17"/>
        <v>1.5195546886650254E-2</v>
      </c>
      <c r="W26" s="2"/>
      <c r="X26" s="7">
        <f t="shared" si="18"/>
        <v>-631.5</v>
      </c>
      <c r="Y26" s="2"/>
      <c r="Z26" s="6">
        <f t="shared" si="19"/>
        <v>-8.2159593872702719E-2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44461.03</v>
      </c>
      <c r="E27" s="2"/>
      <c r="F27" s="6">
        <f t="shared" si="12"/>
        <v>8.727537270490815E-2</v>
      </c>
      <c r="G27" s="2"/>
      <c r="H27" s="7">
        <v>18355.43</v>
      </c>
      <c r="I27" s="2"/>
      <c r="J27" s="6">
        <f t="shared" si="13"/>
        <v>3.628823344378497E-2</v>
      </c>
      <c r="K27" s="2"/>
      <c r="L27" s="7">
        <f t="shared" si="14"/>
        <v>26105.599999999999</v>
      </c>
      <c r="M27" s="2"/>
      <c r="N27" s="6">
        <f t="shared" si="15"/>
        <v>1.4222276459881353</v>
      </c>
      <c r="O27" s="11"/>
      <c r="P27" s="7">
        <v>44461.03</v>
      </c>
      <c r="Q27" s="2"/>
      <c r="R27" s="6">
        <f t="shared" si="16"/>
        <v>8.727537270490815E-2</v>
      </c>
      <c r="S27" s="2"/>
      <c r="T27" s="7">
        <v>18355.43</v>
      </c>
      <c r="U27" s="2"/>
      <c r="V27" s="6">
        <f t="shared" si="17"/>
        <v>3.628823344378497E-2</v>
      </c>
      <c r="W27" s="2"/>
      <c r="X27" s="7">
        <f t="shared" si="18"/>
        <v>26105.599999999999</v>
      </c>
      <c r="Y27" s="2"/>
      <c r="Z27" s="6">
        <f t="shared" si="19"/>
        <v>1.4222276459881353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474.02</v>
      </c>
      <c r="E28" s="2"/>
      <c r="F28" s="6">
        <f t="shared" si="12"/>
        <v>9.3048389048972912E-4</v>
      </c>
      <c r="G28" s="2"/>
      <c r="H28" s="7">
        <v>570.97</v>
      </c>
      <c r="I28" s="2"/>
      <c r="J28" s="6">
        <f t="shared" si="13"/>
        <v>1.1287936403232125E-3</v>
      </c>
      <c r="K28" s="2"/>
      <c r="L28" s="7">
        <f t="shared" si="14"/>
        <v>-96.950000000000045</v>
      </c>
      <c r="M28" s="2"/>
      <c r="N28" s="6">
        <f t="shared" si="15"/>
        <v>-0.169798763507715</v>
      </c>
      <c r="O28" s="11"/>
      <c r="P28" s="7">
        <v>474.02</v>
      </c>
      <c r="Q28" s="2"/>
      <c r="R28" s="6">
        <f t="shared" si="16"/>
        <v>9.3048389048972912E-4</v>
      </c>
      <c r="S28" s="2"/>
      <c r="T28" s="7">
        <v>570.97</v>
      </c>
      <c r="U28" s="2"/>
      <c r="V28" s="6">
        <f t="shared" si="17"/>
        <v>1.1287936403232125E-3</v>
      </c>
      <c r="W28" s="2"/>
      <c r="X28" s="7">
        <f t="shared" si="18"/>
        <v>-96.950000000000045</v>
      </c>
      <c r="Y28" s="2"/>
      <c r="Z28" s="6">
        <f t="shared" si="19"/>
        <v>-0.169798763507715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3962.54</v>
      </c>
      <c r="E29" s="2"/>
      <c r="F29" s="6">
        <f t="shared" si="12"/>
        <v>7.7783208206851423E-3</v>
      </c>
      <c r="G29" s="2"/>
      <c r="H29" s="7">
        <v>4869.6000000000004</v>
      </c>
      <c r="I29" s="2"/>
      <c r="J29" s="6">
        <f t="shared" si="13"/>
        <v>9.6270793753050355E-3</v>
      </c>
      <c r="K29" s="2"/>
      <c r="L29" s="7">
        <f t="shared" si="14"/>
        <v>-907.0600000000004</v>
      </c>
      <c r="M29" s="2"/>
      <c r="N29" s="6">
        <f t="shared" si="15"/>
        <v>-0.18626991950057506</v>
      </c>
      <c r="O29" s="11"/>
      <c r="P29" s="7">
        <v>3962.54</v>
      </c>
      <c r="Q29" s="2"/>
      <c r="R29" s="6">
        <f t="shared" si="16"/>
        <v>7.7783208206851423E-3</v>
      </c>
      <c r="S29" s="2"/>
      <c r="T29" s="7">
        <v>4869.6000000000004</v>
      </c>
      <c r="U29" s="2"/>
      <c r="V29" s="6">
        <f t="shared" si="17"/>
        <v>9.6270793753050355E-3</v>
      </c>
      <c r="W29" s="2"/>
      <c r="X29" s="7">
        <f t="shared" si="18"/>
        <v>-907.0600000000004</v>
      </c>
      <c r="Y29" s="2"/>
      <c r="Z29" s="6">
        <f t="shared" si="19"/>
        <v>-0.18626991950057506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1382.26</v>
      </c>
      <c r="E30" s="2"/>
      <c r="F30" s="6">
        <f t="shared" si="12"/>
        <v>2.7133257298602022E-3</v>
      </c>
      <c r="G30" s="2"/>
      <c r="H30" s="7">
        <v>1275.29</v>
      </c>
      <c r="I30" s="2"/>
      <c r="J30" s="6">
        <f t="shared" si="13"/>
        <v>2.5212169493454817E-3</v>
      </c>
      <c r="K30" s="2"/>
      <c r="L30" s="7">
        <f t="shared" si="14"/>
        <v>106.97000000000003</v>
      </c>
      <c r="M30" s="2"/>
      <c r="N30" s="6">
        <f t="shared" si="15"/>
        <v>8.3878960863803545E-2</v>
      </c>
      <c r="O30" s="11"/>
      <c r="P30" s="7">
        <v>1382.26</v>
      </c>
      <c r="Q30" s="2"/>
      <c r="R30" s="6">
        <f t="shared" si="16"/>
        <v>2.7133257298602022E-3</v>
      </c>
      <c r="S30" s="2"/>
      <c r="T30" s="7">
        <v>1275.29</v>
      </c>
      <c r="U30" s="2"/>
      <c r="V30" s="6">
        <f t="shared" si="17"/>
        <v>2.5212169493454817E-3</v>
      </c>
      <c r="W30" s="2"/>
      <c r="X30" s="7">
        <f t="shared" si="18"/>
        <v>106.97000000000003</v>
      </c>
      <c r="Y30" s="2"/>
      <c r="Z30" s="6">
        <f t="shared" si="19"/>
        <v>8.3878960863803545E-2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10944.66</v>
      </c>
      <c r="E31" s="2"/>
      <c r="F31" s="6">
        <f t="shared" si="12"/>
        <v>2.148396653492958E-2</v>
      </c>
      <c r="G31" s="2"/>
      <c r="H31" s="7">
        <v>9529.23</v>
      </c>
      <c r="I31" s="2"/>
      <c r="J31" s="6">
        <f t="shared" si="13"/>
        <v>1.8839053227274929E-2</v>
      </c>
      <c r="K31" s="2"/>
      <c r="L31" s="7">
        <f t="shared" si="14"/>
        <v>1415.4300000000003</v>
      </c>
      <c r="M31" s="2"/>
      <c r="N31" s="6">
        <f t="shared" si="15"/>
        <v>0.14853561095702383</v>
      </c>
      <c r="O31" s="11"/>
      <c r="P31" s="7">
        <v>10944.66</v>
      </c>
      <c r="Q31" s="2"/>
      <c r="R31" s="6">
        <f t="shared" si="16"/>
        <v>2.148396653492958E-2</v>
      </c>
      <c r="S31" s="2"/>
      <c r="T31" s="7">
        <v>9529.23</v>
      </c>
      <c r="U31" s="2"/>
      <c r="V31" s="6">
        <f t="shared" si="17"/>
        <v>1.8839053227274929E-2</v>
      </c>
      <c r="W31" s="2"/>
      <c r="X31" s="7">
        <f t="shared" si="18"/>
        <v>1415.4300000000003</v>
      </c>
      <c r="Y31" s="2"/>
      <c r="Z31" s="6">
        <f t="shared" si="19"/>
        <v>0.14853561095702383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16429.3</v>
      </c>
      <c r="E32" s="2"/>
      <c r="F32" s="6">
        <f t="shared" si="12"/>
        <v>3.2250113881319153E-2</v>
      </c>
      <c r="G32" s="2"/>
      <c r="H32" s="7">
        <v>12456.58</v>
      </c>
      <c r="I32" s="2"/>
      <c r="J32" s="6">
        <f t="shared" si="13"/>
        <v>2.4626352144906601E-2</v>
      </c>
      <c r="K32" s="2"/>
      <c r="L32" s="7">
        <f t="shared" si="14"/>
        <v>3972.7199999999993</v>
      </c>
      <c r="M32" s="2"/>
      <c r="N32" s="6">
        <f t="shared" si="15"/>
        <v>0.31892541933660756</v>
      </c>
      <c r="O32" s="11"/>
      <c r="P32" s="7">
        <v>16429.3</v>
      </c>
      <c r="Q32" s="2"/>
      <c r="R32" s="6">
        <f t="shared" si="16"/>
        <v>3.2250113881319153E-2</v>
      </c>
      <c r="S32" s="2"/>
      <c r="T32" s="7">
        <v>12456.58</v>
      </c>
      <c r="U32" s="2"/>
      <c r="V32" s="6">
        <f t="shared" si="17"/>
        <v>2.4626352144906601E-2</v>
      </c>
      <c r="W32" s="2"/>
      <c r="X32" s="7">
        <f t="shared" si="18"/>
        <v>3972.7199999999993</v>
      </c>
      <c r="Y32" s="2"/>
      <c r="Z32" s="6">
        <f t="shared" si="19"/>
        <v>0.31892541933660756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3090.57</v>
      </c>
      <c r="E33" s="2"/>
      <c r="F33" s="6">
        <f t="shared" si="12"/>
        <v>6.0666756622734111E-3</v>
      </c>
      <c r="G33" s="2"/>
      <c r="H33" s="7">
        <v>3491.61</v>
      </c>
      <c r="I33" s="2"/>
      <c r="J33" s="6">
        <f t="shared" si="13"/>
        <v>6.902827053065717E-3</v>
      </c>
      <c r="K33" s="2"/>
      <c r="L33" s="7">
        <f t="shared" si="14"/>
        <v>-401.03999999999996</v>
      </c>
      <c r="M33" s="2"/>
      <c r="N33" s="6">
        <f t="shared" si="15"/>
        <v>-0.11485818862931425</v>
      </c>
      <c r="O33" s="11"/>
      <c r="P33" s="7">
        <v>3090.57</v>
      </c>
      <c r="Q33" s="2"/>
      <c r="R33" s="6">
        <f t="shared" si="16"/>
        <v>6.0666756622734111E-3</v>
      </c>
      <c r="S33" s="2"/>
      <c r="T33" s="7">
        <v>3491.61</v>
      </c>
      <c r="U33" s="2"/>
      <c r="V33" s="6">
        <f t="shared" si="17"/>
        <v>6.902827053065717E-3</v>
      </c>
      <c r="W33" s="2"/>
      <c r="X33" s="7">
        <f t="shared" si="18"/>
        <v>-401.03999999999996</v>
      </c>
      <c r="Y33" s="2"/>
      <c r="Z33" s="6">
        <f t="shared" si="19"/>
        <v>-0.11485818862931425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205421.06</v>
      </c>
      <c r="E34" s="1"/>
      <c r="F34" s="5">
        <f t="shared" ref="F34:F41" si="20">IF(D$12=0,0,D34/D$12)</f>
        <v>0.40323401353808719</v>
      </c>
      <c r="G34" s="1"/>
      <c r="H34" s="1">
        <f>SUM(OSRRefH22_1x_0)</f>
        <v>175130.25999999998</v>
      </c>
      <c r="I34" s="1"/>
      <c r="J34" s="5">
        <f t="shared" ref="J34:J41" si="21">IF(H$12=0,0,H34/H$12)</f>
        <v>0.34622821464551673</v>
      </c>
      <c r="K34" s="1"/>
      <c r="L34" s="1">
        <f t="shared" ref="L34:L41" si="22">+D34-H34</f>
        <v>30290.800000000017</v>
      </c>
      <c r="M34" s="1"/>
      <c r="N34" s="5">
        <f t="shared" ref="N34:N41" si="23">IF(H34=0,0,L34/H34)</f>
        <v>0.17296154302517464</v>
      </c>
      <c r="O34" s="14"/>
      <c r="P34" s="1">
        <f>SUM(OSRRefP22_1x_0)</f>
        <v>205421.06</v>
      </c>
      <c r="Q34" s="1"/>
      <c r="R34" s="5">
        <f t="shared" ref="R34:R41" si="24">IF(P$12=0,0,P34/P$12)</f>
        <v>0.40323401353808719</v>
      </c>
      <c r="S34" s="1"/>
      <c r="T34" s="1">
        <f>SUM(OSRRefT22_1x_0)</f>
        <v>175130.25999999998</v>
      </c>
      <c r="U34" s="1"/>
      <c r="V34" s="5">
        <f t="shared" ref="V34:V41" si="25">IF(T$12=0,0,T34/T$12)</f>
        <v>0.34622821464551673</v>
      </c>
      <c r="W34" s="1"/>
      <c r="X34" s="1">
        <f t="shared" ref="X34:X41" si="26">+P34-T34</f>
        <v>30290.800000000017</v>
      </c>
      <c r="Y34" s="1"/>
      <c r="Z34" s="5">
        <f t="shared" ref="Z34:Z41" si="27">IF(T34=0,0,X34/T34)</f>
        <v>0.17296154302517464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7">
        <v>7737.53</v>
      </c>
      <c r="E35" s="2"/>
      <c r="F35" s="6">
        <f t="shared" si="20"/>
        <v>1.5188487863763119E-2</v>
      </c>
      <c r="G35" s="2"/>
      <c r="H35" s="7">
        <v>9884.7999999999993</v>
      </c>
      <c r="I35" s="2"/>
      <c r="J35" s="6">
        <f t="shared" si="21"/>
        <v>1.9542006367877281E-2</v>
      </c>
      <c r="K35" s="2"/>
      <c r="L35" s="7">
        <f t="shared" si="22"/>
        <v>-2147.2699999999995</v>
      </c>
      <c r="M35" s="2"/>
      <c r="N35" s="6">
        <f t="shared" si="23"/>
        <v>-0.21722948365166717</v>
      </c>
      <c r="O35" s="11"/>
      <c r="P35" s="7">
        <v>7737.53</v>
      </c>
      <c r="Q35" s="2"/>
      <c r="R35" s="6">
        <f t="shared" si="24"/>
        <v>1.5188487863763119E-2</v>
      </c>
      <c r="S35" s="2"/>
      <c r="T35" s="7">
        <v>9884.7999999999993</v>
      </c>
      <c r="U35" s="2"/>
      <c r="V35" s="6">
        <f t="shared" si="25"/>
        <v>1.9542006367877281E-2</v>
      </c>
      <c r="W35" s="2"/>
      <c r="X35" s="7">
        <f t="shared" si="26"/>
        <v>-2147.2699999999995</v>
      </c>
      <c r="Y35" s="2"/>
      <c r="Z35" s="6">
        <f t="shared" si="27"/>
        <v>-0.21722948365166717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45384.409999999996</v>
      </c>
      <c r="E36" s="2"/>
      <c r="F36" s="6">
        <f t="shared" si="20"/>
        <v>8.908793380950375E-2</v>
      </c>
      <c r="G36" s="2"/>
      <c r="H36" s="7">
        <v>40108</v>
      </c>
      <c r="I36" s="2"/>
      <c r="J36" s="6">
        <f t="shared" si="21"/>
        <v>7.9292529075228838E-2</v>
      </c>
      <c r="K36" s="2"/>
      <c r="L36" s="7">
        <f t="shared" si="22"/>
        <v>5276.4099999999962</v>
      </c>
      <c r="M36" s="2"/>
      <c r="N36" s="6">
        <f t="shared" si="23"/>
        <v>0.13155505136132434</v>
      </c>
      <c r="O36" s="11"/>
      <c r="P36" s="7">
        <v>45384.409999999996</v>
      </c>
      <c r="Q36" s="2"/>
      <c r="R36" s="6">
        <f t="shared" si="24"/>
        <v>8.908793380950375E-2</v>
      </c>
      <c r="S36" s="2"/>
      <c r="T36" s="7">
        <v>40108</v>
      </c>
      <c r="U36" s="2"/>
      <c r="V36" s="6">
        <f t="shared" si="25"/>
        <v>7.9292529075228838E-2</v>
      </c>
      <c r="W36" s="2"/>
      <c r="X36" s="7">
        <f t="shared" si="26"/>
        <v>5276.4099999999962</v>
      </c>
      <c r="Y36" s="2"/>
      <c r="Z36" s="6">
        <f t="shared" si="27"/>
        <v>0.13155505136132434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>
        <v>45772.49</v>
      </c>
      <c r="E37" s="2"/>
      <c r="F37" s="6">
        <f t="shared" si="20"/>
        <v>8.9849720629092064E-2</v>
      </c>
      <c r="G37" s="2"/>
      <c r="H37" s="7">
        <v>48558.57</v>
      </c>
      <c r="I37" s="2"/>
      <c r="J37" s="6">
        <f t="shared" si="21"/>
        <v>9.5999098024746557E-2</v>
      </c>
      <c r="K37" s="2"/>
      <c r="L37" s="7">
        <f t="shared" si="22"/>
        <v>-2786.0800000000017</v>
      </c>
      <c r="M37" s="2"/>
      <c r="N37" s="6">
        <f t="shared" si="23"/>
        <v>-5.7375659950447508E-2</v>
      </c>
      <c r="O37" s="11"/>
      <c r="P37" s="7">
        <v>45772.49</v>
      </c>
      <c r="Q37" s="2"/>
      <c r="R37" s="6">
        <f t="shared" si="24"/>
        <v>8.9849720629092064E-2</v>
      </c>
      <c r="S37" s="2"/>
      <c r="T37" s="7">
        <v>48558.57</v>
      </c>
      <c r="U37" s="2"/>
      <c r="V37" s="6">
        <f t="shared" si="25"/>
        <v>9.5999098024746557E-2</v>
      </c>
      <c r="W37" s="2"/>
      <c r="X37" s="7">
        <f t="shared" si="26"/>
        <v>-2786.0800000000017</v>
      </c>
      <c r="Y37" s="2"/>
      <c r="Z37" s="6">
        <f t="shared" si="27"/>
        <v>-5.7375659950447508E-2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>
        <v>34175.409999999996</v>
      </c>
      <c r="E38" s="2"/>
      <c r="F38" s="6">
        <f t="shared" si="20"/>
        <v>6.7085077540782231E-2</v>
      </c>
      <c r="G38" s="2"/>
      <c r="H38" s="7">
        <v>22851.15</v>
      </c>
      <c r="I38" s="2"/>
      <c r="J38" s="6">
        <f t="shared" si="21"/>
        <v>4.5176161259035993E-2</v>
      </c>
      <c r="K38" s="2"/>
      <c r="L38" s="7">
        <f t="shared" si="22"/>
        <v>11324.259999999995</v>
      </c>
      <c r="M38" s="2"/>
      <c r="N38" s="6">
        <f t="shared" si="23"/>
        <v>0.4955663062909304</v>
      </c>
      <c r="O38" s="11"/>
      <c r="P38" s="7">
        <v>34175.409999999996</v>
      </c>
      <c r="Q38" s="2"/>
      <c r="R38" s="6">
        <f t="shared" si="24"/>
        <v>6.7085077540782231E-2</v>
      </c>
      <c r="S38" s="2"/>
      <c r="T38" s="7">
        <v>22851.15</v>
      </c>
      <c r="U38" s="2"/>
      <c r="V38" s="6">
        <f t="shared" si="25"/>
        <v>4.5176161259035993E-2</v>
      </c>
      <c r="W38" s="2"/>
      <c r="X38" s="7">
        <f t="shared" si="26"/>
        <v>11324.259999999995</v>
      </c>
      <c r="Y38" s="2"/>
      <c r="Z38" s="6">
        <f t="shared" si="27"/>
        <v>0.4955663062909304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>
        <v>6324.57</v>
      </c>
      <c r="E39" s="2"/>
      <c r="F39" s="6">
        <f t="shared" si="20"/>
        <v>1.241489915884272E-2</v>
      </c>
      <c r="G39" s="2"/>
      <c r="H39" s="7">
        <v>2408.81</v>
      </c>
      <c r="I39" s="2"/>
      <c r="J39" s="6">
        <f t="shared" si="21"/>
        <v>4.7621580971801631E-3</v>
      </c>
      <c r="K39" s="2"/>
      <c r="L39" s="7">
        <f t="shared" si="22"/>
        <v>3915.7599999999998</v>
      </c>
      <c r="M39" s="2"/>
      <c r="N39" s="6">
        <f t="shared" si="23"/>
        <v>1.6255993623407408</v>
      </c>
      <c r="O39" s="11"/>
      <c r="P39" s="7">
        <v>6324.57</v>
      </c>
      <c r="Q39" s="2"/>
      <c r="R39" s="6">
        <f t="shared" si="24"/>
        <v>1.241489915884272E-2</v>
      </c>
      <c r="S39" s="2"/>
      <c r="T39" s="7">
        <v>2408.81</v>
      </c>
      <c r="U39" s="2"/>
      <c r="V39" s="6">
        <f t="shared" si="25"/>
        <v>4.7621580971801631E-3</v>
      </c>
      <c r="W39" s="2"/>
      <c r="X39" s="7">
        <f t="shared" si="26"/>
        <v>3915.7599999999998</v>
      </c>
      <c r="Y39" s="2"/>
      <c r="Z39" s="6">
        <f t="shared" si="27"/>
        <v>1.6255993623407408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>
        <v>56756.65</v>
      </c>
      <c r="E40" s="2"/>
      <c r="F40" s="6">
        <f t="shared" si="20"/>
        <v>0.11141122421662353</v>
      </c>
      <c r="G40" s="2"/>
      <c r="H40" s="7">
        <v>47422.18</v>
      </c>
      <c r="I40" s="2"/>
      <c r="J40" s="6">
        <f t="shared" si="21"/>
        <v>9.3752482957533051E-2</v>
      </c>
      <c r="K40" s="2"/>
      <c r="L40" s="7">
        <f t="shared" si="22"/>
        <v>9334.4700000000012</v>
      </c>
      <c r="M40" s="2"/>
      <c r="N40" s="6">
        <f t="shared" si="23"/>
        <v>0.19683764010848934</v>
      </c>
      <c r="O40" s="11"/>
      <c r="P40" s="7">
        <v>56756.65</v>
      </c>
      <c r="Q40" s="2"/>
      <c r="R40" s="6">
        <f t="shared" si="24"/>
        <v>0.11141122421662353</v>
      </c>
      <c r="S40" s="2"/>
      <c r="T40" s="7">
        <v>47422.18</v>
      </c>
      <c r="U40" s="2"/>
      <c r="V40" s="6">
        <f t="shared" si="25"/>
        <v>9.3752482957533051E-2</v>
      </c>
      <c r="W40" s="2"/>
      <c r="X40" s="7">
        <f t="shared" si="26"/>
        <v>9334.4700000000012</v>
      </c>
      <c r="Y40" s="2"/>
      <c r="Z40" s="6">
        <f t="shared" si="27"/>
        <v>0.19683764010848934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>
        <v>9270</v>
      </c>
      <c r="E41" s="2"/>
      <c r="F41" s="6">
        <f t="shared" si="20"/>
        <v>1.8196670319479746E-2</v>
      </c>
      <c r="G41" s="2"/>
      <c r="H41" s="7">
        <v>3896.75</v>
      </c>
      <c r="I41" s="2"/>
      <c r="J41" s="6">
        <f t="shared" si="21"/>
        <v>7.7037788639148794E-3</v>
      </c>
      <c r="K41" s="2"/>
      <c r="L41" s="7">
        <f t="shared" si="22"/>
        <v>5373.25</v>
      </c>
      <c r="M41" s="2"/>
      <c r="N41" s="6">
        <f t="shared" si="23"/>
        <v>1.3789054981715532</v>
      </c>
      <c r="O41" s="11"/>
      <c r="P41" s="7">
        <v>9270</v>
      </c>
      <c r="Q41" s="2"/>
      <c r="R41" s="6">
        <f t="shared" si="24"/>
        <v>1.8196670319479746E-2</v>
      </c>
      <c r="S41" s="2"/>
      <c r="T41" s="7">
        <v>3896.75</v>
      </c>
      <c r="U41" s="2"/>
      <c r="V41" s="6">
        <f t="shared" si="25"/>
        <v>7.7037788639148794E-3</v>
      </c>
      <c r="W41" s="2"/>
      <c r="X41" s="7">
        <f t="shared" si="26"/>
        <v>5373.25</v>
      </c>
      <c r="Y41" s="2"/>
      <c r="Z41" s="6">
        <f t="shared" si="27"/>
        <v>1.3789054981715532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1268.07</v>
      </c>
      <c r="E42" s="1"/>
      <c r="F42" s="5">
        <f t="shared" ref="F42:F60" si="28">IF(D$12=0,0,D42/D$12)</f>
        <v>2.4891749441232664E-3</v>
      </c>
      <c r="G42" s="1"/>
      <c r="H42" s="1">
        <f>SUM(OSRRefH22_2x_0)</f>
        <v>2994.96</v>
      </c>
      <c r="I42" s="1"/>
      <c r="J42" s="5">
        <f t="shared" ref="J42:J60" si="29">IF(H$12=0,0,H42/H$12)</f>
        <v>5.9209622239739541E-3</v>
      </c>
      <c r="K42" s="1"/>
      <c r="L42" s="1">
        <f t="shared" ref="L42:L60" si="30">+D42-H42</f>
        <v>-1726.89</v>
      </c>
      <c r="M42" s="1"/>
      <c r="N42" s="5">
        <f t="shared" ref="N42:N60" si="31">IF(H42=0,0,L42/H42)</f>
        <v>-0.57659868579213081</v>
      </c>
      <c r="O42" s="14"/>
      <c r="P42" s="1">
        <f>SUM(OSRRefP22_2x_0)</f>
        <v>1268.07</v>
      </c>
      <c r="Q42" s="1"/>
      <c r="R42" s="5">
        <f t="shared" ref="R42:R60" si="32">IF(P$12=0,0,P42/P$12)</f>
        <v>2.4891749441232664E-3</v>
      </c>
      <c r="S42" s="1"/>
      <c r="T42" s="1">
        <f>SUM(OSRRefT22_2x_0)</f>
        <v>2994.96</v>
      </c>
      <c r="U42" s="1"/>
      <c r="V42" s="5">
        <f t="shared" ref="V42:V60" si="33">IF(T$12=0,0,T42/T$12)</f>
        <v>5.9209622239739541E-3</v>
      </c>
      <c r="W42" s="1"/>
      <c r="X42" s="1">
        <f t="shared" ref="X42:X60" si="34">+P42-T42</f>
        <v>-1726.89</v>
      </c>
      <c r="Y42" s="1"/>
      <c r="Z42" s="5">
        <f t="shared" ref="Z42:Z60" si="35">IF(T42=0,0,X42/T42)</f>
        <v>-0.57659868579213081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>
        <v>1268.07</v>
      </c>
      <c r="E43" s="2"/>
      <c r="F43" s="6">
        <f t="shared" si="28"/>
        <v>2.4891749441232664E-3</v>
      </c>
      <c r="G43" s="2"/>
      <c r="H43" s="7">
        <v>2994.96</v>
      </c>
      <c r="I43" s="2"/>
      <c r="J43" s="6">
        <f t="shared" si="29"/>
        <v>5.9209622239739541E-3</v>
      </c>
      <c r="K43" s="2"/>
      <c r="L43" s="7">
        <f t="shared" si="30"/>
        <v>-1726.89</v>
      </c>
      <c r="M43" s="2"/>
      <c r="N43" s="6">
        <f t="shared" si="31"/>
        <v>-0.57659868579213081</v>
      </c>
      <c r="O43" s="11"/>
      <c r="P43" s="7">
        <v>1268.07</v>
      </c>
      <c r="Q43" s="2"/>
      <c r="R43" s="6">
        <f t="shared" si="32"/>
        <v>2.4891749441232664E-3</v>
      </c>
      <c r="S43" s="2"/>
      <c r="T43" s="7">
        <v>2994.96</v>
      </c>
      <c r="U43" s="2"/>
      <c r="V43" s="6">
        <f t="shared" si="33"/>
        <v>5.9209622239739541E-3</v>
      </c>
      <c r="W43" s="2"/>
      <c r="X43" s="7">
        <f t="shared" si="34"/>
        <v>-1726.89</v>
      </c>
      <c r="Y43" s="2"/>
      <c r="Z43" s="6">
        <f t="shared" si="35"/>
        <v>-0.57659868579213081</v>
      </c>
    </row>
    <row r="44" spans="1:26" s="28" customFormat="1" outlineLevel="1" collapsed="1" x14ac:dyDescent="0.25">
      <c r="A44" s="27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-2.1</v>
      </c>
      <c r="E44" s="1"/>
      <c r="F44" s="5">
        <f t="shared" si="28"/>
        <v>-4.1222230497203314E-6</v>
      </c>
      <c r="G44" s="1"/>
      <c r="H44" s="1">
        <f>SUM(OSRRefH22_3x_0)</f>
        <v>1.02</v>
      </c>
      <c r="I44" s="1"/>
      <c r="J44" s="5">
        <f t="shared" si="29"/>
        <v>2.0165149011851354E-6</v>
      </c>
      <c r="K44" s="1"/>
      <c r="L44" s="1">
        <f t="shared" si="30"/>
        <v>-3.12</v>
      </c>
      <c r="M44" s="1"/>
      <c r="N44" s="5">
        <f t="shared" si="31"/>
        <v>-3.0588235294117649</v>
      </c>
      <c r="O44" s="14"/>
      <c r="P44" s="1">
        <f>SUM(OSRRefP22_3x_0)</f>
        <v>-2.1</v>
      </c>
      <c r="Q44" s="1"/>
      <c r="R44" s="5">
        <f t="shared" si="32"/>
        <v>-4.1222230497203314E-6</v>
      </c>
      <c r="S44" s="1"/>
      <c r="T44" s="1">
        <f>SUM(OSRRefT22_3x_0)</f>
        <v>1.02</v>
      </c>
      <c r="U44" s="1"/>
      <c r="V44" s="5">
        <f t="shared" si="33"/>
        <v>2.0165149011851354E-6</v>
      </c>
      <c r="W44" s="1"/>
      <c r="X44" s="1">
        <f t="shared" si="34"/>
        <v>-3.12</v>
      </c>
      <c r="Y44" s="1"/>
      <c r="Z44" s="5">
        <f t="shared" si="35"/>
        <v>-3.0588235294117649</v>
      </c>
    </row>
    <row r="45" spans="1:26" s="24" customFormat="1" hidden="1" outlineLevel="2" x14ac:dyDescent="0.25">
      <c r="A45" s="29"/>
      <c r="B45" s="11" t="str">
        <f>CONCATENATE("          ", "6272", " - ", "CASH (OVER/SHORT)")</f>
        <v xml:space="preserve">          6272 - CASH (OVER/SHORT)</v>
      </c>
      <c r="C45" s="11"/>
      <c r="D45" s="7">
        <v>-2.1</v>
      </c>
      <c r="E45" s="2"/>
      <c r="F45" s="6">
        <f t="shared" si="28"/>
        <v>-4.1222230497203314E-6</v>
      </c>
      <c r="G45" s="2"/>
      <c r="H45" s="7">
        <v>1.02</v>
      </c>
      <c r="I45" s="2"/>
      <c r="J45" s="6">
        <f t="shared" si="29"/>
        <v>2.0165149011851354E-6</v>
      </c>
      <c r="K45" s="2"/>
      <c r="L45" s="7">
        <f t="shared" si="30"/>
        <v>-3.12</v>
      </c>
      <c r="M45" s="2"/>
      <c r="N45" s="6">
        <f t="shared" si="31"/>
        <v>-3.0588235294117649</v>
      </c>
      <c r="O45" s="11"/>
      <c r="P45" s="7">
        <v>-2.1</v>
      </c>
      <c r="Q45" s="2"/>
      <c r="R45" s="6">
        <f t="shared" si="32"/>
        <v>-4.1222230497203314E-6</v>
      </c>
      <c r="S45" s="2"/>
      <c r="T45" s="7">
        <v>1.02</v>
      </c>
      <c r="U45" s="2"/>
      <c r="V45" s="6">
        <f t="shared" si="33"/>
        <v>2.0165149011851354E-6</v>
      </c>
      <c r="W45" s="2"/>
      <c r="X45" s="7">
        <f t="shared" si="34"/>
        <v>-3.12</v>
      </c>
      <c r="Y45" s="2"/>
      <c r="Z45" s="6">
        <f t="shared" si="35"/>
        <v>-3.0588235294117649</v>
      </c>
    </row>
    <row r="46" spans="1:26" s="28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373.38</v>
      </c>
      <c r="E46" s="1"/>
      <c r="F46" s="5">
        <f t="shared" si="28"/>
        <v>7.3293125824027479E-4</v>
      </c>
      <c r="G46" s="1"/>
      <c r="H46" s="1">
        <f>SUM(OSRRefH22_4x_0)</f>
        <v>417.03</v>
      </c>
      <c r="I46" s="1"/>
      <c r="J46" s="5">
        <f t="shared" si="29"/>
        <v>8.2445804827572253E-4</v>
      </c>
      <c r="K46" s="1"/>
      <c r="L46" s="1">
        <f t="shared" si="30"/>
        <v>-43.649999999999977</v>
      </c>
      <c r="M46" s="1"/>
      <c r="N46" s="5">
        <f t="shared" si="31"/>
        <v>-0.10466872886842668</v>
      </c>
      <c r="O46" s="14"/>
      <c r="P46" s="1">
        <f>SUM(OSRRefP22_4x_0)</f>
        <v>373.38</v>
      </c>
      <c r="Q46" s="1"/>
      <c r="R46" s="5">
        <f t="shared" si="32"/>
        <v>7.3293125824027479E-4</v>
      </c>
      <c r="S46" s="1"/>
      <c r="T46" s="1">
        <f>SUM(OSRRefT22_4x_0)</f>
        <v>417.03</v>
      </c>
      <c r="U46" s="1"/>
      <c r="V46" s="5">
        <f t="shared" si="33"/>
        <v>8.2445804827572253E-4</v>
      </c>
      <c r="W46" s="1"/>
      <c r="X46" s="1">
        <f t="shared" si="34"/>
        <v>-43.649999999999977</v>
      </c>
      <c r="Y46" s="1"/>
      <c r="Z46" s="5">
        <f t="shared" si="35"/>
        <v>-0.10466872886842668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>
        <v>373.38</v>
      </c>
      <c r="E47" s="2"/>
      <c r="F47" s="6">
        <f t="shared" si="28"/>
        <v>7.3293125824027479E-4</v>
      </c>
      <c r="G47" s="2"/>
      <c r="H47" s="7">
        <v>417.03</v>
      </c>
      <c r="I47" s="2"/>
      <c r="J47" s="6">
        <f t="shared" si="29"/>
        <v>8.2445804827572253E-4</v>
      </c>
      <c r="K47" s="2"/>
      <c r="L47" s="7">
        <f t="shared" si="30"/>
        <v>-43.649999999999977</v>
      </c>
      <c r="M47" s="2"/>
      <c r="N47" s="6">
        <f t="shared" si="31"/>
        <v>-0.10466872886842668</v>
      </c>
      <c r="O47" s="11"/>
      <c r="P47" s="7">
        <v>373.38</v>
      </c>
      <c r="Q47" s="2"/>
      <c r="R47" s="6">
        <f t="shared" si="32"/>
        <v>7.3293125824027479E-4</v>
      </c>
      <c r="S47" s="2"/>
      <c r="T47" s="7">
        <v>417.03</v>
      </c>
      <c r="U47" s="2"/>
      <c r="V47" s="6">
        <f t="shared" si="33"/>
        <v>8.2445804827572253E-4</v>
      </c>
      <c r="W47" s="2"/>
      <c r="X47" s="7">
        <f t="shared" si="34"/>
        <v>-43.649999999999977</v>
      </c>
      <c r="Y47" s="2"/>
      <c r="Z47" s="6">
        <f t="shared" si="35"/>
        <v>-0.10466872886842668</v>
      </c>
    </row>
    <row r="48" spans="1:26" s="28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78.11</v>
      </c>
      <c r="I48" s="1"/>
      <c r="J48" s="5">
        <f t="shared" si="29"/>
        <v>1.5442154797212836E-4</v>
      </c>
      <c r="K48" s="1"/>
      <c r="L48" s="1">
        <f t="shared" si="30"/>
        <v>-78.11</v>
      </c>
      <c r="M48" s="1"/>
      <c r="N48" s="5">
        <f t="shared" si="31"/>
        <v>-1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78.11</v>
      </c>
      <c r="U48" s="1"/>
      <c r="V48" s="5">
        <f t="shared" si="33"/>
        <v>1.5442154797212836E-4</v>
      </c>
      <c r="W48" s="1"/>
      <c r="X48" s="1">
        <f t="shared" si="34"/>
        <v>-78.11</v>
      </c>
      <c r="Y48" s="1"/>
      <c r="Z48" s="5">
        <f t="shared" si="35"/>
        <v>-1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8"/>
        <v>0</v>
      </c>
      <c r="G49" s="2"/>
      <c r="H49" s="7">
        <v>78.11</v>
      </c>
      <c r="I49" s="2"/>
      <c r="J49" s="6">
        <f t="shared" si="29"/>
        <v>1.5442154797212836E-4</v>
      </c>
      <c r="K49" s="2"/>
      <c r="L49" s="7">
        <f t="shared" si="30"/>
        <v>-78.11</v>
      </c>
      <c r="M49" s="2"/>
      <c r="N49" s="6">
        <f t="shared" si="31"/>
        <v>-1</v>
      </c>
      <c r="O49" s="11"/>
      <c r="P49" s="7"/>
      <c r="Q49" s="2"/>
      <c r="R49" s="6">
        <f t="shared" si="32"/>
        <v>0</v>
      </c>
      <c r="S49" s="2"/>
      <c r="T49" s="7">
        <v>78.11</v>
      </c>
      <c r="U49" s="2"/>
      <c r="V49" s="6">
        <f t="shared" si="33"/>
        <v>1.5442154797212836E-4</v>
      </c>
      <c r="W49" s="2"/>
      <c r="X49" s="7">
        <f t="shared" si="34"/>
        <v>-78.11</v>
      </c>
      <c r="Y49" s="2"/>
      <c r="Z49" s="6">
        <f t="shared" si="35"/>
        <v>-1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251.63</v>
      </c>
      <c r="E50" s="1"/>
      <c r="F50" s="5">
        <f t="shared" si="28"/>
        <v>4.9394046952434606E-4</v>
      </c>
      <c r="G50" s="1"/>
      <c r="H50" s="1">
        <f>SUM(OSRRefH22_6x_0)</f>
        <v>317.52999999999997</v>
      </c>
      <c r="I50" s="1"/>
      <c r="J50" s="5">
        <f t="shared" si="29"/>
        <v>6.2774899664050593E-4</v>
      </c>
      <c r="K50" s="1"/>
      <c r="L50" s="1">
        <f t="shared" si="30"/>
        <v>-65.899999999999977</v>
      </c>
      <c r="M50" s="1"/>
      <c r="N50" s="5">
        <f t="shared" si="31"/>
        <v>-0.2075394450918023</v>
      </c>
      <c r="O50" s="14"/>
      <c r="P50" s="1">
        <f>SUM(OSRRefP22_6x_0)</f>
        <v>251.63</v>
      </c>
      <c r="Q50" s="1"/>
      <c r="R50" s="5">
        <f t="shared" si="32"/>
        <v>4.9394046952434606E-4</v>
      </c>
      <c r="S50" s="1"/>
      <c r="T50" s="1">
        <f>SUM(OSRRefT22_6x_0)</f>
        <v>317.52999999999997</v>
      </c>
      <c r="U50" s="1"/>
      <c r="V50" s="5">
        <f t="shared" si="33"/>
        <v>6.2774899664050593E-4</v>
      </c>
      <c r="W50" s="1"/>
      <c r="X50" s="1">
        <f t="shared" si="34"/>
        <v>-65.899999999999977</v>
      </c>
      <c r="Y50" s="1"/>
      <c r="Z50" s="5">
        <f t="shared" si="35"/>
        <v>-0.2075394450918023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>
        <v>251.63</v>
      </c>
      <c r="E51" s="2"/>
      <c r="F51" s="6">
        <f t="shared" si="28"/>
        <v>4.9394046952434606E-4</v>
      </c>
      <c r="G51" s="2"/>
      <c r="H51" s="7">
        <v>317.52999999999997</v>
      </c>
      <c r="I51" s="2"/>
      <c r="J51" s="6">
        <f t="shared" si="29"/>
        <v>6.2774899664050593E-4</v>
      </c>
      <c r="K51" s="2"/>
      <c r="L51" s="7">
        <f t="shared" si="30"/>
        <v>-65.899999999999977</v>
      </c>
      <c r="M51" s="2"/>
      <c r="N51" s="6">
        <f t="shared" si="31"/>
        <v>-0.2075394450918023</v>
      </c>
      <c r="O51" s="11"/>
      <c r="P51" s="7">
        <v>251.63</v>
      </c>
      <c r="Q51" s="2"/>
      <c r="R51" s="6">
        <f t="shared" si="32"/>
        <v>4.9394046952434606E-4</v>
      </c>
      <c r="S51" s="2"/>
      <c r="T51" s="7">
        <v>317.52999999999997</v>
      </c>
      <c r="U51" s="2"/>
      <c r="V51" s="6">
        <f t="shared" si="33"/>
        <v>6.2774899664050593E-4</v>
      </c>
      <c r="W51" s="2"/>
      <c r="X51" s="7">
        <f t="shared" si="34"/>
        <v>-65.899999999999977</v>
      </c>
      <c r="Y51" s="2"/>
      <c r="Z51" s="6">
        <f t="shared" si="35"/>
        <v>-0.2075394450918023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5625.86</v>
      </c>
      <c r="E52" s="1"/>
      <c r="F52" s="5">
        <f t="shared" si="28"/>
        <v>1.1043357031666486E-2</v>
      </c>
      <c r="G52" s="1"/>
      <c r="H52" s="1">
        <f>SUM(OSRRefH22_7x_0)</f>
        <v>6685</v>
      </c>
      <c r="I52" s="1"/>
      <c r="J52" s="5">
        <f t="shared" si="29"/>
        <v>1.3216080504335911E-2</v>
      </c>
      <c r="K52" s="1"/>
      <c r="L52" s="1">
        <f t="shared" si="30"/>
        <v>-1059.1400000000003</v>
      </c>
      <c r="M52" s="1"/>
      <c r="N52" s="5">
        <f t="shared" si="31"/>
        <v>-0.15843530291697835</v>
      </c>
      <c r="O52" s="14"/>
      <c r="P52" s="1">
        <f>SUM(OSRRefP22_7x_0)</f>
        <v>5625.86</v>
      </c>
      <c r="Q52" s="1"/>
      <c r="R52" s="5">
        <f t="shared" si="32"/>
        <v>1.1043357031666486E-2</v>
      </c>
      <c r="S52" s="1"/>
      <c r="T52" s="1">
        <f>SUM(OSRRefT22_7x_0)</f>
        <v>6685</v>
      </c>
      <c r="U52" s="1"/>
      <c r="V52" s="5">
        <f t="shared" si="33"/>
        <v>1.3216080504335911E-2</v>
      </c>
      <c r="W52" s="1"/>
      <c r="X52" s="1">
        <f t="shared" si="34"/>
        <v>-1059.1400000000003</v>
      </c>
      <c r="Y52" s="1"/>
      <c r="Z52" s="5">
        <f t="shared" si="35"/>
        <v>-0.15843530291697835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7">
        <v>5625.86</v>
      </c>
      <c r="E53" s="2"/>
      <c r="F53" s="6">
        <f t="shared" si="28"/>
        <v>1.1043357031666486E-2</v>
      </c>
      <c r="G53" s="2"/>
      <c r="H53" s="7">
        <v>6685</v>
      </c>
      <c r="I53" s="2"/>
      <c r="J53" s="6">
        <f t="shared" si="29"/>
        <v>1.3216080504335911E-2</v>
      </c>
      <c r="K53" s="2"/>
      <c r="L53" s="7">
        <f t="shared" si="30"/>
        <v>-1059.1400000000003</v>
      </c>
      <c r="M53" s="2"/>
      <c r="N53" s="6">
        <f t="shared" si="31"/>
        <v>-0.15843530291697835</v>
      </c>
      <c r="O53" s="11"/>
      <c r="P53" s="7">
        <v>5625.86</v>
      </c>
      <c r="Q53" s="2"/>
      <c r="R53" s="6">
        <f t="shared" si="32"/>
        <v>1.1043357031666486E-2</v>
      </c>
      <c r="S53" s="2"/>
      <c r="T53" s="7">
        <v>6685</v>
      </c>
      <c r="U53" s="2"/>
      <c r="V53" s="6">
        <f t="shared" si="33"/>
        <v>1.3216080504335911E-2</v>
      </c>
      <c r="W53" s="2"/>
      <c r="X53" s="7">
        <f t="shared" si="34"/>
        <v>-1059.1400000000003</v>
      </c>
      <c r="Y53" s="2"/>
      <c r="Z53" s="6">
        <f t="shared" si="35"/>
        <v>-0.15843530291697835</v>
      </c>
    </row>
    <row r="54" spans="1:26" s="28" customFormat="1" outlineLevel="1" collapsed="1" x14ac:dyDescent="0.25">
      <c r="A54" s="27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SUM(OSRRefD22_8x_0)</f>
        <v>5.9</v>
      </c>
      <c r="E54" s="1"/>
      <c r="F54" s="5">
        <f t="shared" si="28"/>
        <v>1.158148380635712E-5</v>
      </c>
      <c r="G54" s="1"/>
      <c r="H54" s="1">
        <f>SUM(OSRRefH22_8x_0)</f>
        <v>4.93</v>
      </c>
      <c r="I54" s="1"/>
      <c r="J54" s="5">
        <f t="shared" si="29"/>
        <v>9.7464886890614867E-6</v>
      </c>
      <c r="K54" s="1"/>
      <c r="L54" s="1">
        <f t="shared" si="30"/>
        <v>0.97000000000000064</v>
      </c>
      <c r="M54" s="1"/>
      <c r="N54" s="5">
        <f t="shared" si="31"/>
        <v>0.19675456389452348</v>
      </c>
      <c r="O54" s="14"/>
      <c r="P54" s="1">
        <f>SUM(OSRRefP22_8x_0)</f>
        <v>5.9</v>
      </c>
      <c r="Q54" s="1"/>
      <c r="R54" s="5">
        <f t="shared" si="32"/>
        <v>1.158148380635712E-5</v>
      </c>
      <c r="S54" s="1"/>
      <c r="T54" s="1">
        <f>SUM(OSRRefT22_8x_0)</f>
        <v>4.93</v>
      </c>
      <c r="U54" s="1"/>
      <c r="V54" s="5">
        <f t="shared" si="33"/>
        <v>9.7464886890614867E-6</v>
      </c>
      <c r="W54" s="1"/>
      <c r="X54" s="1">
        <f t="shared" si="34"/>
        <v>0.97000000000000064</v>
      </c>
      <c r="Y54" s="1"/>
      <c r="Z54" s="5">
        <f t="shared" si="35"/>
        <v>0.19675456389452348</v>
      </c>
    </row>
    <row r="55" spans="1:26" s="24" customFormat="1" hidden="1" outlineLevel="2" x14ac:dyDescent="0.25">
      <c r="A55" s="29"/>
      <c r="B55" s="11" t="str">
        <f>CONCATENATE("          ", "6314", " - ", "LIABILITY INSURANCE")</f>
        <v xml:space="preserve">          6314 - LIABILITY INSURANCE</v>
      </c>
      <c r="C55" s="11"/>
      <c r="D55" s="7">
        <v>5.9</v>
      </c>
      <c r="E55" s="2"/>
      <c r="F55" s="6">
        <f t="shared" si="28"/>
        <v>1.158148380635712E-5</v>
      </c>
      <c r="G55" s="2"/>
      <c r="H55" s="7">
        <v>4.93</v>
      </c>
      <c r="I55" s="2"/>
      <c r="J55" s="6">
        <f t="shared" si="29"/>
        <v>9.7464886890614867E-6</v>
      </c>
      <c r="K55" s="2"/>
      <c r="L55" s="7">
        <f t="shared" si="30"/>
        <v>0.97000000000000064</v>
      </c>
      <c r="M55" s="2"/>
      <c r="N55" s="6">
        <f t="shared" si="31"/>
        <v>0.19675456389452348</v>
      </c>
      <c r="O55" s="11"/>
      <c r="P55" s="7">
        <v>5.9</v>
      </c>
      <c r="Q55" s="2"/>
      <c r="R55" s="6">
        <f t="shared" si="32"/>
        <v>1.158148380635712E-5</v>
      </c>
      <c r="S55" s="2"/>
      <c r="T55" s="7">
        <v>4.93</v>
      </c>
      <c r="U55" s="2"/>
      <c r="V55" s="6">
        <f t="shared" si="33"/>
        <v>9.7464886890614867E-6</v>
      </c>
      <c r="W55" s="2"/>
      <c r="X55" s="7">
        <f t="shared" si="34"/>
        <v>0.97000000000000064</v>
      </c>
      <c r="Y55" s="2"/>
      <c r="Z55" s="6">
        <f t="shared" si="35"/>
        <v>0.19675456389452348</v>
      </c>
    </row>
    <row r="56" spans="1:26" s="28" customFormat="1" outlineLevel="1" collapsed="1" x14ac:dyDescent="0.25">
      <c r="A56" s="27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SUM(OSRRefD22_9x_0)</f>
        <v>39712.65</v>
      </c>
      <c r="E56" s="1"/>
      <c r="F56" s="5">
        <f t="shared" si="28"/>
        <v>7.7954476759750521E-2</v>
      </c>
      <c r="G56" s="1"/>
      <c r="H56" s="1">
        <f>SUM(OSRRefH22_9x_0)</f>
        <v>40465.859999999993</v>
      </c>
      <c r="I56" s="1"/>
      <c r="J56" s="5">
        <f t="shared" si="29"/>
        <v>8.0000009489481869E-2</v>
      </c>
      <c r="K56" s="1"/>
      <c r="L56" s="1">
        <f t="shared" si="30"/>
        <v>-753.20999999999185</v>
      </c>
      <c r="M56" s="1"/>
      <c r="N56" s="5">
        <f t="shared" si="31"/>
        <v>-1.8613468242117973E-2</v>
      </c>
      <c r="O56" s="14"/>
      <c r="P56" s="1">
        <f>SUM(OSRRefP22_9x_0)</f>
        <v>39712.65</v>
      </c>
      <c r="Q56" s="1"/>
      <c r="R56" s="5">
        <f t="shared" si="32"/>
        <v>7.7954476759750521E-2</v>
      </c>
      <c r="S56" s="1"/>
      <c r="T56" s="1">
        <f>SUM(OSRRefT22_9x_0)</f>
        <v>40465.859999999993</v>
      </c>
      <c r="U56" s="1"/>
      <c r="V56" s="5">
        <f t="shared" si="33"/>
        <v>8.0000009489481869E-2</v>
      </c>
      <c r="W56" s="1"/>
      <c r="X56" s="1">
        <f t="shared" si="34"/>
        <v>-753.20999999999185</v>
      </c>
      <c r="Y56" s="1"/>
      <c r="Z56" s="5">
        <f t="shared" si="35"/>
        <v>-1.8613468242117973E-2</v>
      </c>
    </row>
    <row r="57" spans="1:26" s="24" customFormat="1" hidden="1" outlineLevel="2" x14ac:dyDescent="0.25">
      <c r="A57" s="29"/>
      <c r="B57" s="11" t="str">
        <f>CONCATENATE("          ", "6387", " - ", "COMMISSION DUE HOUSING")</f>
        <v xml:space="preserve">          6387 - COMMISSION DUE HOUSING</v>
      </c>
      <c r="C57" s="11"/>
      <c r="D57" s="7">
        <v>39712.65</v>
      </c>
      <c r="E57" s="2"/>
      <c r="F57" s="6">
        <f t="shared" si="28"/>
        <v>7.7954476759750521E-2</v>
      </c>
      <c r="G57" s="2"/>
      <c r="H57" s="7">
        <v>40465.859999999993</v>
      </c>
      <c r="I57" s="2"/>
      <c r="J57" s="6">
        <f t="shared" si="29"/>
        <v>8.0000009489481869E-2</v>
      </c>
      <c r="K57" s="2"/>
      <c r="L57" s="7">
        <f t="shared" si="30"/>
        <v>-753.20999999999185</v>
      </c>
      <c r="M57" s="2"/>
      <c r="N57" s="6">
        <f t="shared" si="31"/>
        <v>-1.8613468242117973E-2</v>
      </c>
      <c r="O57" s="11"/>
      <c r="P57" s="7">
        <v>39712.65</v>
      </c>
      <c r="Q57" s="2"/>
      <c r="R57" s="6">
        <f t="shared" si="32"/>
        <v>7.7954476759750521E-2</v>
      </c>
      <c r="S57" s="2"/>
      <c r="T57" s="7">
        <v>40465.859999999993</v>
      </c>
      <c r="U57" s="2"/>
      <c r="V57" s="6">
        <f t="shared" si="33"/>
        <v>8.0000009489481869E-2</v>
      </c>
      <c r="W57" s="2"/>
      <c r="X57" s="7">
        <f t="shared" si="34"/>
        <v>-753.20999999999185</v>
      </c>
      <c r="Y57" s="2"/>
      <c r="Z57" s="6">
        <f t="shared" si="35"/>
        <v>-1.8613468242117973E-2</v>
      </c>
    </row>
    <row r="58" spans="1:26" s="28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SUM(OSRRefD22_10x_0)</f>
        <v>8.82</v>
      </c>
      <c r="E58" s="1"/>
      <c r="F58" s="5">
        <f t="shared" si="28"/>
        <v>1.7313336808825389E-5</v>
      </c>
      <c r="G58" s="1"/>
      <c r="H58" s="1">
        <f>SUM(OSRRefH22_10x_0)</f>
        <v>72.22</v>
      </c>
      <c r="I58" s="1"/>
      <c r="J58" s="5">
        <f t="shared" si="29"/>
        <v>1.4277716290548087E-4</v>
      </c>
      <c r="K58" s="1"/>
      <c r="L58" s="1">
        <f t="shared" si="30"/>
        <v>-63.4</v>
      </c>
      <c r="M58" s="1"/>
      <c r="N58" s="5">
        <f t="shared" si="31"/>
        <v>-0.87787316532816395</v>
      </c>
      <c r="O58" s="14"/>
      <c r="P58" s="1">
        <f>SUM(OSRRefP22_10x_0)</f>
        <v>8.82</v>
      </c>
      <c r="Q58" s="1"/>
      <c r="R58" s="5">
        <f t="shared" si="32"/>
        <v>1.7313336808825389E-5</v>
      </c>
      <c r="S58" s="1"/>
      <c r="T58" s="1">
        <f>SUM(OSRRefT22_10x_0)</f>
        <v>72.22</v>
      </c>
      <c r="U58" s="1"/>
      <c r="V58" s="5">
        <f t="shared" si="33"/>
        <v>1.4277716290548087E-4</v>
      </c>
      <c r="W58" s="1"/>
      <c r="X58" s="1">
        <f t="shared" si="34"/>
        <v>-63.4</v>
      </c>
      <c r="Y58" s="1"/>
      <c r="Z58" s="5">
        <f t="shared" si="35"/>
        <v>-0.87787316532816395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7">
        <v>8.82</v>
      </c>
      <c r="E59" s="2"/>
      <c r="F59" s="6">
        <f t="shared" si="28"/>
        <v>1.7313336808825389E-5</v>
      </c>
      <c r="G59" s="2"/>
      <c r="H59" s="7">
        <v>14.73</v>
      </c>
      <c r="I59" s="2"/>
      <c r="J59" s="6">
        <f t="shared" si="29"/>
        <v>2.9120847543585338E-5</v>
      </c>
      <c r="K59" s="2"/>
      <c r="L59" s="7">
        <f t="shared" si="30"/>
        <v>-5.91</v>
      </c>
      <c r="M59" s="2"/>
      <c r="N59" s="6">
        <f t="shared" si="31"/>
        <v>-0.40122199592668023</v>
      </c>
      <c r="O59" s="11"/>
      <c r="P59" s="7">
        <v>8.82</v>
      </c>
      <c r="Q59" s="2"/>
      <c r="R59" s="6">
        <f t="shared" si="32"/>
        <v>1.7313336808825389E-5</v>
      </c>
      <c r="S59" s="2"/>
      <c r="T59" s="7">
        <v>14.73</v>
      </c>
      <c r="U59" s="2"/>
      <c r="V59" s="6">
        <f t="shared" si="33"/>
        <v>2.9120847543585338E-5</v>
      </c>
      <c r="W59" s="2"/>
      <c r="X59" s="7">
        <f t="shared" si="34"/>
        <v>-5.91</v>
      </c>
      <c r="Y59" s="2"/>
      <c r="Z59" s="6">
        <f t="shared" si="35"/>
        <v>-0.40122199592668023</v>
      </c>
    </row>
    <row r="60" spans="1:26" s="24" customFormat="1" hidden="1" outlineLevel="2" x14ac:dyDescent="0.25">
      <c r="A60" s="29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8"/>
        <v>0</v>
      </c>
      <c r="G60" s="2"/>
      <c r="H60" s="7">
        <v>57.49</v>
      </c>
      <c r="I60" s="2"/>
      <c r="J60" s="6">
        <f t="shared" si="29"/>
        <v>1.1365631536189553E-4</v>
      </c>
      <c r="K60" s="2"/>
      <c r="L60" s="7">
        <f t="shared" si="30"/>
        <v>-57.49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57.49</v>
      </c>
      <c r="U60" s="2"/>
      <c r="V60" s="6">
        <f t="shared" si="33"/>
        <v>1.1365631536189553E-4</v>
      </c>
      <c r="W60" s="2"/>
      <c r="X60" s="7">
        <f t="shared" si="34"/>
        <v>-57.49</v>
      </c>
      <c r="Y60" s="2"/>
      <c r="Z60" s="6">
        <f t="shared" si="35"/>
        <v>-1</v>
      </c>
    </row>
    <row r="61" spans="1:26" s="28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SUM(OSRRefD22_11x_0)</f>
        <v>19561.64</v>
      </c>
      <c r="E61" s="1"/>
      <c r="F61" s="5">
        <f t="shared" ref="F61:F64" si="36">IF(D$12=0,0,D61/D$12)</f>
        <v>3.839878252301486E-2</v>
      </c>
      <c r="G61" s="1"/>
      <c r="H61" s="1">
        <f>SUM(OSRRefH22_11x_0)</f>
        <v>11901.92</v>
      </c>
      <c r="I61" s="1"/>
      <c r="J61" s="5">
        <f t="shared" ref="J61:J64" si="37">IF(H$12=0,0,H61/H$12)</f>
        <v>2.3529802973248418E-2</v>
      </c>
      <c r="K61" s="1"/>
      <c r="L61" s="1">
        <f t="shared" ref="L61:L64" si="38">+D61-H61</f>
        <v>7659.7199999999993</v>
      </c>
      <c r="M61" s="1"/>
      <c r="N61" s="5">
        <f t="shared" ref="N61:N64" si="39">IF(H61=0,0,L61/H61)</f>
        <v>0.64357011305738898</v>
      </c>
      <c r="O61" s="14"/>
      <c r="P61" s="1">
        <f>SUM(OSRRefP22_11x_0)</f>
        <v>19561.64</v>
      </c>
      <c r="Q61" s="1"/>
      <c r="R61" s="5">
        <f t="shared" ref="R61:R64" si="40">IF(P$12=0,0,P61/P$12)</f>
        <v>3.839878252301486E-2</v>
      </c>
      <c r="S61" s="1"/>
      <c r="T61" s="1">
        <f>SUM(OSRRefT22_11x_0)</f>
        <v>11901.92</v>
      </c>
      <c r="U61" s="1"/>
      <c r="V61" s="5">
        <f t="shared" ref="V61:V64" si="41">IF(T$12=0,0,T61/T$12)</f>
        <v>2.3529802973248418E-2</v>
      </c>
      <c r="W61" s="1"/>
      <c r="X61" s="1">
        <f t="shared" ref="X61:X64" si="42">+P61-T61</f>
        <v>7659.7199999999993</v>
      </c>
      <c r="Y61" s="1"/>
      <c r="Z61" s="5">
        <f t="shared" ref="Z61:Z64" si="43">IF(T61=0,0,X61/T61)</f>
        <v>0.64357011305738898</v>
      </c>
    </row>
    <row r="62" spans="1:26" s="24" customFormat="1" hidden="1" outlineLevel="2" x14ac:dyDescent="0.25">
      <c r="A62" s="29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1508.3</v>
      </c>
      <c r="E62" s="2"/>
      <c r="F62" s="6">
        <f t="shared" si="36"/>
        <v>2.9607376313777025E-3</v>
      </c>
      <c r="G62" s="2"/>
      <c r="H62" s="7">
        <v>1508.3</v>
      </c>
      <c r="I62" s="2"/>
      <c r="J62" s="6">
        <f t="shared" si="37"/>
        <v>2.9818719857426859E-3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1508.3</v>
      </c>
      <c r="Q62" s="2"/>
      <c r="R62" s="6">
        <f t="shared" si="40"/>
        <v>2.9607376313777025E-3</v>
      </c>
      <c r="S62" s="2"/>
      <c r="T62" s="7">
        <v>1508.3</v>
      </c>
      <c r="U62" s="2"/>
      <c r="V62" s="6">
        <f t="shared" si="41"/>
        <v>2.9818719857426859E-3</v>
      </c>
      <c r="W62" s="2"/>
      <c r="X62" s="7">
        <f t="shared" si="42"/>
        <v>0</v>
      </c>
      <c r="Y62" s="2"/>
      <c r="Z62" s="6">
        <f t="shared" si="43"/>
        <v>0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7">
        <v>13011.01</v>
      </c>
      <c r="E63" s="2"/>
      <c r="F63" s="6">
        <f t="shared" si="36"/>
        <v>2.5540135867686536E-2</v>
      </c>
      <c r="G63" s="2"/>
      <c r="H63" s="7">
        <v>7496.84</v>
      </c>
      <c r="I63" s="2"/>
      <c r="J63" s="6">
        <f t="shared" si="37"/>
        <v>1.4821068207647815E-2</v>
      </c>
      <c r="K63" s="2"/>
      <c r="L63" s="7">
        <f t="shared" si="38"/>
        <v>5514.17</v>
      </c>
      <c r="M63" s="2"/>
      <c r="N63" s="6">
        <f t="shared" si="39"/>
        <v>0.73553257105660519</v>
      </c>
      <c r="O63" s="11"/>
      <c r="P63" s="7">
        <v>13011.01</v>
      </c>
      <c r="Q63" s="2"/>
      <c r="R63" s="6">
        <f t="shared" si="40"/>
        <v>2.5540135867686536E-2</v>
      </c>
      <c r="S63" s="2"/>
      <c r="T63" s="7">
        <v>7496.84</v>
      </c>
      <c r="U63" s="2"/>
      <c r="V63" s="6">
        <f t="shared" si="41"/>
        <v>1.4821068207647815E-2</v>
      </c>
      <c r="W63" s="2"/>
      <c r="X63" s="7">
        <f t="shared" si="42"/>
        <v>5514.17</v>
      </c>
      <c r="Y63" s="2"/>
      <c r="Z63" s="6">
        <f t="shared" si="43"/>
        <v>0.73553257105660519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>
        <v>5042.33</v>
      </c>
      <c r="E64" s="2"/>
      <c r="F64" s="6">
        <f t="shared" si="36"/>
        <v>9.8979090239506261E-3</v>
      </c>
      <c r="G64" s="2"/>
      <c r="H64" s="7">
        <v>2896.78</v>
      </c>
      <c r="I64" s="2"/>
      <c r="J64" s="6">
        <f t="shared" si="37"/>
        <v>5.7268627798579188E-3</v>
      </c>
      <c r="K64" s="2"/>
      <c r="L64" s="7">
        <f t="shared" si="38"/>
        <v>2145.5499999999997</v>
      </c>
      <c r="M64" s="2"/>
      <c r="N64" s="6">
        <f t="shared" si="39"/>
        <v>0.74066722360690129</v>
      </c>
      <c r="O64" s="11"/>
      <c r="P64" s="7">
        <v>5042.33</v>
      </c>
      <c r="Q64" s="2"/>
      <c r="R64" s="6">
        <f t="shared" si="40"/>
        <v>9.8979090239506261E-3</v>
      </c>
      <c r="S64" s="2"/>
      <c r="T64" s="7">
        <v>2896.78</v>
      </c>
      <c r="U64" s="2"/>
      <c r="V64" s="6">
        <f t="shared" si="41"/>
        <v>5.7268627798579188E-3</v>
      </c>
      <c r="W64" s="2"/>
      <c r="X64" s="7">
        <f t="shared" si="42"/>
        <v>2145.5499999999997</v>
      </c>
      <c r="Y64" s="2"/>
      <c r="Z64" s="6">
        <f t="shared" si="43"/>
        <v>0.74066722360690129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28118.28</v>
      </c>
      <c r="E65" s="1"/>
      <c r="F65" s="5">
        <f t="shared" ref="F65:F72" si="44">IF(D$12=0,0,D65/D$12)</f>
        <v>5.5195153302138179E-2</v>
      </c>
      <c r="G65" s="1"/>
      <c r="H65" s="1">
        <f>SUM(OSRRefH22_12x_0)</f>
        <v>22163.510000000002</v>
      </c>
      <c r="I65" s="1"/>
      <c r="J65" s="5">
        <f t="shared" ref="J65:J72" si="45">IF(H$12=0,0,H65/H$12)</f>
        <v>4.3816713899574283E-2</v>
      </c>
      <c r="K65" s="1"/>
      <c r="L65" s="1">
        <f t="shared" ref="L65:L72" si="46">+D65-H65</f>
        <v>5954.7699999999968</v>
      </c>
      <c r="M65" s="1"/>
      <c r="N65" s="5">
        <f t="shared" ref="N65:N72" si="47">IF(H65=0,0,L65/H65)</f>
        <v>0.26867450146659966</v>
      </c>
      <c r="O65" s="14"/>
      <c r="P65" s="1">
        <f>SUM(OSRRefP22_12x_0)</f>
        <v>28118.28</v>
      </c>
      <c r="Q65" s="1"/>
      <c r="R65" s="5">
        <f t="shared" ref="R65:R72" si="48">IF(P$12=0,0,P65/P$12)</f>
        <v>5.5195153302138179E-2</v>
      </c>
      <c r="S65" s="1"/>
      <c r="T65" s="1">
        <f>SUM(OSRRefT22_12x_0)</f>
        <v>22163.510000000002</v>
      </c>
      <c r="U65" s="1"/>
      <c r="V65" s="5">
        <f t="shared" ref="V65:V72" si="49">IF(T$12=0,0,T65/T$12)</f>
        <v>4.3816713899574283E-2</v>
      </c>
      <c r="W65" s="1"/>
      <c r="X65" s="1">
        <f t="shared" ref="X65:X72" si="50">+P65-T65</f>
        <v>5954.7699999999968</v>
      </c>
      <c r="Y65" s="1"/>
      <c r="Z65" s="5">
        <f t="shared" ref="Z65:Z72" si="51">IF(T65=0,0,X65/T65)</f>
        <v>0.26867450146659966</v>
      </c>
    </row>
    <row r="66" spans="1:26" s="24" customFormat="1" hidden="1" outlineLevel="2" x14ac:dyDescent="0.25">
      <c r="A66" s="29"/>
      <c r="B66" s="11" t="str">
        <f>CONCATENATE("          ", "6237", " - ", "JANITORIAL SUPPLIES")</f>
        <v xml:space="preserve">          6237 - JANITORIAL SUPPLIES</v>
      </c>
      <c r="C66" s="11"/>
      <c r="D66" s="7">
        <v>7251.45</v>
      </c>
      <c r="E66" s="2"/>
      <c r="F66" s="6">
        <f t="shared" si="44"/>
        <v>1.4234330635187854E-2</v>
      </c>
      <c r="G66" s="2"/>
      <c r="H66" s="7">
        <v>5376.99</v>
      </c>
      <c r="I66" s="2"/>
      <c r="J66" s="6">
        <f t="shared" si="45"/>
        <v>1.063017692012104E-2</v>
      </c>
      <c r="K66" s="2"/>
      <c r="L66" s="7">
        <f t="shared" si="46"/>
        <v>1874.46</v>
      </c>
      <c r="M66" s="2"/>
      <c r="N66" s="6">
        <f t="shared" si="47"/>
        <v>0.34860767827353223</v>
      </c>
      <c r="O66" s="11"/>
      <c r="P66" s="7">
        <v>7251.45</v>
      </c>
      <c r="Q66" s="2"/>
      <c r="R66" s="6">
        <f t="shared" si="48"/>
        <v>1.4234330635187854E-2</v>
      </c>
      <c r="S66" s="2"/>
      <c r="T66" s="7">
        <v>5376.99</v>
      </c>
      <c r="U66" s="2"/>
      <c r="V66" s="6">
        <f t="shared" si="49"/>
        <v>1.063017692012104E-2</v>
      </c>
      <c r="W66" s="2"/>
      <c r="X66" s="7">
        <f t="shared" si="50"/>
        <v>1874.46</v>
      </c>
      <c r="Y66" s="2"/>
      <c r="Z66" s="6">
        <f t="shared" si="51"/>
        <v>0.34860767827353223</v>
      </c>
    </row>
    <row r="67" spans="1:26" s="24" customFormat="1" hidden="1" outlineLevel="2" x14ac:dyDescent="0.25">
      <c r="A67" s="29"/>
      <c r="B67" s="11" t="str">
        <f>CONCATENATE("          ", "6239", " - ", "KITCHEN SUPPLIES")</f>
        <v xml:space="preserve">          6239 - KITCHEN SUPPLIES</v>
      </c>
      <c r="C67" s="11"/>
      <c r="D67" s="7">
        <v>832.97</v>
      </c>
      <c r="E67" s="2"/>
      <c r="F67" s="6">
        <f t="shared" si="44"/>
        <v>1.6350895874883543E-3</v>
      </c>
      <c r="G67" s="2"/>
      <c r="H67" s="7">
        <v>714.73</v>
      </c>
      <c r="I67" s="2"/>
      <c r="J67" s="6">
        <f t="shared" si="45"/>
        <v>1.4130036228667175E-3</v>
      </c>
      <c r="K67" s="2"/>
      <c r="L67" s="7">
        <f t="shared" si="46"/>
        <v>118.24000000000001</v>
      </c>
      <c r="M67" s="2"/>
      <c r="N67" s="6">
        <f t="shared" si="47"/>
        <v>0.16543310061141969</v>
      </c>
      <c r="O67" s="11"/>
      <c r="P67" s="7">
        <v>832.97</v>
      </c>
      <c r="Q67" s="2"/>
      <c r="R67" s="6">
        <f t="shared" si="48"/>
        <v>1.6350895874883543E-3</v>
      </c>
      <c r="S67" s="2"/>
      <c r="T67" s="7">
        <v>714.73</v>
      </c>
      <c r="U67" s="2"/>
      <c r="V67" s="6">
        <f t="shared" si="49"/>
        <v>1.4130036228667175E-3</v>
      </c>
      <c r="W67" s="2"/>
      <c r="X67" s="7">
        <f t="shared" si="50"/>
        <v>118.24000000000001</v>
      </c>
      <c r="Y67" s="2"/>
      <c r="Z67" s="6">
        <f t="shared" si="51"/>
        <v>0.16543310061141969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>
        <v>20849.98</v>
      </c>
      <c r="E68" s="2"/>
      <c r="F68" s="6">
        <f t="shared" si="44"/>
        <v>4.0927746734384714E-2</v>
      </c>
      <c r="G68" s="2"/>
      <c r="H68" s="7">
        <v>1324.21</v>
      </c>
      <c r="I68" s="2"/>
      <c r="J68" s="6">
        <f t="shared" si="45"/>
        <v>2.6179305855866357E-3</v>
      </c>
      <c r="K68" s="2"/>
      <c r="L68" s="7">
        <f t="shared" si="46"/>
        <v>19525.77</v>
      </c>
      <c r="M68" s="2"/>
      <c r="N68" s="6">
        <f t="shared" si="47"/>
        <v>14.74522167934089</v>
      </c>
      <c r="O68" s="11"/>
      <c r="P68" s="7">
        <v>20849.98</v>
      </c>
      <c r="Q68" s="2"/>
      <c r="R68" s="6">
        <f t="shared" si="48"/>
        <v>4.0927746734384714E-2</v>
      </c>
      <c r="S68" s="2"/>
      <c r="T68" s="7">
        <v>1324.21</v>
      </c>
      <c r="U68" s="2"/>
      <c r="V68" s="6">
        <f t="shared" si="49"/>
        <v>2.6179305855866357E-3</v>
      </c>
      <c r="W68" s="2"/>
      <c r="X68" s="7">
        <f t="shared" si="50"/>
        <v>19525.77</v>
      </c>
      <c r="Y68" s="2"/>
      <c r="Z68" s="6">
        <f t="shared" si="51"/>
        <v>14.74522167934089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7">
        <v>4597.13</v>
      </c>
      <c r="E69" s="2"/>
      <c r="F69" s="6">
        <f t="shared" si="44"/>
        <v>9.0239977374099167E-3</v>
      </c>
      <c r="G69" s="2"/>
      <c r="H69" s="7">
        <v>4934.37</v>
      </c>
      <c r="I69" s="2"/>
      <c r="J69" s="6">
        <f t="shared" si="45"/>
        <v>9.7551280715302904E-3</v>
      </c>
      <c r="K69" s="2"/>
      <c r="L69" s="7">
        <f t="shared" si="46"/>
        <v>-337.23999999999978</v>
      </c>
      <c r="M69" s="2"/>
      <c r="N69" s="6">
        <f t="shared" si="47"/>
        <v>-6.8345097753107237E-2</v>
      </c>
      <c r="O69" s="11"/>
      <c r="P69" s="7">
        <v>4597.13</v>
      </c>
      <c r="Q69" s="2"/>
      <c r="R69" s="6">
        <f t="shared" si="48"/>
        <v>9.0239977374099167E-3</v>
      </c>
      <c r="S69" s="2"/>
      <c r="T69" s="7">
        <v>4934.37</v>
      </c>
      <c r="U69" s="2"/>
      <c r="V69" s="6">
        <f t="shared" si="49"/>
        <v>9.7551280715302904E-3</v>
      </c>
      <c r="W69" s="2"/>
      <c r="X69" s="7">
        <f t="shared" si="50"/>
        <v>-337.23999999999978</v>
      </c>
      <c r="Y69" s="2"/>
      <c r="Z69" s="6">
        <f t="shared" si="51"/>
        <v>-6.8345097753107237E-2</v>
      </c>
    </row>
    <row r="70" spans="1:26" s="24" customFormat="1" hidden="1" outlineLevel="2" x14ac:dyDescent="0.25">
      <c r="A70" s="29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44"/>
        <v>0</v>
      </c>
      <c r="G70" s="2"/>
      <c r="H70" s="7">
        <v>306.79000000000002</v>
      </c>
      <c r="I70" s="2"/>
      <c r="J70" s="6">
        <f t="shared" si="45"/>
        <v>6.0651628091626245E-4</v>
      </c>
      <c r="K70" s="2"/>
      <c r="L70" s="7">
        <f t="shared" si="46"/>
        <v>-306.79000000000002</v>
      </c>
      <c r="M70" s="2"/>
      <c r="N70" s="6">
        <f t="shared" si="47"/>
        <v>-1</v>
      </c>
      <c r="O70" s="11"/>
      <c r="P70" s="7"/>
      <c r="Q70" s="2"/>
      <c r="R70" s="6">
        <f t="shared" si="48"/>
        <v>0</v>
      </c>
      <c r="S70" s="2"/>
      <c r="T70" s="7">
        <v>306.79000000000002</v>
      </c>
      <c r="U70" s="2"/>
      <c r="V70" s="6">
        <f t="shared" si="49"/>
        <v>6.0651628091626245E-4</v>
      </c>
      <c r="W70" s="2"/>
      <c r="X70" s="7">
        <f t="shared" si="50"/>
        <v>-306.79000000000002</v>
      </c>
      <c r="Y70" s="2"/>
      <c r="Z70" s="6">
        <f t="shared" si="51"/>
        <v>-1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7">
        <v>156.1</v>
      </c>
      <c r="E71" s="2"/>
      <c r="F71" s="6">
        <f t="shared" si="44"/>
        <v>3.0641858002921127E-4</v>
      </c>
      <c r="G71" s="2"/>
      <c r="H71" s="7"/>
      <c r="I71" s="2"/>
      <c r="J71" s="6">
        <f t="shared" si="45"/>
        <v>0</v>
      </c>
      <c r="K71" s="2"/>
      <c r="L71" s="7">
        <f t="shared" si="46"/>
        <v>156.1</v>
      </c>
      <c r="M71" s="2"/>
      <c r="N71" s="6">
        <f t="shared" si="47"/>
        <v>0</v>
      </c>
      <c r="O71" s="11"/>
      <c r="P71" s="7">
        <v>156.1</v>
      </c>
      <c r="Q71" s="2"/>
      <c r="R71" s="6">
        <f t="shared" si="48"/>
        <v>3.0641858002921127E-4</v>
      </c>
      <c r="S71" s="2"/>
      <c r="T71" s="7"/>
      <c r="U71" s="2"/>
      <c r="V71" s="6">
        <f t="shared" si="49"/>
        <v>0</v>
      </c>
      <c r="W71" s="2"/>
      <c r="X71" s="7">
        <f t="shared" si="50"/>
        <v>156.1</v>
      </c>
      <c r="Y71" s="2"/>
      <c r="Z71" s="6">
        <f t="shared" si="51"/>
        <v>0</v>
      </c>
    </row>
    <row r="72" spans="1:26" s="24" customFormat="1" hidden="1" outlineLevel="2" x14ac:dyDescent="0.25">
      <c r="A72" s="29"/>
      <c r="B72" s="11" t="str">
        <f>CONCATENATE("          ", "6248", " - ", "UNIFORMS")</f>
        <v xml:space="preserve">          6248 - UNIFORMS</v>
      </c>
      <c r="C72" s="11"/>
      <c r="D72" s="7">
        <v>-5569.35</v>
      </c>
      <c r="E72" s="2"/>
      <c r="F72" s="6">
        <f t="shared" si="44"/>
        <v>-1.093242997236187E-2</v>
      </c>
      <c r="G72" s="2"/>
      <c r="H72" s="7">
        <v>9506.42</v>
      </c>
      <c r="I72" s="2"/>
      <c r="J72" s="6">
        <f t="shared" si="45"/>
        <v>1.879395841855333E-2</v>
      </c>
      <c r="K72" s="2"/>
      <c r="L72" s="7">
        <f t="shared" si="46"/>
        <v>-15075.77</v>
      </c>
      <c r="M72" s="2"/>
      <c r="N72" s="6">
        <f t="shared" si="47"/>
        <v>-1.5858514561738277</v>
      </c>
      <c r="O72" s="11"/>
      <c r="P72" s="7">
        <v>-5569.35</v>
      </c>
      <c r="Q72" s="2"/>
      <c r="R72" s="6">
        <f t="shared" si="48"/>
        <v>-1.093242997236187E-2</v>
      </c>
      <c r="S72" s="2"/>
      <c r="T72" s="7">
        <v>9506.42</v>
      </c>
      <c r="U72" s="2"/>
      <c r="V72" s="6">
        <f t="shared" si="49"/>
        <v>1.879395841855333E-2</v>
      </c>
      <c r="W72" s="2"/>
      <c r="X72" s="7">
        <f t="shared" si="50"/>
        <v>-15075.77</v>
      </c>
      <c r="Y72" s="2"/>
      <c r="Z72" s="6">
        <f t="shared" si="51"/>
        <v>-1.5858514561738277</v>
      </c>
    </row>
    <row r="73" spans="1:26" s="28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SUM(OSRRefD22_13x_0)</f>
        <v>-434.35</v>
      </c>
      <c r="E73" s="1"/>
      <c r="F73" s="5">
        <f t="shared" ref="F73:F79" si="52">IF(D$12=0,0,D73/D$12)</f>
        <v>-8.526131341171551E-4</v>
      </c>
      <c r="G73" s="1"/>
      <c r="H73" s="1">
        <f>SUM(OSRRefH22_13x_0)</f>
        <v>209.3</v>
      </c>
      <c r="I73" s="1"/>
      <c r="J73" s="5">
        <f t="shared" ref="J73:J79" si="53">IF(H$12=0,0,H73/H$12)</f>
        <v>4.1378094982161653E-4</v>
      </c>
      <c r="K73" s="1"/>
      <c r="L73" s="1">
        <f t="shared" ref="L73:L79" si="54">+D73-H73</f>
        <v>-643.65000000000009</v>
      </c>
      <c r="M73" s="1"/>
      <c r="N73" s="5">
        <f t="shared" ref="N73:N79" si="55">IF(H73=0,0,L73/H73)</f>
        <v>-3.0752508361204014</v>
      </c>
      <c r="O73" s="14"/>
      <c r="P73" s="1">
        <f>SUM(OSRRefP22_13x_0)</f>
        <v>-434.35</v>
      </c>
      <c r="Q73" s="1"/>
      <c r="R73" s="5">
        <f t="shared" ref="R73:R79" si="56">IF(P$12=0,0,P73/P$12)</f>
        <v>-8.526131341171551E-4</v>
      </c>
      <c r="S73" s="1"/>
      <c r="T73" s="1">
        <f>SUM(OSRRefT22_13x_0)</f>
        <v>209.3</v>
      </c>
      <c r="U73" s="1"/>
      <c r="V73" s="5">
        <f t="shared" ref="V73:V79" si="57">IF(T$12=0,0,T73/T$12)</f>
        <v>4.1378094982161653E-4</v>
      </c>
      <c r="W73" s="1"/>
      <c r="X73" s="1">
        <f t="shared" ref="X73:X79" si="58">+P73-T73</f>
        <v>-643.65000000000009</v>
      </c>
      <c r="Y73" s="1"/>
      <c r="Z73" s="5">
        <f t="shared" ref="Z73:Z79" si="59">IF(T73=0,0,X73/T73)</f>
        <v>-3.0752508361204014</v>
      </c>
    </row>
    <row r="74" spans="1:26" s="24" customFormat="1" hidden="1" outlineLevel="2" x14ac:dyDescent="0.25">
      <c r="A74" s="29"/>
      <c r="B74" s="11" t="str">
        <f>CONCATENATE("          ", "6309", " - ", "TELEPHONE")</f>
        <v xml:space="preserve">          6309 - TELEPHONE</v>
      </c>
      <c r="C74" s="11"/>
      <c r="D74" s="7">
        <v>-434.35</v>
      </c>
      <c r="E74" s="2"/>
      <c r="F74" s="6">
        <f t="shared" si="52"/>
        <v>-8.526131341171551E-4</v>
      </c>
      <c r="G74" s="2"/>
      <c r="H74" s="7">
        <v>209.3</v>
      </c>
      <c r="I74" s="2"/>
      <c r="J74" s="6">
        <f t="shared" si="53"/>
        <v>4.1378094982161653E-4</v>
      </c>
      <c r="K74" s="2"/>
      <c r="L74" s="7">
        <f t="shared" si="54"/>
        <v>-643.65000000000009</v>
      </c>
      <c r="M74" s="2"/>
      <c r="N74" s="6">
        <f t="shared" si="55"/>
        <v>-3.0752508361204014</v>
      </c>
      <c r="O74" s="11"/>
      <c r="P74" s="7">
        <v>-434.35</v>
      </c>
      <c r="Q74" s="2"/>
      <c r="R74" s="6">
        <f t="shared" si="56"/>
        <v>-8.526131341171551E-4</v>
      </c>
      <c r="S74" s="2"/>
      <c r="T74" s="7">
        <v>209.3</v>
      </c>
      <c r="U74" s="2"/>
      <c r="V74" s="6">
        <f t="shared" si="57"/>
        <v>4.1378094982161653E-4</v>
      </c>
      <c r="W74" s="2"/>
      <c r="X74" s="7">
        <f t="shared" si="58"/>
        <v>-643.65000000000009</v>
      </c>
      <c r="Y74" s="2"/>
      <c r="Z74" s="6">
        <f t="shared" si="59"/>
        <v>-3.0752508361204014</v>
      </c>
    </row>
    <row r="75" spans="1:26" s="28" customFormat="1" outlineLevel="1" collapsed="1" x14ac:dyDescent="0.25">
      <c r="A75" s="27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SUM(OSRRefD22_14x_0)</f>
        <v>3206.37</v>
      </c>
      <c r="E75" s="1"/>
      <c r="F75" s="5">
        <f t="shared" si="52"/>
        <v>6.2939868190151314E-3</v>
      </c>
      <c r="G75" s="1"/>
      <c r="H75" s="1">
        <f>SUM(OSRRefH22_14x_0)</f>
        <v>4705.57</v>
      </c>
      <c r="I75" s="1"/>
      <c r="J75" s="5">
        <f t="shared" si="53"/>
        <v>9.3027961015389581E-3</v>
      </c>
      <c r="K75" s="1"/>
      <c r="L75" s="1">
        <f t="shared" si="54"/>
        <v>-1499.1999999999998</v>
      </c>
      <c r="M75" s="1"/>
      <c r="N75" s="5">
        <f t="shared" si="55"/>
        <v>-0.31860114715114213</v>
      </c>
      <c r="O75" s="14"/>
      <c r="P75" s="1">
        <f>SUM(OSRRefP22_14x_0)</f>
        <v>3206.37</v>
      </c>
      <c r="Q75" s="1"/>
      <c r="R75" s="5">
        <f t="shared" si="56"/>
        <v>6.2939868190151314E-3</v>
      </c>
      <c r="S75" s="1"/>
      <c r="T75" s="1">
        <f>SUM(OSRRefT22_14x_0)</f>
        <v>4705.57</v>
      </c>
      <c r="U75" s="1"/>
      <c r="V75" s="5">
        <f t="shared" si="57"/>
        <v>9.3027961015389581E-3</v>
      </c>
      <c r="W75" s="1"/>
      <c r="X75" s="1">
        <f t="shared" si="58"/>
        <v>-1499.1999999999998</v>
      </c>
      <c r="Y75" s="1"/>
      <c r="Z75" s="5">
        <f t="shared" si="59"/>
        <v>-0.31860114715114213</v>
      </c>
    </row>
    <row r="76" spans="1:26" s="24" customFormat="1" hidden="1" outlineLevel="2" x14ac:dyDescent="0.25">
      <c r="A76" s="29"/>
      <c r="B76" s="11" t="str">
        <f>CONCATENATE("          ", "6376", " - ", "TRAINING")</f>
        <v xml:space="preserve">          6376 - TRAINING</v>
      </c>
      <c r="C76" s="11"/>
      <c r="D76" s="7">
        <v>3206.37</v>
      </c>
      <c r="E76" s="2"/>
      <c r="F76" s="6">
        <f t="shared" si="52"/>
        <v>6.2939868190151314E-3</v>
      </c>
      <c r="G76" s="2"/>
      <c r="H76" s="7">
        <v>4705.57</v>
      </c>
      <c r="I76" s="2"/>
      <c r="J76" s="6">
        <f t="shared" si="53"/>
        <v>9.3027961015389581E-3</v>
      </c>
      <c r="K76" s="2"/>
      <c r="L76" s="7">
        <f t="shared" si="54"/>
        <v>-1499.1999999999998</v>
      </c>
      <c r="M76" s="2"/>
      <c r="N76" s="6">
        <f t="shared" si="55"/>
        <v>-0.31860114715114213</v>
      </c>
      <c r="O76" s="11"/>
      <c r="P76" s="7">
        <v>3206.37</v>
      </c>
      <c r="Q76" s="2"/>
      <c r="R76" s="6">
        <f t="shared" si="56"/>
        <v>6.2939868190151314E-3</v>
      </c>
      <c r="S76" s="2"/>
      <c r="T76" s="7">
        <v>4705.57</v>
      </c>
      <c r="U76" s="2"/>
      <c r="V76" s="6">
        <f t="shared" si="57"/>
        <v>9.3027961015389581E-3</v>
      </c>
      <c r="W76" s="2"/>
      <c r="X76" s="7">
        <f t="shared" si="58"/>
        <v>-1499.1999999999998</v>
      </c>
      <c r="Y76" s="2"/>
      <c r="Z76" s="6">
        <f t="shared" si="59"/>
        <v>-0.31860114715114213</v>
      </c>
    </row>
    <row r="77" spans="1:26" s="28" customFormat="1" outlineLevel="1" collapsed="1" x14ac:dyDescent="0.25">
      <c r="A77" s="27"/>
      <c r="B77" s="14" t="str">
        <f>CONCATENATE("     ","Travel                                            ")</f>
        <v xml:space="preserve">     Travel                                            </v>
      </c>
      <c r="C77" s="14"/>
      <c r="D77" s="1">
        <f>SUM(OSRRefD22_15x_0)</f>
        <v>1568.51</v>
      </c>
      <c r="E77" s="1"/>
      <c r="F77" s="5">
        <f t="shared" si="52"/>
        <v>3.0789276551032555E-3</v>
      </c>
      <c r="G77" s="1"/>
      <c r="H77" s="1">
        <f>SUM(OSRRefH22_15x_0)</f>
        <v>843.17</v>
      </c>
      <c r="I77" s="1"/>
      <c r="J77" s="5">
        <f t="shared" si="53"/>
        <v>1.666926342384579E-3</v>
      </c>
      <c r="K77" s="1"/>
      <c r="L77" s="1">
        <f t="shared" si="54"/>
        <v>725.34</v>
      </c>
      <c r="M77" s="1"/>
      <c r="N77" s="5">
        <f t="shared" si="55"/>
        <v>0.86025356689635546</v>
      </c>
      <c r="O77" s="14"/>
      <c r="P77" s="1">
        <f>SUM(OSRRefP22_15x_0)</f>
        <v>1568.51</v>
      </c>
      <c r="Q77" s="1"/>
      <c r="R77" s="5">
        <f t="shared" si="56"/>
        <v>3.0789276551032555E-3</v>
      </c>
      <c r="S77" s="1"/>
      <c r="T77" s="1">
        <f>SUM(OSRRefT22_15x_0)</f>
        <v>843.17</v>
      </c>
      <c r="U77" s="1"/>
      <c r="V77" s="5">
        <f t="shared" si="57"/>
        <v>1.666926342384579E-3</v>
      </c>
      <c r="W77" s="1"/>
      <c r="X77" s="1">
        <f t="shared" si="58"/>
        <v>725.34</v>
      </c>
      <c r="Y77" s="1"/>
      <c r="Z77" s="5">
        <f t="shared" si="59"/>
        <v>0.86025356689635546</v>
      </c>
    </row>
    <row r="78" spans="1:26" s="24" customFormat="1" hidden="1" outlineLevel="2" x14ac:dyDescent="0.25">
      <c r="A78" s="29"/>
      <c r="B78" s="11" t="str">
        <f>CONCATENATE("          ", "6292", " - ", "TRAVEL/CONFERENCE")</f>
        <v xml:space="preserve">          6292 - TRAVEL/CONFERENCE</v>
      </c>
      <c r="C78" s="11"/>
      <c r="D78" s="7">
        <v>1568.51</v>
      </c>
      <c r="E78" s="2"/>
      <c r="F78" s="6">
        <f t="shared" si="52"/>
        <v>3.0789276551032555E-3</v>
      </c>
      <c r="G78" s="2"/>
      <c r="H78" s="7">
        <v>785.17</v>
      </c>
      <c r="I78" s="2"/>
      <c r="J78" s="6">
        <f t="shared" si="53"/>
        <v>1.5522617695720908E-3</v>
      </c>
      <c r="K78" s="2"/>
      <c r="L78" s="7">
        <f t="shared" si="54"/>
        <v>783.34</v>
      </c>
      <c r="M78" s="2"/>
      <c r="N78" s="6">
        <f t="shared" si="55"/>
        <v>0.99766929454767772</v>
      </c>
      <c r="O78" s="11"/>
      <c r="P78" s="7">
        <v>1568.51</v>
      </c>
      <c r="Q78" s="2"/>
      <c r="R78" s="6">
        <f t="shared" si="56"/>
        <v>3.0789276551032555E-3</v>
      </c>
      <c r="S78" s="2"/>
      <c r="T78" s="7">
        <v>785.17</v>
      </c>
      <c r="U78" s="2"/>
      <c r="V78" s="6">
        <f t="shared" si="57"/>
        <v>1.5522617695720908E-3</v>
      </c>
      <c r="W78" s="2"/>
      <c r="X78" s="7">
        <f t="shared" si="58"/>
        <v>783.34</v>
      </c>
      <c r="Y78" s="2"/>
      <c r="Z78" s="6">
        <f t="shared" si="59"/>
        <v>0.99766929454767772</v>
      </c>
    </row>
    <row r="79" spans="1:26" s="24" customFormat="1" hidden="1" outlineLevel="2" x14ac:dyDescent="0.25">
      <c r="A79" s="29"/>
      <c r="B79" s="11" t="str">
        <f>CONCATENATE("          ", "6294", " - ", "TRAVEL OPERATIONAL")</f>
        <v xml:space="preserve">          6294 - TRAVEL OPERATIONAL</v>
      </c>
      <c r="C79" s="11"/>
      <c r="D79" s="7"/>
      <c r="E79" s="2"/>
      <c r="F79" s="6">
        <f t="shared" si="52"/>
        <v>0</v>
      </c>
      <c r="G79" s="2"/>
      <c r="H79" s="7">
        <v>58</v>
      </c>
      <c r="I79" s="2"/>
      <c r="J79" s="6">
        <f t="shared" si="53"/>
        <v>1.146645728124881E-4</v>
      </c>
      <c r="K79" s="2"/>
      <c r="L79" s="7">
        <f t="shared" si="54"/>
        <v>-58</v>
      </c>
      <c r="M79" s="2"/>
      <c r="N79" s="6">
        <f t="shared" si="55"/>
        <v>-1</v>
      </c>
      <c r="O79" s="11"/>
      <c r="P79" s="7"/>
      <c r="Q79" s="2"/>
      <c r="R79" s="6">
        <f t="shared" si="56"/>
        <v>0</v>
      </c>
      <c r="S79" s="2"/>
      <c r="T79" s="7">
        <v>58</v>
      </c>
      <c r="U79" s="2"/>
      <c r="V79" s="6">
        <f t="shared" si="57"/>
        <v>1.146645728124881E-4</v>
      </c>
      <c r="W79" s="2"/>
      <c r="X79" s="7">
        <f t="shared" si="58"/>
        <v>-58</v>
      </c>
      <c r="Y79" s="2"/>
      <c r="Z79" s="6">
        <f t="shared" si="59"/>
        <v>-1</v>
      </c>
    </row>
    <row r="80" spans="1:26" s="54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6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5" t="s">
        <v>3</v>
      </c>
      <c r="C83" s="25"/>
      <c r="D83" s="21">
        <f>+D21-D23+D81</f>
        <v>-54593.310000000056</v>
      </c>
      <c r="E83" s="13"/>
      <c r="F83" s="20">
        <f>IF(D$12=0,0,D83/D$12)</f>
        <v>-0.10716466706787031</v>
      </c>
      <c r="G83" s="13"/>
      <c r="H83" s="21">
        <f>+H21-H23+H81</f>
        <v>28822.320000000123</v>
      </c>
      <c r="I83" s="13"/>
      <c r="J83" s="20">
        <f>IF(H$12=0,0,H83/H$12)</f>
        <v>5.6981017418359411E-2</v>
      </c>
      <c r="K83" s="16"/>
      <c r="L83" s="21">
        <f>+D83-H83</f>
        <v>-83415.630000000179</v>
      </c>
      <c r="M83" s="16"/>
      <c r="N83" s="20">
        <f>IF(H83=0,0,L83/H83)</f>
        <v>-2.8941330885230552</v>
      </c>
      <c r="O83" s="26"/>
      <c r="P83" s="21">
        <f>+P21-P23+P81</f>
        <v>-54593.310000000056</v>
      </c>
      <c r="Q83" s="13"/>
      <c r="R83" s="20">
        <f>IF(P$12=0,0,P83/P$12)</f>
        <v>-0.10716466706787031</v>
      </c>
      <c r="S83" s="13"/>
      <c r="T83" s="21">
        <f>+T21-T23+T81</f>
        <v>28822.320000000123</v>
      </c>
      <c r="U83" s="13"/>
      <c r="V83" s="20">
        <f>IF(T$12=0,0,T83/T$12)</f>
        <v>5.6981017418359411E-2</v>
      </c>
      <c r="W83" s="16"/>
      <c r="X83" s="21">
        <f>+P83-T83</f>
        <v>-83415.630000000179</v>
      </c>
      <c r="Y83" s="16"/>
      <c r="Z83" s="20">
        <f>IF(T83=0,0,X83/T83)</f>
        <v>-2.8941330885230552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105926.31</v>
      </c>
      <c r="E85" s="4"/>
      <c r="F85" s="12">
        <f>IF(D$12=0,0,D85/D$12)</f>
        <v>0.20792946507324817</v>
      </c>
      <c r="G85" s="4"/>
      <c r="H85" s="4">
        <v>103845.82</v>
      </c>
      <c r="I85" s="4"/>
      <c r="J85" s="12">
        <f>IF(H$12=0,0,H85/H$12)</f>
        <v>0.20530063083900918</v>
      </c>
      <c r="K85" s="4"/>
      <c r="L85" s="4">
        <f>+D85-H85</f>
        <v>2080.4899999999907</v>
      </c>
      <c r="M85" s="4"/>
      <c r="N85" s="12">
        <f>IF(H85=0,0,L85/H85)</f>
        <v>2.0034412555074346E-2</v>
      </c>
      <c r="O85" s="10"/>
      <c r="P85" s="4">
        <v>105926.31</v>
      </c>
      <c r="Q85" s="4"/>
      <c r="R85" s="12">
        <f>IF(P$12=0,0,P85/P$12)</f>
        <v>0.20792946507324817</v>
      </c>
      <c r="S85" s="4"/>
      <c r="T85" s="4">
        <v>103845.82</v>
      </c>
      <c r="U85" s="4"/>
      <c r="V85" s="12">
        <f>IF(T$12=0,0,T85/T$12)</f>
        <v>0.20530063083900918</v>
      </c>
      <c r="W85" s="4"/>
      <c r="X85" s="4">
        <f>+P85-T85</f>
        <v>2080.4899999999907</v>
      </c>
      <c r="Y85" s="4"/>
      <c r="Z85" s="12">
        <f>IF(T85=0,0,X85/T85)</f>
        <v>2.0034412555074346E-2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4</v>
      </c>
      <c r="C87" s="25"/>
      <c r="D87" s="33">
        <f>+D83-D85</f>
        <v>-160519.62000000005</v>
      </c>
      <c r="E87" s="13"/>
      <c r="F87" s="34">
        <f>IF(D$12=0,0,D87/D$12)</f>
        <v>-0.31509413214111848</v>
      </c>
      <c r="G87" s="13"/>
      <c r="H87" s="33">
        <f>+H83-H85</f>
        <v>-75023.499999999884</v>
      </c>
      <c r="I87" s="13"/>
      <c r="J87" s="34">
        <f>IF(H$12=0,0,H87/H$12)</f>
        <v>-0.14831961342064978</v>
      </c>
      <c r="K87" s="16"/>
      <c r="L87" s="33">
        <f>D87-H87</f>
        <v>-85496.12000000017</v>
      </c>
      <c r="M87" s="16"/>
      <c r="N87" s="34">
        <f>IF(H87=0,0,L87/H87)</f>
        <v>1.1395911947589796</v>
      </c>
      <c r="O87" s="26"/>
      <c r="P87" s="33">
        <f>+P83-P85</f>
        <v>-160519.62000000005</v>
      </c>
      <c r="Q87" s="13"/>
      <c r="R87" s="34">
        <f>IF(P$12=0,0,P87/P$12)</f>
        <v>-0.31509413214111848</v>
      </c>
      <c r="S87" s="13"/>
      <c r="T87" s="33">
        <f>+T83-T85</f>
        <v>-75023.499999999884</v>
      </c>
      <c r="U87" s="13"/>
      <c r="V87" s="34">
        <f>IF(T$12=0,0,T87/T$12)</f>
        <v>-0.14831961342064978</v>
      </c>
      <c r="W87" s="16"/>
      <c r="X87" s="33">
        <f>P87-T87</f>
        <v>-85496.12000000017</v>
      </c>
      <c r="Y87" s="16"/>
      <c r="Z87" s="34">
        <f>IF(T87=0,0,X87/T87)</f>
        <v>1.1395911947589796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5</v>
      </c>
      <c r="C90" s="25"/>
      <c r="D90" s="31">
        <f>SUM(D87:D89)</f>
        <v>-160519.62000000005</v>
      </c>
      <c r="E90" s="13"/>
      <c r="F90" s="30">
        <f>IF(D$12=0,0,D90/D$12)</f>
        <v>-0.31509413214111848</v>
      </c>
      <c r="G90" s="13"/>
      <c r="H90" s="31">
        <f>SUM(H87:H89)</f>
        <v>-75023.499999999884</v>
      </c>
      <c r="I90" s="13"/>
      <c r="J90" s="30">
        <f>IF(H$12=0,0,H90/H$12)</f>
        <v>-0.14831961342064978</v>
      </c>
      <c r="K90" s="16"/>
      <c r="L90" s="31">
        <f>+D90-H90</f>
        <v>-85496.12000000017</v>
      </c>
      <c r="M90" s="16"/>
      <c r="N90" s="30">
        <f>IF(H90=0,0,L90/H90)</f>
        <v>1.1395911947589796</v>
      </c>
      <c r="O90" s="26"/>
      <c r="P90" s="31">
        <f>SUM(P87:P89)</f>
        <v>-160519.62000000005</v>
      </c>
      <c r="Q90" s="13"/>
      <c r="R90" s="30">
        <f>IF(P$12=0,0,P90/P$12)</f>
        <v>-0.31509413214111848</v>
      </c>
      <c r="S90" s="13"/>
      <c r="T90" s="31">
        <f>SUM(T87:T89)</f>
        <v>-75023.499999999884</v>
      </c>
      <c r="U90" s="13"/>
      <c r="V90" s="30">
        <f>IF(T$12=0,0,T90/T$12)</f>
        <v>-0.14831961342064978</v>
      </c>
      <c r="W90" s="16"/>
      <c r="X90" s="31">
        <f>+P90-T90</f>
        <v>-85496.12000000017</v>
      </c>
      <c r="Y90" s="16"/>
      <c r="Z90" s="30">
        <f>IF(T90=0,0,X90/T90)</f>
        <v>1.1395911947589796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43726.681543402781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3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14917.259999999998</v>
      </c>
      <c r="E18" s="19"/>
      <c r="F18" s="35">
        <f t="shared" ref="F18:F27" si="0">IF(D$12=0,0,D18/D$12)</f>
        <v>0</v>
      </c>
      <c r="G18" s="19"/>
      <c r="H18" s="19">
        <f>SUM(OSRRefH22x_0)</f>
        <v>17755.73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-2838.4700000000012</v>
      </c>
      <c r="M18" s="4"/>
      <c r="N18" s="35">
        <f t="shared" ref="N18:N27" si="3">IF(H18=0,0,L18/H18)</f>
        <v>-0.15986219659794337</v>
      </c>
      <c r="O18" s="10"/>
      <c r="P18" s="19">
        <f>SUM(OSRRefP22x_0)</f>
        <v>14917.259999999998</v>
      </c>
      <c r="Q18" s="19"/>
      <c r="R18" s="35">
        <f t="shared" ref="R18:R27" si="4">IF(P$12=0,0,P18/P$12)</f>
        <v>0</v>
      </c>
      <c r="S18" s="19"/>
      <c r="T18" s="19">
        <f>SUM(OSRRefT22x_0)</f>
        <v>17755.73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-2838.4700000000012</v>
      </c>
      <c r="Y18" s="4"/>
      <c r="Z18" s="35">
        <f t="shared" ref="Z18:Z27" si="7">IF(T18=0,0,X18/T18)</f>
        <v>-0.15986219659794337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6062.2200000000012</v>
      </c>
      <c r="E19" s="1"/>
      <c r="F19" s="5">
        <f t="shared" si="0"/>
        <v>0</v>
      </c>
      <c r="G19" s="1"/>
      <c r="H19" s="1">
        <f>SUM(OSRRefH22_0x_0)</f>
        <v>4060.27</v>
      </c>
      <c r="I19" s="1"/>
      <c r="J19" s="5">
        <f t="shared" si="1"/>
        <v>0</v>
      </c>
      <c r="K19" s="1"/>
      <c r="L19" s="1">
        <f t="shared" si="2"/>
        <v>2001.9500000000012</v>
      </c>
      <c r="M19" s="1"/>
      <c r="N19" s="5">
        <f t="shared" si="3"/>
        <v>0.49305834341066018</v>
      </c>
      <c r="O19" s="14"/>
      <c r="P19" s="1">
        <f>SUM(OSRRefP22_0x_0)</f>
        <v>6062.2200000000012</v>
      </c>
      <c r="Q19" s="1"/>
      <c r="R19" s="5">
        <f t="shared" si="4"/>
        <v>0</v>
      </c>
      <c r="S19" s="1"/>
      <c r="T19" s="1">
        <f>SUM(OSRRefT22_0x_0)</f>
        <v>4060.27</v>
      </c>
      <c r="U19" s="1"/>
      <c r="V19" s="5">
        <f t="shared" si="5"/>
        <v>0</v>
      </c>
      <c r="W19" s="1"/>
      <c r="X19" s="1">
        <f t="shared" si="6"/>
        <v>2001.9500000000012</v>
      </c>
      <c r="Y19" s="1"/>
      <c r="Z19" s="5">
        <f t="shared" si="7"/>
        <v>0.49305834341066018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623.1</v>
      </c>
      <c r="E20" s="2"/>
      <c r="F20" s="6">
        <f t="shared" si="0"/>
        <v>0</v>
      </c>
      <c r="G20" s="2"/>
      <c r="H20" s="7">
        <v>604.94000000000005</v>
      </c>
      <c r="I20" s="2"/>
      <c r="J20" s="6">
        <f t="shared" si="1"/>
        <v>0</v>
      </c>
      <c r="K20" s="2"/>
      <c r="L20" s="7">
        <f t="shared" si="2"/>
        <v>18.159999999999968</v>
      </c>
      <c r="M20" s="2"/>
      <c r="N20" s="6">
        <f t="shared" si="3"/>
        <v>3.0019506066717307E-2</v>
      </c>
      <c r="O20" s="11"/>
      <c r="P20" s="7">
        <v>623.1</v>
      </c>
      <c r="Q20" s="2"/>
      <c r="R20" s="6">
        <f t="shared" si="4"/>
        <v>0</v>
      </c>
      <c r="S20" s="2"/>
      <c r="T20" s="7">
        <v>604.94000000000005</v>
      </c>
      <c r="U20" s="2"/>
      <c r="V20" s="6">
        <f t="shared" si="5"/>
        <v>0</v>
      </c>
      <c r="W20" s="2"/>
      <c r="X20" s="7">
        <f t="shared" si="6"/>
        <v>18.159999999999968</v>
      </c>
      <c r="Y20" s="2"/>
      <c r="Z20" s="6">
        <f t="shared" si="7"/>
        <v>3.0019506066717307E-2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316.02999999999997</v>
      </c>
      <c r="E21" s="2"/>
      <c r="F21" s="6">
        <f t="shared" si="0"/>
        <v>0</v>
      </c>
      <c r="G21" s="2"/>
      <c r="H21" s="7">
        <v>411.13</v>
      </c>
      <c r="I21" s="2"/>
      <c r="J21" s="6">
        <f t="shared" si="1"/>
        <v>0</v>
      </c>
      <c r="K21" s="2"/>
      <c r="L21" s="7">
        <f t="shared" si="2"/>
        <v>-95.100000000000023</v>
      </c>
      <c r="M21" s="2"/>
      <c r="N21" s="6">
        <f t="shared" si="3"/>
        <v>-0.23131369639773314</v>
      </c>
      <c r="O21" s="11"/>
      <c r="P21" s="7">
        <v>316.02999999999997</v>
      </c>
      <c r="Q21" s="2"/>
      <c r="R21" s="6">
        <f t="shared" si="4"/>
        <v>0</v>
      </c>
      <c r="S21" s="2"/>
      <c r="T21" s="7">
        <v>411.13</v>
      </c>
      <c r="U21" s="2"/>
      <c r="V21" s="6">
        <f t="shared" si="5"/>
        <v>0</v>
      </c>
      <c r="W21" s="2"/>
      <c r="X21" s="7">
        <f t="shared" si="6"/>
        <v>-95.100000000000023</v>
      </c>
      <c r="Y21" s="2"/>
      <c r="Z21" s="6">
        <f t="shared" si="7"/>
        <v>-0.23131369639773314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2730.6</v>
      </c>
      <c r="E22" s="2"/>
      <c r="F22" s="6">
        <f t="shared" si="0"/>
        <v>0</v>
      </c>
      <c r="G22" s="2"/>
      <c r="H22" s="7">
        <v>1050.27</v>
      </c>
      <c r="I22" s="2"/>
      <c r="J22" s="6">
        <f t="shared" si="1"/>
        <v>0</v>
      </c>
      <c r="K22" s="2"/>
      <c r="L22" s="7">
        <f t="shared" si="2"/>
        <v>1680.33</v>
      </c>
      <c r="M22" s="2"/>
      <c r="N22" s="6">
        <f t="shared" si="3"/>
        <v>1.5999028821160273</v>
      </c>
      <c r="O22" s="11"/>
      <c r="P22" s="7">
        <v>2730.6</v>
      </c>
      <c r="Q22" s="2"/>
      <c r="R22" s="6">
        <f t="shared" si="4"/>
        <v>0</v>
      </c>
      <c r="S22" s="2"/>
      <c r="T22" s="7">
        <v>1050.27</v>
      </c>
      <c r="U22" s="2"/>
      <c r="V22" s="6">
        <f t="shared" si="5"/>
        <v>0</v>
      </c>
      <c r="W22" s="2"/>
      <c r="X22" s="7">
        <f t="shared" si="6"/>
        <v>1680.33</v>
      </c>
      <c r="Y22" s="2"/>
      <c r="Z22" s="6">
        <f t="shared" si="7"/>
        <v>1.5999028821160273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21.18</v>
      </c>
      <c r="E23" s="2"/>
      <c r="F23" s="6">
        <f t="shared" si="0"/>
        <v>0</v>
      </c>
      <c r="G23" s="2"/>
      <c r="H23" s="7">
        <v>30.54</v>
      </c>
      <c r="I23" s="2"/>
      <c r="J23" s="6">
        <f t="shared" si="1"/>
        <v>0</v>
      </c>
      <c r="K23" s="2"/>
      <c r="L23" s="7">
        <f t="shared" si="2"/>
        <v>-9.36</v>
      </c>
      <c r="M23" s="2"/>
      <c r="N23" s="6">
        <f t="shared" si="3"/>
        <v>-0.30648330058939094</v>
      </c>
      <c r="O23" s="11"/>
      <c r="P23" s="7">
        <v>21.18</v>
      </c>
      <c r="Q23" s="2"/>
      <c r="R23" s="6">
        <f t="shared" si="4"/>
        <v>0</v>
      </c>
      <c r="S23" s="2"/>
      <c r="T23" s="7">
        <v>30.54</v>
      </c>
      <c r="U23" s="2"/>
      <c r="V23" s="6">
        <f t="shared" si="5"/>
        <v>0</v>
      </c>
      <c r="W23" s="2"/>
      <c r="X23" s="7">
        <f t="shared" si="6"/>
        <v>-9.36</v>
      </c>
      <c r="Y23" s="2"/>
      <c r="Z23" s="6">
        <f t="shared" si="7"/>
        <v>-0.30648330058939094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568.92999999999995</v>
      </c>
      <c r="E24" s="2"/>
      <c r="F24" s="6">
        <f t="shared" si="0"/>
        <v>0</v>
      </c>
      <c r="G24" s="2"/>
      <c r="H24" s="7">
        <v>803.7</v>
      </c>
      <c r="I24" s="2"/>
      <c r="J24" s="6">
        <f t="shared" si="1"/>
        <v>0</v>
      </c>
      <c r="K24" s="2"/>
      <c r="L24" s="7">
        <f t="shared" si="2"/>
        <v>-234.7700000000001</v>
      </c>
      <c r="M24" s="2"/>
      <c r="N24" s="6">
        <f t="shared" si="3"/>
        <v>-0.29211148438472079</v>
      </c>
      <c r="O24" s="11"/>
      <c r="P24" s="7">
        <v>568.92999999999995</v>
      </c>
      <c r="Q24" s="2"/>
      <c r="R24" s="6">
        <f t="shared" si="4"/>
        <v>0</v>
      </c>
      <c r="S24" s="2"/>
      <c r="T24" s="7">
        <v>803.7</v>
      </c>
      <c r="U24" s="2"/>
      <c r="V24" s="6">
        <f t="shared" si="5"/>
        <v>0</v>
      </c>
      <c r="W24" s="2"/>
      <c r="X24" s="7">
        <f t="shared" si="6"/>
        <v>-234.7700000000001</v>
      </c>
      <c r="Y24" s="2"/>
      <c r="Z24" s="6">
        <f t="shared" si="7"/>
        <v>-0.29211148438472079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1092.8499999999999</v>
      </c>
      <c r="E25" s="2"/>
      <c r="F25" s="6">
        <f t="shared" si="0"/>
        <v>0</v>
      </c>
      <c r="G25" s="2"/>
      <c r="H25" s="7">
        <v>552.77</v>
      </c>
      <c r="I25" s="2"/>
      <c r="J25" s="6">
        <f t="shared" si="1"/>
        <v>0</v>
      </c>
      <c r="K25" s="2"/>
      <c r="L25" s="7">
        <f t="shared" si="2"/>
        <v>540.07999999999993</v>
      </c>
      <c r="M25" s="2"/>
      <c r="N25" s="6">
        <f t="shared" si="3"/>
        <v>0.97704289306583203</v>
      </c>
      <c r="O25" s="11"/>
      <c r="P25" s="7">
        <v>1092.8499999999999</v>
      </c>
      <c r="Q25" s="2"/>
      <c r="R25" s="6">
        <f t="shared" si="4"/>
        <v>0</v>
      </c>
      <c r="S25" s="2"/>
      <c r="T25" s="7">
        <v>552.77</v>
      </c>
      <c r="U25" s="2"/>
      <c r="V25" s="6">
        <f t="shared" si="5"/>
        <v>0</v>
      </c>
      <c r="W25" s="2"/>
      <c r="X25" s="7">
        <f t="shared" si="6"/>
        <v>540.07999999999993</v>
      </c>
      <c r="Y25" s="2"/>
      <c r="Z25" s="6">
        <f t="shared" si="7"/>
        <v>0.97704289306583203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606.17999999999995</v>
      </c>
      <c r="E26" s="2"/>
      <c r="F26" s="6">
        <f t="shared" si="0"/>
        <v>0</v>
      </c>
      <c r="G26" s="2"/>
      <c r="H26" s="7">
        <v>484.96</v>
      </c>
      <c r="I26" s="2"/>
      <c r="J26" s="6">
        <f t="shared" si="1"/>
        <v>0</v>
      </c>
      <c r="K26" s="2"/>
      <c r="L26" s="7">
        <f t="shared" si="2"/>
        <v>121.21999999999997</v>
      </c>
      <c r="M26" s="2"/>
      <c r="N26" s="6">
        <f t="shared" si="3"/>
        <v>0.24995875948531832</v>
      </c>
      <c r="O26" s="11"/>
      <c r="P26" s="7">
        <v>606.17999999999995</v>
      </c>
      <c r="Q26" s="2"/>
      <c r="R26" s="6">
        <f t="shared" si="4"/>
        <v>0</v>
      </c>
      <c r="S26" s="2"/>
      <c r="T26" s="7">
        <v>484.96</v>
      </c>
      <c r="U26" s="2"/>
      <c r="V26" s="6">
        <f t="shared" si="5"/>
        <v>0</v>
      </c>
      <c r="W26" s="2"/>
      <c r="X26" s="7">
        <f t="shared" si="6"/>
        <v>121.21999999999997</v>
      </c>
      <c r="Y26" s="2"/>
      <c r="Z26" s="6">
        <f t="shared" si="7"/>
        <v>0.24995875948531832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103.35</v>
      </c>
      <c r="E27" s="2"/>
      <c r="F27" s="6">
        <f t="shared" si="0"/>
        <v>0</v>
      </c>
      <c r="G27" s="2"/>
      <c r="H27" s="7">
        <v>121.96</v>
      </c>
      <c r="I27" s="2"/>
      <c r="J27" s="6">
        <f t="shared" si="1"/>
        <v>0</v>
      </c>
      <c r="K27" s="2"/>
      <c r="L27" s="7">
        <f t="shared" si="2"/>
        <v>-18.61</v>
      </c>
      <c r="M27" s="2"/>
      <c r="N27" s="6">
        <f t="shared" si="3"/>
        <v>-0.15259101344703183</v>
      </c>
      <c r="O27" s="11"/>
      <c r="P27" s="7">
        <v>103.35</v>
      </c>
      <c r="Q27" s="2"/>
      <c r="R27" s="6">
        <f t="shared" si="4"/>
        <v>0</v>
      </c>
      <c r="S27" s="2"/>
      <c r="T27" s="7">
        <v>121.96</v>
      </c>
      <c r="U27" s="2"/>
      <c r="V27" s="6">
        <f t="shared" si="5"/>
        <v>0</v>
      </c>
      <c r="W27" s="2"/>
      <c r="X27" s="7">
        <f t="shared" si="6"/>
        <v>-18.61</v>
      </c>
      <c r="Y27" s="2"/>
      <c r="Z27" s="6">
        <f t="shared" si="7"/>
        <v>-0.15259101344703183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7737.53</v>
      </c>
      <c r="E28" s="1"/>
      <c r="F28" s="5">
        <f t="shared" ref="F28:F36" si="8">IF(D$12=0,0,D28/D$12)</f>
        <v>0</v>
      </c>
      <c r="G28" s="1"/>
      <c r="H28" s="1">
        <f>SUM(OSRRefH22_1x_0)</f>
        <v>9884.7999999999993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-2147.2699999999995</v>
      </c>
      <c r="M28" s="1"/>
      <c r="N28" s="5">
        <f t="shared" ref="N28:N36" si="11">IF(H28=0,0,L28/H28)</f>
        <v>-0.21722948365166717</v>
      </c>
      <c r="O28" s="14"/>
      <c r="P28" s="1">
        <f>SUM(OSRRefP22_1x_0)</f>
        <v>7737.53</v>
      </c>
      <c r="Q28" s="1"/>
      <c r="R28" s="5">
        <f t="shared" ref="R28:R36" si="12">IF(P$12=0,0,P28/P$12)</f>
        <v>0</v>
      </c>
      <c r="S28" s="1"/>
      <c r="T28" s="1">
        <f>SUM(OSRRefT22_1x_0)</f>
        <v>9884.7999999999993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-2147.2699999999995</v>
      </c>
      <c r="Y28" s="1"/>
      <c r="Z28" s="5">
        <f t="shared" ref="Z28:Z36" si="15">IF(T28=0,0,X28/T28)</f>
        <v>-0.21722948365166717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7737.53</v>
      </c>
      <c r="E29" s="2"/>
      <c r="F29" s="6">
        <f t="shared" si="8"/>
        <v>0</v>
      </c>
      <c r="G29" s="2"/>
      <c r="H29" s="7">
        <v>9884.7999999999993</v>
      </c>
      <c r="I29" s="2"/>
      <c r="J29" s="6">
        <f t="shared" si="9"/>
        <v>0</v>
      </c>
      <c r="K29" s="2"/>
      <c r="L29" s="7">
        <f t="shared" si="10"/>
        <v>-2147.2699999999995</v>
      </c>
      <c r="M29" s="2"/>
      <c r="N29" s="6">
        <f t="shared" si="11"/>
        <v>-0.21722948365166717</v>
      </c>
      <c r="O29" s="11"/>
      <c r="P29" s="7">
        <v>7737.53</v>
      </c>
      <c r="Q29" s="2"/>
      <c r="R29" s="6">
        <f t="shared" si="12"/>
        <v>0</v>
      </c>
      <c r="S29" s="2"/>
      <c r="T29" s="7">
        <v>9884.7999999999993</v>
      </c>
      <c r="U29" s="2"/>
      <c r="V29" s="6">
        <f t="shared" si="13"/>
        <v>0</v>
      </c>
      <c r="W29" s="2"/>
      <c r="X29" s="7">
        <f t="shared" si="14"/>
        <v>-2147.2699999999995</v>
      </c>
      <c r="Y29" s="2"/>
      <c r="Z29" s="6">
        <f t="shared" si="15"/>
        <v>-0.21722948365166717</v>
      </c>
    </row>
    <row r="30" spans="1:26" s="28" customFormat="1" outlineLevel="1" collapsed="1" x14ac:dyDescent="0.25">
      <c r="A30" s="27"/>
      <c r="B30" s="14" t="str">
        <f>CONCATENATE("     ","Employees' Appreciation                           ")</f>
        <v xml:space="preserve">     Employees' Appreciation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40.9</v>
      </c>
      <c r="I30" s="1"/>
      <c r="J30" s="5">
        <f t="shared" si="9"/>
        <v>0</v>
      </c>
      <c r="K30" s="1"/>
      <c r="L30" s="1">
        <f t="shared" si="10"/>
        <v>-40.9</v>
      </c>
      <c r="M30" s="1"/>
      <c r="N30" s="5">
        <f t="shared" si="11"/>
        <v>-1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40.9</v>
      </c>
      <c r="U30" s="1"/>
      <c r="V30" s="5">
        <f t="shared" si="13"/>
        <v>0</v>
      </c>
      <c r="W30" s="1"/>
      <c r="X30" s="1">
        <f t="shared" si="14"/>
        <v>-40.9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"6277", " - ", "EMPLOYEE APPRECIATION")</f>
        <v xml:space="preserve">          6277 - EMPLOYEE APPRECIATION</v>
      </c>
      <c r="C31" s="11"/>
      <c r="D31" s="7"/>
      <c r="E31" s="2"/>
      <c r="F31" s="6">
        <f t="shared" si="8"/>
        <v>0</v>
      </c>
      <c r="G31" s="2"/>
      <c r="H31" s="7">
        <v>40.9</v>
      </c>
      <c r="I31" s="2"/>
      <c r="J31" s="6">
        <f t="shared" si="9"/>
        <v>0</v>
      </c>
      <c r="K31" s="2"/>
      <c r="L31" s="7">
        <f t="shared" si="10"/>
        <v>-40.9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40.9</v>
      </c>
      <c r="U31" s="2"/>
      <c r="V31" s="6">
        <f t="shared" si="13"/>
        <v>0</v>
      </c>
      <c r="W31" s="2"/>
      <c r="X31" s="7">
        <f t="shared" si="14"/>
        <v>-40.9</v>
      </c>
      <c r="Y31" s="2"/>
      <c r="Z31" s="6">
        <f t="shared" si="15"/>
        <v>-1</v>
      </c>
    </row>
    <row r="32" spans="1:26" s="28" customFormat="1" outlineLevel="1" collapsed="1" x14ac:dyDescent="0.25">
      <c r="A32" s="27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127.55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127.55</v>
      </c>
      <c r="M32" s="1"/>
      <c r="N32" s="5">
        <f t="shared" si="11"/>
        <v>0</v>
      </c>
      <c r="O32" s="14"/>
      <c r="P32" s="1">
        <f>SUM(OSRRefP22_3x_0)</f>
        <v>127.55</v>
      </c>
      <c r="Q32" s="1"/>
      <c r="R32" s="5">
        <f t="shared" si="12"/>
        <v>0</v>
      </c>
      <c r="S32" s="1"/>
      <c r="T32" s="1">
        <f>SUM(OSRRefT22_3x_0)</f>
        <v>0</v>
      </c>
      <c r="U32" s="1"/>
      <c r="V32" s="5">
        <f t="shared" si="13"/>
        <v>0</v>
      </c>
      <c r="W32" s="1"/>
      <c r="X32" s="1">
        <f t="shared" si="14"/>
        <v>127.55</v>
      </c>
      <c r="Y32" s="1"/>
      <c r="Z32" s="5">
        <f t="shared" si="15"/>
        <v>0</v>
      </c>
    </row>
    <row r="33" spans="1:26" s="24" customFormat="1" hidden="1" outlineLevel="2" x14ac:dyDescent="0.25">
      <c r="A33" s="29"/>
      <c r="B33" s="11" t="str">
        <f>CONCATENATE("          ", "6279", " - ", "GENERAL EXPENSE")</f>
        <v xml:space="preserve">          6279 - GENERAL EXPENSE</v>
      </c>
      <c r="C33" s="11"/>
      <c r="D33" s="7">
        <v>127.55</v>
      </c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127.55</v>
      </c>
      <c r="M33" s="2"/>
      <c r="N33" s="6">
        <f t="shared" si="11"/>
        <v>0</v>
      </c>
      <c r="O33" s="11"/>
      <c r="P33" s="7">
        <v>127.55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127.55</v>
      </c>
      <c r="Y33" s="2"/>
      <c r="Z33" s="6">
        <f t="shared" si="15"/>
        <v>0</v>
      </c>
    </row>
    <row r="34" spans="1:26" s="28" customFormat="1" outlineLevel="1" collapsed="1" x14ac:dyDescent="0.25">
      <c r="A34" s="27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618.84</v>
      </c>
      <c r="E34" s="1"/>
      <c r="F34" s="5">
        <f t="shared" si="8"/>
        <v>0</v>
      </c>
      <c r="G34" s="1"/>
      <c r="H34" s="1">
        <f>SUM(OSRRefH22_4x_0)</f>
        <v>331.98</v>
      </c>
      <c r="I34" s="1"/>
      <c r="J34" s="5">
        <f t="shared" si="9"/>
        <v>0</v>
      </c>
      <c r="K34" s="1"/>
      <c r="L34" s="1">
        <f t="shared" si="10"/>
        <v>286.86</v>
      </c>
      <c r="M34" s="1"/>
      <c r="N34" s="5">
        <f t="shared" si="11"/>
        <v>0.86408819808422188</v>
      </c>
      <c r="O34" s="14"/>
      <c r="P34" s="1">
        <f>SUM(OSRRefP22_4x_0)</f>
        <v>618.84</v>
      </c>
      <c r="Q34" s="1"/>
      <c r="R34" s="5">
        <f t="shared" si="12"/>
        <v>0</v>
      </c>
      <c r="S34" s="1"/>
      <c r="T34" s="1">
        <f>SUM(OSRRefT22_4x_0)</f>
        <v>331.98</v>
      </c>
      <c r="U34" s="1"/>
      <c r="V34" s="5">
        <f t="shared" si="13"/>
        <v>0</v>
      </c>
      <c r="W34" s="1"/>
      <c r="X34" s="1">
        <f t="shared" si="14"/>
        <v>286.86</v>
      </c>
      <c r="Y34" s="1"/>
      <c r="Z34" s="5">
        <f t="shared" si="15"/>
        <v>0.86408819808422188</v>
      </c>
    </row>
    <row r="35" spans="1:26" s="24" customFormat="1" hidden="1" outlineLevel="2" x14ac:dyDescent="0.25">
      <c r="A35" s="29"/>
      <c r="B35" s="11" t="str">
        <f>CONCATENATE("          ", "6241", " - ", "OFFICE EXPENSE")</f>
        <v xml:space="preserve">          6241 - OFFICE EXPENSE</v>
      </c>
      <c r="C35" s="11"/>
      <c r="D35" s="7">
        <v>618.84</v>
      </c>
      <c r="E35" s="2"/>
      <c r="F35" s="6">
        <f t="shared" si="8"/>
        <v>0</v>
      </c>
      <c r="G35" s="2"/>
      <c r="H35" s="7">
        <v>25.19</v>
      </c>
      <c r="I35" s="2"/>
      <c r="J35" s="6">
        <f t="shared" si="9"/>
        <v>0</v>
      </c>
      <c r="K35" s="2"/>
      <c r="L35" s="7">
        <f t="shared" si="10"/>
        <v>593.65</v>
      </c>
      <c r="M35" s="2"/>
      <c r="N35" s="6">
        <f t="shared" si="11"/>
        <v>23.56689162366018</v>
      </c>
      <c r="O35" s="11"/>
      <c r="P35" s="7">
        <v>618.84</v>
      </c>
      <c r="Q35" s="2"/>
      <c r="R35" s="6">
        <f t="shared" si="12"/>
        <v>0</v>
      </c>
      <c r="S35" s="2"/>
      <c r="T35" s="7">
        <v>25.19</v>
      </c>
      <c r="U35" s="2"/>
      <c r="V35" s="6">
        <f t="shared" si="13"/>
        <v>0</v>
      </c>
      <c r="W35" s="2"/>
      <c r="X35" s="7">
        <f t="shared" si="14"/>
        <v>593.65</v>
      </c>
      <c r="Y35" s="2"/>
      <c r="Z35" s="6">
        <f t="shared" si="15"/>
        <v>23.56689162366018</v>
      </c>
    </row>
    <row r="36" spans="1:26" s="24" customFormat="1" hidden="1" outlineLevel="2" x14ac:dyDescent="0.25">
      <c r="A36" s="29"/>
      <c r="B36" s="11" t="str">
        <f>CONCATENATE("          ", "6245", " - ", "PRINTING")</f>
        <v xml:space="preserve">          6245 - PRINTING</v>
      </c>
      <c r="C36" s="11"/>
      <c r="D36" s="7"/>
      <c r="E36" s="2"/>
      <c r="F36" s="6">
        <f t="shared" si="8"/>
        <v>0</v>
      </c>
      <c r="G36" s="2"/>
      <c r="H36" s="7">
        <v>306.79000000000002</v>
      </c>
      <c r="I36" s="2"/>
      <c r="J36" s="6">
        <f t="shared" si="9"/>
        <v>0</v>
      </c>
      <c r="K36" s="2"/>
      <c r="L36" s="7">
        <f t="shared" si="10"/>
        <v>-306.79000000000002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306.79000000000002</v>
      </c>
      <c r="U36" s="2"/>
      <c r="V36" s="6">
        <f t="shared" si="13"/>
        <v>0</v>
      </c>
      <c r="W36" s="2"/>
      <c r="X36" s="7">
        <f t="shared" si="14"/>
        <v>-306.79000000000002</v>
      </c>
      <c r="Y36" s="2"/>
      <c r="Z36" s="6">
        <f t="shared" si="15"/>
        <v>-1</v>
      </c>
    </row>
    <row r="37" spans="1:26" s="28" customFormat="1" outlineLevel="1" collapsed="1" x14ac:dyDescent="0.25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-950</v>
      </c>
      <c r="E37" s="1"/>
      <c r="F37" s="5">
        <f t="shared" ref="F37:F42" si="16">IF(D$12=0,0,D37/D$12)</f>
        <v>0</v>
      </c>
      <c r="G37" s="1"/>
      <c r="H37" s="1">
        <f>SUM(OSRRefH22_5x_0)</f>
        <v>-40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-910</v>
      </c>
      <c r="M37" s="1"/>
      <c r="N37" s="5">
        <f t="shared" ref="N37:N42" si="19">IF(H37=0,0,L37/H37)</f>
        <v>22.75</v>
      </c>
      <c r="O37" s="14"/>
      <c r="P37" s="1">
        <f>SUM(OSRRefP22_5x_0)</f>
        <v>-950</v>
      </c>
      <c r="Q37" s="1"/>
      <c r="R37" s="5">
        <f t="shared" ref="R37:R42" si="20">IF(P$12=0,0,P37/P$12)</f>
        <v>0</v>
      </c>
      <c r="S37" s="1"/>
      <c r="T37" s="1">
        <f>SUM(OSRRefT22_5x_0)</f>
        <v>-40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-910</v>
      </c>
      <c r="Y37" s="1"/>
      <c r="Z37" s="5">
        <f t="shared" ref="Z37:Z42" si="23">IF(T37=0,0,X37/T37)</f>
        <v>22.75</v>
      </c>
    </row>
    <row r="38" spans="1:26" s="24" customFormat="1" hidden="1" outlineLevel="2" x14ac:dyDescent="0.25">
      <c r="A38" s="29"/>
      <c r="B38" s="11" t="str">
        <f>CONCATENATE("          ", "6309", " - ", "TELEPHONE")</f>
        <v xml:space="preserve">          6309 - TELEPHONE</v>
      </c>
      <c r="C38" s="11"/>
      <c r="D38" s="7">
        <v>-950</v>
      </c>
      <c r="E38" s="2"/>
      <c r="F38" s="6">
        <f t="shared" si="16"/>
        <v>0</v>
      </c>
      <c r="G38" s="2"/>
      <c r="H38" s="7">
        <v>-40</v>
      </c>
      <c r="I38" s="2"/>
      <c r="J38" s="6">
        <f t="shared" si="17"/>
        <v>0</v>
      </c>
      <c r="K38" s="2"/>
      <c r="L38" s="7">
        <f t="shared" si="18"/>
        <v>-910</v>
      </c>
      <c r="M38" s="2"/>
      <c r="N38" s="6">
        <f t="shared" si="19"/>
        <v>22.75</v>
      </c>
      <c r="O38" s="11"/>
      <c r="P38" s="7">
        <v>-950</v>
      </c>
      <c r="Q38" s="2"/>
      <c r="R38" s="6">
        <f t="shared" si="20"/>
        <v>0</v>
      </c>
      <c r="S38" s="2"/>
      <c r="T38" s="7">
        <v>-40</v>
      </c>
      <c r="U38" s="2"/>
      <c r="V38" s="6">
        <f t="shared" si="21"/>
        <v>0</v>
      </c>
      <c r="W38" s="2"/>
      <c r="X38" s="7">
        <f t="shared" si="22"/>
        <v>-910</v>
      </c>
      <c r="Y38" s="2"/>
      <c r="Z38" s="6">
        <f t="shared" si="23"/>
        <v>22.75</v>
      </c>
    </row>
    <row r="39" spans="1:26" s="28" customFormat="1" outlineLevel="1" collapsed="1" x14ac:dyDescent="0.25">
      <c r="A39" s="27"/>
      <c r="B39" s="14" t="str">
        <f>CONCATENATE("     ","Training                                          ")</f>
        <v xml:space="preserve">     Training                                          </v>
      </c>
      <c r="C39" s="14"/>
      <c r="D39" s="1">
        <f>SUM(OSRRefD22_6x_0)</f>
        <v>1321.12</v>
      </c>
      <c r="E39" s="1"/>
      <c r="F39" s="5">
        <f t="shared" si="16"/>
        <v>0</v>
      </c>
      <c r="G39" s="1"/>
      <c r="H39" s="1">
        <f>SUM(OSRRefH22_6x_0)</f>
        <v>2692.61</v>
      </c>
      <c r="I39" s="1"/>
      <c r="J39" s="5">
        <f t="shared" si="17"/>
        <v>0</v>
      </c>
      <c r="K39" s="1"/>
      <c r="L39" s="1">
        <f t="shared" si="18"/>
        <v>-1371.4900000000002</v>
      </c>
      <c r="M39" s="1"/>
      <c r="N39" s="5">
        <f t="shared" si="19"/>
        <v>-0.50935337832066296</v>
      </c>
      <c r="O39" s="14"/>
      <c r="P39" s="1">
        <f>SUM(OSRRefP22_6x_0)</f>
        <v>1321.12</v>
      </c>
      <c r="Q39" s="1"/>
      <c r="R39" s="5">
        <f t="shared" si="20"/>
        <v>0</v>
      </c>
      <c r="S39" s="1"/>
      <c r="T39" s="1">
        <f>SUM(OSRRefT22_6x_0)</f>
        <v>2692.61</v>
      </c>
      <c r="U39" s="1"/>
      <c r="V39" s="5">
        <f t="shared" si="21"/>
        <v>0</v>
      </c>
      <c r="W39" s="1"/>
      <c r="X39" s="1">
        <f t="shared" si="22"/>
        <v>-1371.4900000000002</v>
      </c>
      <c r="Y39" s="1"/>
      <c r="Z39" s="5">
        <f t="shared" si="23"/>
        <v>-0.50935337832066296</v>
      </c>
    </row>
    <row r="40" spans="1:26" s="24" customFormat="1" hidden="1" outlineLevel="2" x14ac:dyDescent="0.25">
      <c r="A40" s="29"/>
      <c r="B40" s="11" t="str">
        <f>CONCATENATE("          ", "6376", " - ", "TRAINING")</f>
        <v xml:space="preserve">          6376 - TRAINING</v>
      </c>
      <c r="C40" s="11"/>
      <c r="D40" s="7">
        <v>1321.12</v>
      </c>
      <c r="E40" s="2"/>
      <c r="F40" s="6">
        <f t="shared" si="16"/>
        <v>0</v>
      </c>
      <c r="G40" s="2"/>
      <c r="H40" s="7">
        <v>2692.61</v>
      </c>
      <c r="I40" s="2"/>
      <c r="J40" s="6">
        <f t="shared" si="17"/>
        <v>0</v>
      </c>
      <c r="K40" s="2"/>
      <c r="L40" s="7">
        <f t="shared" si="18"/>
        <v>-1371.4900000000002</v>
      </c>
      <c r="M40" s="2"/>
      <c r="N40" s="6">
        <f t="shared" si="19"/>
        <v>-0.50935337832066296</v>
      </c>
      <c r="O40" s="11"/>
      <c r="P40" s="7">
        <v>1321.12</v>
      </c>
      <c r="Q40" s="2"/>
      <c r="R40" s="6">
        <f t="shared" si="20"/>
        <v>0</v>
      </c>
      <c r="S40" s="2"/>
      <c r="T40" s="7">
        <v>2692.61</v>
      </c>
      <c r="U40" s="2"/>
      <c r="V40" s="6">
        <f t="shared" si="21"/>
        <v>0</v>
      </c>
      <c r="W40" s="2"/>
      <c r="X40" s="7">
        <f t="shared" si="22"/>
        <v>-1371.4900000000002</v>
      </c>
      <c r="Y40" s="2"/>
      <c r="Z40" s="6">
        <f t="shared" si="23"/>
        <v>-0.50935337832066296</v>
      </c>
    </row>
    <row r="41" spans="1:26" s="28" customFormat="1" outlineLevel="1" collapsed="1" x14ac:dyDescent="0.25">
      <c r="A41" s="27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785.17</v>
      </c>
      <c r="I41" s="1"/>
      <c r="J41" s="5">
        <f t="shared" si="17"/>
        <v>0</v>
      </c>
      <c r="K41" s="1"/>
      <c r="L41" s="1">
        <f t="shared" si="18"/>
        <v>-785.17</v>
      </c>
      <c r="M41" s="1"/>
      <c r="N41" s="5">
        <f t="shared" si="19"/>
        <v>-1</v>
      </c>
      <c r="O41" s="14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785.17</v>
      </c>
      <c r="U41" s="1"/>
      <c r="V41" s="5">
        <f t="shared" si="21"/>
        <v>0</v>
      </c>
      <c r="W41" s="1"/>
      <c r="X41" s="1">
        <f t="shared" si="22"/>
        <v>-785.17</v>
      </c>
      <c r="Y41" s="1"/>
      <c r="Z41" s="5">
        <f t="shared" si="23"/>
        <v>-1</v>
      </c>
    </row>
    <row r="42" spans="1:26" s="24" customFormat="1" hidden="1" outlineLevel="2" x14ac:dyDescent="0.25">
      <c r="A42" s="29"/>
      <c r="B42" s="11" t="str">
        <f>CONCATENATE("          ", "6292", " - ", "TRAVEL/CONFERENCE")</f>
        <v xml:space="preserve">          6292 - TRAVEL/CONFERENCE</v>
      </c>
      <c r="C42" s="11"/>
      <c r="D42" s="7"/>
      <c r="E42" s="2"/>
      <c r="F42" s="6">
        <f t="shared" si="16"/>
        <v>0</v>
      </c>
      <c r="G42" s="2"/>
      <c r="H42" s="7">
        <v>785.17</v>
      </c>
      <c r="I42" s="2"/>
      <c r="J42" s="6">
        <f t="shared" si="17"/>
        <v>0</v>
      </c>
      <c r="K42" s="2"/>
      <c r="L42" s="7">
        <f t="shared" si="18"/>
        <v>-785.17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785.17</v>
      </c>
      <c r="U42" s="2"/>
      <c r="V42" s="6">
        <f t="shared" si="21"/>
        <v>0</v>
      </c>
      <c r="W42" s="2"/>
      <c r="X42" s="7">
        <f t="shared" si="22"/>
        <v>-785.17</v>
      </c>
      <c r="Y42" s="2"/>
      <c r="Z42" s="6">
        <f t="shared" si="23"/>
        <v>-1</v>
      </c>
    </row>
    <row r="43" spans="1:26" s="54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6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3</v>
      </c>
      <c r="C46" s="25"/>
      <c r="D46" s="21">
        <f>+D16-D18+D44</f>
        <v>-14917.259999999998</v>
      </c>
      <c r="E46" s="13"/>
      <c r="F46" s="20">
        <f>IF(D$12=0,0,D46/D$12)</f>
        <v>0</v>
      </c>
      <c r="G46" s="13"/>
      <c r="H46" s="21">
        <f>+H16-H18+H44</f>
        <v>-17755.73</v>
      </c>
      <c r="I46" s="13"/>
      <c r="J46" s="20">
        <f>IF(H$12=0,0,H46/H$12)</f>
        <v>0</v>
      </c>
      <c r="K46" s="16"/>
      <c r="L46" s="21">
        <f>+D46-H46</f>
        <v>2838.4700000000012</v>
      </c>
      <c r="M46" s="16"/>
      <c r="N46" s="20">
        <f>IF(H46=0,0,L46/H46)</f>
        <v>-0.15986219659794337</v>
      </c>
      <c r="O46" s="26"/>
      <c r="P46" s="21">
        <f>+P16-P18+P44</f>
        <v>-14917.259999999998</v>
      </c>
      <c r="Q46" s="13"/>
      <c r="R46" s="20">
        <f>IF(P$12=0,0,P46/P$12)</f>
        <v>0</v>
      </c>
      <c r="S46" s="13"/>
      <c r="T46" s="21">
        <f>+T16-T18+T44</f>
        <v>-17755.73</v>
      </c>
      <c r="U46" s="13"/>
      <c r="V46" s="20">
        <f>IF(T$12=0,0,T46/T$12)</f>
        <v>0</v>
      </c>
      <c r="W46" s="16"/>
      <c r="X46" s="21">
        <f>+P46-T46</f>
        <v>2838.4700000000012</v>
      </c>
      <c r="Y46" s="16"/>
      <c r="Z46" s="20">
        <f>IF(T46=0,0,X46/T46)</f>
        <v>-0.15986219659794337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4</v>
      </c>
      <c r="C50" s="25"/>
      <c r="D50" s="33">
        <f>+D46-D48</f>
        <v>-14917.259999999998</v>
      </c>
      <c r="E50" s="13"/>
      <c r="F50" s="34">
        <f>IF(D$12=0,0,D50/D$12)</f>
        <v>0</v>
      </c>
      <c r="G50" s="13"/>
      <c r="H50" s="33">
        <f>+H46-H48</f>
        <v>-17755.73</v>
      </c>
      <c r="I50" s="13"/>
      <c r="J50" s="34">
        <f>IF(H$12=0,0,H50/H$12)</f>
        <v>0</v>
      </c>
      <c r="K50" s="16"/>
      <c r="L50" s="33">
        <f>D50-H50</f>
        <v>2838.4700000000012</v>
      </c>
      <c r="M50" s="16"/>
      <c r="N50" s="34">
        <f>IF(H50=0,0,L50/H50)</f>
        <v>-0.15986219659794337</v>
      </c>
      <c r="O50" s="26"/>
      <c r="P50" s="33">
        <f>+P46-P48</f>
        <v>-14917.259999999998</v>
      </c>
      <c r="Q50" s="13"/>
      <c r="R50" s="34">
        <f>IF(P$12=0,0,P50/P$12)</f>
        <v>0</v>
      </c>
      <c r="S50" s="13"/>
      <c r="T50" s="33">
        <f>+T46-T48</f>
        <v>-17755.73</v>
      </c>
      <c r="U50" s="13"/>
      <c r="V50" s="34">
        <f>IF(T$12=0,0,T50/T$12)</f>
        <v>0</v>
      </c>
      <c r="W50" s="16"/>
      <c r="X50" s="33">
        <f>P50-T50</f>
        <v>2838.4700000000012</v>
      </c>
      <c r="Y50" s="16"/>
      <c r="Z50" s="34">
        <f>IF(T50=0,0,X50/T50)</f>
        <v>-0.15986219659794337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5</v>
      </c>
      <c r="C53" s="25"/>
      <c r="D53" s="31">
        <f>SUM(D50:D52)</f>
        <v>-14917.259999999998</v>
      </c>
      <c r="E53" s="13"/>
      <c r="F53" s="30">
        <f>IF(D$12=0,0,D53/D$12)</f>
        <v>0</v>
      </c>
      <c r="G53" s="13"/>
      <c r="H53" s="31">
        <f>SUM(H50:H52)</f>
        <v>-17755.73</v>
      </c>
      <c r="I53" s="13"/>
      <c r="J53" s="30">
        <f>IF(H$12=0,0,H53/H$12)</f>
        <v>0</v>
      </c>
      <c r="K53" s="16"/>
      <c r="L53" s="31">
        <f>+D53-H53</f>
        <v>2838.4700000000012</v>
      </c>
      <c r="M53" s="16"/>
      <c r="N53" s="30">
        <f>IF(H53=0,0,L53/H53)</f>
        <v>-0.15986219659794337</v>
      </c>
      <c r="O53" s="26"/>
      <c r="P53" s="31">
        <f>SUM(P50:P52)</f>
        <v>-14917.259999999998</v>
      </c>
      <c r="Q53" s="13"/>
      <c r="R53" s="30">
        <f>IF(P$12=0,0,P53/P$12)</f>
        <v>0</v>
      </c>
      <c r="S53" s="13"/>
      <c r="T53" s="31">
        <f>SUM(T50:T52)</f>
        <v>-17755.73</v>
      </c>
      <c r="U53" s="13"/>
      <c r="V53" s="30">
        <f>IF(T$12=0,0,T53/T$12)</f>
        <v>0</v>
      </c>
      <c r="W53" s="16"/>
      <c r="X53" s="31">
        <f>+P53-T53</f>
        <v>2838.4700000000012</v>
      </c>
      <c r="Y53" s="16"/>
      <c r="Z53" s="30">
        <f>IF(T53=0,0,X53/T53)</f>
        <v>-0.15986219659794337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>
        <v>43726.682378043981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3" t="s">
        <v>313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246499.62</v>
      </c>
      <c r="E12" s="4"/>
      <c r="F12" s="12"/>
      <c r="G12" s="4"/>
      <c r="H12" s="4">
        <f>SUM(OSRRefH13x_0)</f>
        <v>284019.70999999996</v>
      </c>
      <c r="I12" s="4"/>
      <c r="J12" s="12"/>
      <c r="K12" s="4"/>
      <c r="L12" s="4">
        <f t="shared" ref="L12:L15" si="0">+D12-H12</f>
        <v>-37520.089999999967</v>
      </c>
      <c r="M12" s="4"/>
      <c r="N12" s="12">
        <f t="shared" ref="N12:N15" si="1">IF(H12=0,0,L12/H12)</f>
        <v>-0.13210382476624588</v>
      </c>
      <c r="O12" s="10"/>
      <c r="P12" s="4">
        <f>SUM(OSRRefP13x_0)</f>
        <v>246499.62</v>
      </c>
      <c r="Q12" s="4"/>
      <c r="R12" s="12"/>
      <c r="S12" s="4"/>
      <c r="T12" s="4">
        <f>SUM(OSRRefT13x_0)</f>
        <v>284019.70999999996</v>
      </c>
      <c r="U12" s="4"/>
      <c r="V12" s="12"/>
      <c r="W12" s="4"/>
      <c r="X12" s="4">
        <f t="shared" ref="X12:X15" si="2">+P12-T12</f>
        <v>-37520.089999999967</v>
      </c>
      <c r="Y12" s="4"/>
      <c r="Z12" s="12">
        <f t="shared" ref="Z12:Z15" si="3">IF(T12=0,0,X12/T12)</f>
        <v>-0.13210382476624588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--658.65</f>
        <v>658.65</v>
      </c>
      <c r="E13" s="2"/>
      <c r="F13" s="22"/>
      <c r="G13" s="2"/>
      <c r="H13" s="2">
        <f>--2218.54</f>
        <v>2218.54</v>
      </c>
      <c r="I13" s="2"/>
      <c r="J13" s="22"/>
      <c r="K13" s="2"/>
      <c r="L13" s="2">
        <f t="shared" si="0"/>
        <v>-1559.8899999999999</v>
      </c>
      <c r="M13" s="2"/>
      <c r="N13" s="22">
        <f t="shared" si="1"/>
        <v>-0.70311556248704099</v>
      </c>
      <c r="O13" s="11"/>
      <c r="P13" s="2">
        <f>--658.65</f>
        <v>658.65</v>
      </c>
      <c r="Q13" s="2"/>
      <c r="R13" s="22"/>
      <c r="S13" s="2"/>
      <c r="T13" s="2">
        <f>--2218.54</f>
        <v>2218.54</v>
      </c>
      <c r="U13" s="2"/>
      <c r="V13" s="22"/>
      <c r="W13" s="2"/>
      <c r="X13" s="2">
        <f t="shared" si="2"/>
        <v>-1559.8899999999999</v>
      </c>
      <c r="Y13" s="2"/>
      <c r="Z13" s="22">
        <f t="shared" si="3"/>
        <v>-0.70311556248704099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--242604.95</f>
        <v>242604.95</v>
      </c>
      <c r="E14" s="2"/>
      <c r="F14" s="22"/>
      <c r="G14" s="2"/>
      <c r="H14" s="2">
        <f>--276888.44</f>
        <v>276888.44</v>
      </c>
      <c r="I14" s="2"/>
      <c r="J14" s="22"/>
      <c r="K14" s="2"/>
      <c r="L14" s="2">
        <f t="shared" si="0"/>
        <v>-34283.489999999991</v>
      </c>
      <c r="M14" s="2"/>
      <c r="N14" s="22">
        <f t="shared" si="1"/>
        <v>-0.12381697841917846</v>
      </c>
      <c r="O14" s="11"/>
      <c r="P14" s="2">
        <f>--242604.95</f>
        <v>242604.95</v>
      </c>
      <c r="Q14" s="2"/>
      <c r="R14" s="22"/>
      <c r="S14" s="2"/>
      <c r="T14" s="2">
        <f>--276888.44</f>
        <v>276888.44</v>
      </c>
      <c r="U14" s="2"/>
      <c r="V14" s="22"/>
      <c r="W14" s="2"/>
      <c r="X14" s="2">
        <f t="shared" si="2"/>
        <v>-34283.489999999991</v>
      </c>
      <c r="Y14" s="2"/>
      <c r="Z14" s="22">
        <f t="shared" si="3"/>
        <v>-0.12381697841917846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2">
        <f>--3236.02</f>
        <v>3236.02</v>
      </c>
      <c r="E15" s="2"/>
      <c r="F15" s="22"/>
      <c r="G15" s="2"/>
      <c r="H15" s="2">
        <f>--4912.73</f>
        <v>4912.7299999999996</v>
      </c>
      <c r="I15" s="2"/>
      <c r="J15" s="22"/>
      <c r="K15" s="2"/>
      <c r="L15" s="2">
        <f t="shared" si="0"/>
        <v>-1676.7099999999996</v>
      </c>
      <c r="M15" s="2"/>
      <c r="N15" s="22">
        <f t="shared" si="1"/>
        <v>-0.34129903332770167</v>
      </c>
      <c r="O15" s="11"/>
      <c r="P15" s="2">
        <f>--3236.02</f>
        <v>3236.02</v>
      </c>
      <c r="Q15" s="2"/>
      <c r="R15" s="22"/>
      <c r="S15" s="2"/>
      <c r="T15" s="2">
        <f>--4912.73</f>
        <v>4912.7299999999996</v>
      </c>
      <c r="U15" s="2"/>
      <c r="V15" s="22"/>
      <c r="W15" s="2"/>
      <c r="X15" s="2">
        <f t="shared" si="2"/>
        <v>-1676.7099999999996</v>
      </c>
      <c r="Y15" s="2"/>
      <c r="Z15" s="22">
        <f t="shared" si="3"/>
        <v>-0.34129903332770167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73268.08</v>
      </c>
      <c r="E17" s="4"/>
      <c r="F17" s="12">
        <f t="shared" ref="F17:F19" si="4">IF(D$12=0,0,D17/D$12)</f>
        <v>0.29723404847439522</v>
      </c>
      <c r="G17" s="4"/>
      <c r="H17" s="4">
        <f>SUM(OSRRefH16x_0)</f>
        <v>65863.049999999988</v>
      </c>
      <c r="I17" s="4"/>
      <c r="J17" s="12">
        <f t="shared" ref="J17:J19" si="5">IF(H$12=0,0,H17/H$12)</f>
        <v>0.23189605397456395</v>
      </c>
      <c r="K17" s="4"/>
      <c r="L17" s="4">
        <f t="shared" ref="L17:L19" si="6">+D17-H17</f>
        <v>7405.0300000000134</v>
      </c>
      <c r="M17" s="4"/>
      <c r="N17" s="12">
        <f t="shared" ref="N17:N19" si="7">IF(H17=0,0,L17/H17)</f>
        <v>0.11243071798223761</v>
      </c>
      <c r="O17" s="10"/>
      <c r="P17" s="4">
        <f>SUM(OSRRefP16x_0)</f>
        <v>73268.08</v>
      </c>
      <c r="Q17" s="4"/>
      <c r="R17" s="12">
        <f t="shared" ref="R17:R19" si="8">IF(P$12=0,0,P17/P$12)</f>
        <v>0.29723404847439522</v>
      </c>
      <c r="S17" s="4"/>
      <c r="T17" s="4">
        <f>SUM(OSRRefT16x_0)</f>
        <v>65863.049999999988</v>
      </c>
      <c r="U17" s="4"/>
      <c r="V17" s="12">
        <f t="shared" ref="V17:V19" si="9">IF(T$12=0,0,T17/T$12)</f>
        <v>0.23189605397456395</v>
      </c>
      <c r="W17" s="4"/>
      <c r="X17" s="4">
        <f t="shared" ref="X17:X19" si="10">+P17-T17</f>
        <v>7405.0300000000134</v>
      </c>
      <c r="Y17" s="4"/>
      <c r="Z17" s="12">
        <f t="shared" ref="Z17:Z19" si="11">IF(T17=0,0,X17/T17)</f>
        <v>0.11243071798223761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2">
        <v>73436.08</v>
      </c>
      <c r="E18" s="2"/>
      <c r="F18" s="22">
        <f t="shared" si="4"/>
        <v>0.29791559110719928</v>
      </c>
      <c r="G18" s="2"/>
      <c r="H18" s="2">
        <v>63721.049999999996</v>
      </c>
      <c r="I18" s="2"/>
      <c r="J18" s="22">
        <f t="shared" si="5"/>
        <v>0.2243543238601293</v>
      </c>
      <c r="K18" s="2"/>
      <c r="L18" s="2">
        <f t="shared" si="6"/>
        <v>9715.0300000000061</v>
      </c>
      <c r="M18" s="2"/>
      <c r="N18" s="22">
        <f t="shared" si="7"/>
        <v>0.15246186307350565</v>
      </c>
      <c r="O18" s="11"/>
      <c r="P18" s="2">
        <v>73436.08</v>
      </c>
      <c r="Q18" s="2"/>
      <c r="R18" s="22">
        <f t="shared" si="8"/>
        <v>0.29791559110719928</v>
      </c>
      <c r="S18" s="2"/>
      <c r="T18" s="2">
        <v>63721.049999999996</v>
      </c>
      <c r="U18" s="2"/>
      <c r="V18" s="22">
        <f t="shared" si="9"/>
        <v>0.2243543238601293</v>
      </c>
      <c r="W18" s="2"/>
      <c r="X18" s="2">
        <f t="shared" si="10"/>
        <v>9715.0300000000061</v>
      </c>
      <c r="Y18" s="2"/>
      <c r="Z18" s="22">
        <f t="shared" si="11"/>
        <v>0.15246186307350565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2">
        <v>-168</v>
      </c>
      <c r="E19" s="2"/>
      <c r="F19" s="22">
        <f t="shared" si="4"/>
        <v>-6.8154263280405865E-4</v>
      </c>
      <c r="G19" s="2"/>
      <c r="H19" s="2">
        <v>2142</v>
      </c>
      <c r="I19" s="2"/>
      <c r="J19" s="22">
        <f t="shared" si="5"/>
        <v>7.5417301144346648E-3</v>
      </c>
      <c r="K19" s="2"/>
      <c r="L19" s="2">
        <f t="shared" si="6"/>
        <v>-2310</v>
      </c>
      <c r="M19" s="2"/>
      <c r="N19" s="22">
        <f t="shared" si="7"/>
        <v>-1.0784313725490196</v>
      </c>
      <c r="O19" s="11"/>
      <c r="P19" s="2">
        <v>-168</v>
      </c>
      <c r="Q19" s="2"/>
      <c r="R19" s="22">
        <f t="shared" si="8"/>
        <v>-6.8154263280405865E-4</v>
      </c>
      <c r="S19" s="2"/>
      <c r="T19" s="2">
        <v>2142</v>
      </c>
      <c r="U19" s="2"/>
      <c r="V19" s="22">
        <f t="shared" si="9"/>
        <v>7.5417301144346648E-3</v>
      </c>
      <c r="W19" s="2"/>
      <c r="X19" s="2">
        <f t="shared" si="10"/>
        <v>-2310</v>
      </c>
      <c r="Y19" s="2"/>
      <c r="Z19" s="22">
        <f t="shared" si="11"/>
        <v>-1.0784313725490196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D12-D17</f>
        <v>173231.53999999998</v>
      </c>
      <c r="E21" s="13"/>
      <c r="F21" s="20">
        <f>IF(D$12=0,0,D21/D$12)</f>
        <v>0.70276595152560473</v>
      </c>
      <c r="G21" s="13"/>
      <c r="H21" s="21">
        <f>H12-H17</f>
        <v>218156.65999999997</v>
      </c>
      <c r="I21" s="13"/>
      <c r="J21" s="20">
        <f>IF(H$12=0,0,H21/H$12)</f>
        <v>0.76810394602543608</v>
      </c>
      <c r="K21" s="16"/>
      <c r="L21" s="21">
        <f>+D21-H21</f>
        <v>-44925.119999999995</v>
      </c>
      <c r="M21" s="16"/>
      <c r="N21" s="20">
        <f>IF(H21=0,0,L21/H21)</f>
        <v>-0.20593054550798495</v>
      </c>
      <c r="O21" s="26"/>
      <c r="P21" s="21">
        <f>P12-P17</f>
        <v>173231.53999999998</v>
      </c>
      <c r="Q21" s="13"/>
      <c r="R21" s="20">
        <f>IF(P$12=0,0,P21/P$12)</f>
        <v>0.70276595152560473</v>
      </c>
      <c r="S21" s="13"/>
      <c r="T21" s="21">
        <f>T12-T17</f>
        <v>218156.65999999997</v>
      </c>
      <c r="U21" s="13"/>
      <c r="V21" s="20">
        <f>IF(T$12=0,0,T21/T$12)</f>
        <v>0.76810394602543608</v>
      </c>
      <c r="W21" s="16"/>
      <c r="X21" s="21">
        <f>+P21-T21</f>
        <v>-44925.119999999995</v>
      </c>
      <c r="Y21" s="16"/>
      <c r="Z21" s="20">
        <f>IF(T21=0,0,X21/T21)</f>
        <v>-0.20593054550798495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19">
        <f>SUM(OSRRefD22x_0)</f>
        <v>147559.66000000003</v>
      </c>
      <c r="E23" s="19"/>
      <c r="F23" s="35">
        <f t="shared" ref="F23:F33" si="12">IF(D$12=0,0,D23/D$12)</f>
        <v>0.5986202331670939</v>
      </c>
      <c r="G23" s="19"/>
      <c r="H23" s="19">
        <f>SUM(OSRRefH22x_0)</f>
        <v>124167.39000000003</v>
      </c>
      <c r="I23" s="19"/>
      <c r="J23" s="35">
        <f t="shared" ref="J23:J33" si="13">IF(H$12=0,0,H23/H$12)</f>
        <v>0.43717877889530993</v>
      </c>
      <c r="K23" s="4"/>
      <c r="L23" s="19">
        <f t="shared" ref="L23:L33" si="14">+D23-H23</f>
        <v>23392.270000000004</v>
      </c>
      <c r="M23" s="4"/>
      <c r="N23" s="35">
        <f t="shared" ref="N23:N33" si="15">IF(H23=0,0,L23/H23)</f>
        <v>0.18839302332117958</v>
      </c>
      <c r="O23" s="10"/>
      <c r="P23" s="19">
        <f>SUM(OSRRefP22x_0)</f>
        <v>147559.66000000003</v>
      </c>
      <c r="Q23" s="19"/>
      <c r="R23" s="35">
        <f t="shared" ref="R23:R33" si="16">IF(P$12=0,0,P23/P$12)</f>
        <v>0.5986202331670939</v>
      </c>
      <c r="S23" s="19"/>
      <c r="T23" s="19">
        <f>SUM(OSRRefT22x_0)</f>
        <v>124167.39000000003</v>
      </c>
      <c r="U23" s="19"/>
      <c r="V23" s="35">
        <f t="shared" ref="V23:V33" si="17">IF(T$12=0,0,T23/T$12)</f>
        <v>0.43717877889530993</v>
      </c>
      <c r="W23" s="4"/>
      <c r="X23" s="19">
        <f t="shared" ref="X23:X33" si="18">+P23-T23</f>
        <v>23392.270000000004</v>
      </c>
      <c r="Y23" s="4"/>
      <c r="Z23" s="35">
        <f t="shared" ref="Z23:Z33" si="19">IF(T23=0,0,X23/T23)</f>
        <v>0.18839302332117958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33496.06</v>
      </c>
      <c r="E24" s="1"/>
      <c r="F24" s="5">
        <f t="shared" si="12"/>
        <v>0.13588686262477809</v>
      </c>
      <c r="G24" s="1"/>
      <c r="H24" s="1">
        <f>SUM(OSRRefH22_0x_0)</f>
        <v>23384.33</v>
      </c>
      <c r="I24" s="1"/>
      <c r="J24" s="5">
        <f t="shared" si="13"/>
        <v>8.2333476081642376E-2</v>
      </c>
      <c r="K24" s="1"/>
      <c r="L24" s="1">
        <f t="shared" si="14"/>
        <v>10111.729999999996</v>
      </c>
      <c r="M24" s="1"/>
      <c r="N24" s="5">
        <f t="shared" si="15"/>
        <v>0.43241478374620934</v>
      </c>
      <c r="O24" s="14"/>
      <c r="P24" s="1">
        <f>SUM(OSRRefP22_0x_0)</f>
        <v>33496.06</v>
      </c>
      <c r="Q24" s="1"/>
      <c r="R24" s="5">
        <f t="shared" si="16"/>
        <v>0.13588686262477809</v>
      </c>
      <c r="S24" s="1"/>
      <c r="T24" s="1">
        <f>SUM(OSRRefT22_0x_0)</f>
        <v>23384.33</v>
      </c>
      <c r="U24" s="1"/>
      <c r="V24" s="5">
        <f t="shared" si="17"/>
        <v>8.2333476081642376E-2</v>
      </c>
      <c r="W24" s="1"/>
      <c r="X24" s="1">
        <f t="shared" si="18"/>
        <v>10111.729999999996</v>
      </c>
      <c r="Y24" s="1"/>
      <c r="Z24" s="5">
        <f t="shared" si="19"/>
        <v>0.43241478374620934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4936.18</v>
      </c>
      <c r="E25" s="2"/>
      <c r="F25" s="6">
        <f t="shared" si="12"/>
        <v>2.0025101864254397E-2</v>
      </c>
      <c r="G25" s="2"/>
      <c r="H25" s="7">
        <v>3918.82</v>
      </c>
      <c r="I25" s="2"/>
      <c r="J25" s="6">
        <f t="shared" si="13"/>
        <v>1.3797704391712818E-2</v>
      </c>
      <c r="K25" s="2"/>
      <c r="L25" s="7">
        <f t="shared" si="14"/>
        <v>1017.3600000000001</v>
      </c>
      <c r="M25" s="2"/>
      <c r="N25" s="6">
        <f t="shared" si="15"/>
        <v>0.25960875977972964</v>
      </c>
      <c r="O25" s="11"/>
      <c r="P25" s="7">
        <v>4936.18</v>
      </c>
      <c r="Q25" s="2"/>
      <c r="R25" s="6">
        <f t="shared" si="16"/>
        <v>2.0025101864254397E-2</v>
      </c>
      <c r="S25" s="2"/>
      <c r="T25" s="7">
        <v>3918.82</v>
      </c>
      <c r="U25" s="2"/>
      <c r="V25" s="6">
        <f t="shared" si="17"/>
        <v>1.3797704391712818E-2</v>
      </c>
      <c r="W25" s="2"/>
      <c r="X25" s="7">
        <f t="shared" si="18"/>
        <v>1017.3600000000001</v>
      </c>
      <c r="Y25" s="2"/>
      <c r="Z25" s="6">
        <f t="shared" si="19"/>
        <v>0.25960875977972964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2514.48</v>
      </c>
      <c r="E26" s="2"/>
      <c r="F26" s="6">
        <f t="shared" si="12"/>
        <v>1.0200745948411605E-2</v>
      </c>
      <c r="G26" s="2"/>
      <c r="H26" s="7">
        <v>2622.1</v>
      </c>
      <c r="I26" s="2"/>
      <c r="J26" s="6">
        <f t="shared" si="13"/>
        <v>9.2321057577306881E-3</v>
      </c>
      <c r="K26" s="2"/>
      <c r="L26" s="7">
        <f t="shared" si="14"/>
        <v>-107.61999999999989</v>
      </c>
      <c r="M26" s="2"/>
      <c r="N26" s="6">
        <f t="shared" si="15"/>
        <v>-4.1043438465352161E-2</v>
      </c>
      <c r="O26" s="11"/>
      <c r="P26" s="7">
        <v>2514.48</v>
      </c>
      <c r="Q26" s="2"/>
      <c r="R26" s="6">
        <f t="shared" si="16"/>
        <v>1.0200745948411605E-2</v>
      </c>
      <c r="S26" s="2"/>
      <c r="T26" s="7">
        <v>2622.1</v>
      </c>
      <c r="U26" s="2"/>
      <c r="V26" s="6">
        <f t="shared" si="17"/>
        <v>9.2321057577306881E-3</v>
      </c>
      <c r="W26" s="2"/>
      <c r="X26" s="7">
        <f t="shared" si="18"/>
        <v>-107.61999999999989</v>
      </c>
      <c r="Y26" s="2"/>
      <c r="Z26" s="6">
        <f t="shared" si="19"/>
        <v>-4.1043438465352161E-2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13940.76</v>
      </c>
      <c r="E27" s="2"/>
      <c r="F27" s="6">
        <f t="shared" si="12"/>
        <v>5.6554894486247079E-2</v>
      </c>
      <c r="G27" s="2"/>
      <c r="H27" s="7">
        <v>5604.16</v>
      </c>
      <c r="I27" s="2"/>
      <c r="J27" s="6">
        <f t="shared" si="13"/>
        <v>1.9731588346456663E-2</v>
      </c>
      <c r="K27" s="2"/>
      <c r="L27" s="7">
        <f t="shared" si="14"/>
        <v>8336.6</v>
      </c>
      <c r="M27" s="2"/>
      <c r="N27" s="6">
        <f t="shared" si="15"/>
        <v>1.4875735168160795</v>
      </c>
      <c r="O27" s="11"/>
      <c r="P27" s="7">
        <v>13940.76</v>
      </c>
      <c r="Q27" s="2"/>
      <c r="R27" s="6">
        <f t="shared" si="16"/>
        <v>5.6554894486247079E-2</v>
      </c>
      <c r="S27" s="2"/>
      <c r="T27" s="7">
        <v>5604.16</v>
      </c>
      <c r="U27" s="2"/>
      <c r="V27" s="6">
        <f t="shared" si="17"/>
        <v>1.9731588346456663E-2</v>
      </c>
      <c r="W27" s="2"/>
      <c r="X27" s="7">
        <f t="shared" si="18"/>
        <v>8336.6</v>
      </c>
      <c r="Y27" s="2"/>
      <c r="Z27" s="6">
        <f t="shared" si="19"/>
        <v>1.4875735168160795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168.49</v>
      </c>
      <c r="E28" s="2"/>
      <c r="F28" s="6">
        <f t="shared" si="12"/>
        <v>6.8353046548307061E-4</v>
      </c>
      <c r="G28" s="2"/>
      <c r="H28" s="7">
        <v>194.79</v>
      </c>
      <c r="I28" s="2"/>
      <c r="J28" s="6">
        <f t="shared" si="13"/>
        <v>6.8583268393591424E-4</v>
      </c>
      <c r="K28" s="2"/>
      <c r="L28" s="7">
        <f t="shared" si="14"/>
        <v>-26.299999999999983</v>
      </c>
      <c r="M28" s="2"/>
      <c r="N28" s="6">
        <f t="shared" si="15"/>
        <v>-0.13501719800811121</v>
      </c>
      <c r="O28" s="11"/>
      <c r="P28" s="7">
        <v>168.49</v>
      </c>
      <c r="Q28" s="2"/>
      <c r="R28" s="6">
        <f t="shared" si="16"/>
        <v>6.8353046548307061E-4</v>
      </c>
      <c r="S28" s="2"/>
      <c r="T28" s="7">
        <v>194.79</v>
      </c>
      <c r="U28" s="2"/>
      <c r="V28" s="6">
        <f t="shared" si="17"/>
        <v>6.8583268393591424E-4</v>
      </c>
      <c r="W28" s="2"/>
      <c r="X28" s="7">
        <f t="shared" si="18"/>
        <v>-26.299999999999983</v>
      </c>
      <c r="Y28" s="2"/>
      <c r="Z28" s="6">
        <f t="shared" si="19"/>
        <v>-0.13501719800811121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1217.31</v>
      </c>
      <c r="E29" s="2"/>
      <c r="F29" s="6">
        <f t="shared" si="12"/>
        <v>4.9383848948732654E-3</v>
      </c>
      <c r="G29" s="2"/>
      <c r="H29" s="7">
        <v>1629.06</v>
      </c>
      <c r="I29" s="2"/>
      <c r="J29" s="6">
        <f t="shared" si="13"/>
        <v>5.7357286929136013E-3</v>
      </c>
      <c r="K29" s="2"/>
      <c r="L29" s="7">
        <f t="shared" si="14"/>
        <v>-411.75</v>
      </c>
      <c r="M29" s="2"/>
      <c r="N29" s="6">
        <f t="shared" si="15"/>
        <v>-0.25275312143199147</v>
      </c>
      <c r="O29" s="11"/>
      <c r="P29" s="7">
        <v>1217.31</v>
      </c>
      <c r="Q29" s="2"/>
      <c r="R29" s="6">
        <f t="shared" si="16"/>
        <v>4.9383848948732654E-3</v>
      </c>
      <c r="S29" s="2"/>
      <c r="T29" s="7">
        <v>1629.06</v>
      </c>
      <c r="U29" s="2"/>
      <c r="V29" s="6">
        <f t="shared" si="17"/>
        <v>5.7357286929136013E-3</v>
      </c>
      <c r="W29" s="2"/>
      <c r="X29" s="7">
        <f t="shared" si="18"/>
        <v>-411.75</v>
      </c>
      <c r="Y29" s="2"/>
      <c r="Z29" s="6">
        <f t="shared" si="19"/>
        <v>-0.25275312143199147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446.83</v>
      </c>
      <c r="E30" s="2"/>
      <c r="F30" s="6">
        <f t="shared" si="12"/>
        <v>1.8127005631895091E-3</v>
      </c>
      <c r="G30" s="2"/>
      <c r="H30" s="7">
        <v>364.62</v>
      </c>
      <c r="I30" s="2"/>
      <c r="J30" s="6">
        <f t="shared" si="13"/>
        <v>1.2837841430089485E-3</v>
      </c>
      <c r="K30" s="2"/>
      <c r="L30" s="7">
        <f t="shared" si="14"/>
        <v>82.20999999999998</v>
      </c>
      <c r="M30" s="2"/>
      <c r="N30" s="6">
        <f t="shared" si="15"/>
        <v>0.22546761011463984</v>
      </c>
      <c r="O30" s="11"/>
      <c r="P30" s="7">
        <v>446.83</v>
      </c>
      <c r="Q30" s="2"/>
      <c r="R30" s="6">
        <f t="shared" si="16"/>
        <v>1.8127005631895091E-3</v>
      </c>
      <c r="S30" s="2"/>
      <c r="T30" s="7">
        <v>364.62</v>
      </c>
      <c r="U30" s="2"/>
      <c r="V30" s="6">
        <f t="shared" si="17"/>
        <v>1.2837841430089485E-3</v>
      </c>
      <c r="W30" s="2"/>
      <c r="X30" s="7">
        <f t="shared" si="18"/>
        <v>82.20999999999998</v>
      </c>
      <c r="Y30" s="2"/>
      <c r="Z30" s="6">
        <f t="shared" si="19"/>
        <v>0.22546761011463984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3583.82</v>
      </c>
      <c r="E31" s="2"/>
      <c r="F31" s="6">
        <f t="shared" si="12"/>
        <v>1.4538845942237153E-2</v>
      </c>
      <c r="G31" s="2"/>
      <c r="H31" s="7">
        <v>3384.96</v>
      </c>
      <c r="I31" s="2"/>
      <c r="J31" s="6">
        <f t="shared" si="13"/>
        <v>1.191804611025059E-2</v>
      </c>
      <c r="K31" s="2"/>
      <c r="L31" s="7">
        <f t="shared" si="14"/>
        <v>198.86000000000013</v>
      </c>
      <c r="M31" s="2"/>
      <c r="N31" s="6">
        <f t="shared" si="15"/>
        <v>5.8748109283418455E-2</v>
      </c>
      <c r="O31" s="11"/>
      <c r="P31" s="7">
        <v>3583.82</v>
      </c>
      <c r="Q31" s="2"/>
      <c r="R31" s="6">
        <f t="shared" si="16"/>
        <v>1.4538845942237153E-2</v>
      </c>
      <c r="S31" s="2"/>
      <c r="T31" s="7">
        <v>3384.96</v>
      </c>
      <c r="U31" s="2"/>
      <c r="V31" s="6">
        <f t="shared" si="17"/>
        <v>1.191804611025059E-2</v>
      </c>
      <c r="W31" s="2"/>
      <c r="X31" s="7">
        <f t="shared" si="18"/>
        <v>198.86000000000013</v>
      </c>
      <c r="Y31" s="2"/>
      <c r="Z31" s="6">
        <f t="shared" si="19"/>
        <v>5.8748109283418455E-2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6123.7</v>
      </c>
      <c r="E32" s="2"/>
      <c r="F32" s="6">
        <f t="shared" si="12"/>
        <v>2.4842634645846514E-2</v>
      </c>
      <c r="G32" s="2"/>
      <c r="H32" s="7">
        <v>4646.55</v>
      </c>
      <c r="I32" s="2"/>
      <c r="J32" s="6">
        <f t="shared" si="13"/>
        <v>1.6359956145297103E-2</v>
      </c>
      <c r="K32" s="2"/>
      <c r="L32" s="7">
        <f t="shared" si="14"/>
        <v>1477.1499999999996</v>
      </c>
      <c r="M32" s="2"/>
      <c r="N32" s="6">
        <f t="shared" si="15"/>
        <v>0.31790252983396272</v>
      </c>
      <c r="O32" s="11"/>
      <c r="P32" s="7">
        <v>6123.7</v>
      </c>
      <c r="Q32" s="2"/>
      <c r="R32" s="6">
        <f t="shared" si="16"/>
        <v>2.4842634645846514E-2</v>
      </c>
      <c r="S32" s="2"/>
      <c r="T32" s="7">
        <v>4646.55</v>
      </c>
      <c r="U32" s="2"/>
      <c r="V32" s="6">
        <f t="shared" si="17"/>
        <v>1.6359956145297103E-2</v>
      </c>
      <c r="W32" s="2"/>
      <c r="X32" s="7">
        <f t="shared" si="18"/>
        <v>1477.1499999999996</v>
      </c>
      <c r="Y32" s="2"/>
      <c r="Z32" s="6">
        <f t="shared" si="19"/>
        <v>0.31790252983396272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564.49</v>
      </c>
      <c r="E33" s="2"/>
      <c r="F33" s="6">
        <f t="shared" si="12"/>
        <v>2.2900238142354945E-3</v>
      </c>
      <c r="G33" s="2"/>
      <c r="H33" s="7">
        <v>1019.27</v>
      </c>
      <c r="I33" s="2"/>
      <c r="J33" s="6">
        <f t="shared" si="13"/>
        <v>3.5887298103360506E-3</v>
      </c>
      <c r="K33" s="2"/>
      <c r="L33" s="7">
        <f t="shared" si="14"/>
        <v>-454.78</v>
      </c>
      <c r="M33" s="2"/>
      <c r="N33" s="6">
        <f t="shared" si="15"/>
        <v>-0.44618207148253158</v>
      </c>
      <c r="O33" s="11"/>
      <c r="P33" s="7">
        <v>564.49</v>
      </c>
      <c r="Q33" s="2"/>
      <c r="R33" s="6">
        <f t="shared" si="16"/>
        <v>2.2900238142354945E-3</v>
      </c>
      <c r="S33" s="2"/>
      <c r="T33" s="7">
        <v>1019.27</v>
      </c>
      <c r="U33" s="2"/>
      <c r="V33" s="6">
        <f t="shared" si="17"/>
        <v>3.5887298103360506E-3</v>
      </c>
      <c r="W33" s="2"/>
      <c r="X33" s="7">
        <f t="shared" si="18"/>
        <v>-454.78</v>
      </c>
      <c r="Y33" s="2"/>
      <c r="Z33" s="6">
        <f t="shared" si="19"/>
        <v>-0.44618207148253158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76888.47</v>
      </c>
      <c r="E34" s="1"/>
      <c r="F34" s="5">
        <f t="shared" ref="F34:F40" si="20">IF(D$12=0,0,D34/D$12)</f>
        <v>0.31192125164330881</v>
      </c>
      <c r="G34" s="1"/>
      <c r="H34" s="1">
        <f>SUM(OSRRefH22_1x_0)</f>
        <v>59658.78</v>
      </c>
      <c r="I34" s="1"/>
      <c r="J34" s="5">
        <f t="shared" ref="J34:J40" si="21">IF(H$12=0,0,H34/H$12)</f>
        <v>0.21005154888722338</v>
      </c>
      <c r="K34" s="1"/>
      <c r="L34" s="1">
        <f t="shared" ref="L34:L40" si="22">+D34-H34</f>
        <v>17229.690000000002</v>
      </c>
      <c r="M34" s="1"/>
      <c r="N34" s="5">
        <f t="shared" ref="N34:N40" si="23">IF(H34=0,0,L34/H34)</f>
        <v>0.28880392793818449</v>
      </c>
      <c r="O34" s="14"/>
      <c r="P34" s="1">
        <f>SUM(OSRRefP22_1x_0)</f>
        <v>76888.47</v>
      </c>
      <c r="Q34" s="1"/>
      <c r="R34" s="5">
        <f t="shared" ref="R34:R40" si="24">IF(P$12=0,0,P34/P$12)</f>
        <v>0.31192125164330881</v>
      </c>
      <c r="S34" s="1"/>
      <c r="T34" s="1">
        <f>SUM(OSRRefT22_1x_0)</f>
        <v>59658.78</v>
      </c>
      <c r="U34" s="1"/>
      <c r="V34" s="5">
        <f t="shared" ref="V34:V40" si="25">IF(T$12=0,0,T34/T$12)</f>
        <v>0.21005154888722338</v>
      </c>
      <c r="W34" s="1"/>
      <c r="X34" s="1">
        <f t="shared" ref="X34:X40" si="26">+P34-T34</f>
        <v>17229.690000000002</v>
      </c>
      <c r="Y34" s="1"/>
      <c r="Z34" s="5">
        <f t="shared" ref="Z34:Z40" si="27">IF(T34=0,0,X34/T34)</f>
        <v>0.28880392793818449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15867.28</v>
      </c>
      <c r="E35" s="2"/>
      <c r="F35" s="6">
        <f t="shared" si="20"/>
        <v>6.4370403491899916E-2</v>
      </c>
      <c r="G35" s="2"/>
      <c r="H35" s="7">
        <v>14692.94</v>
      </c>
      <c r="I35" s="2"/>
      <c r="J35" s="6">
        <f t="shared" si="21"/>
        <v>5.1732113943782292E-2</v>
      </c>
      <c r="K35" s="2"/>
      <c r="L35" s="7">
        <f t="shared" si="22"/>
        <v>1174.3400000000001</v>
      </c>
      <c r="M35" s="2"/>
      <c r="N35" s="6">
        <f t="shared" si="23"/>
        <v>7.9925460799540465E-2</v>
      </c>
      <c r="O35" s="11"/>
      <c r="P35" s="7">
        <v>15867.28</v>
      </c>
      <c r="Q35" s="2"/>
      <c r="R35" s="6">
        <f t="shared" si="24"/>
        <v>6.4370403491899916E-2</v>
      </c>
      <c r="S35" s="2"/>
      <c r="T35" s="7">
        <v>14692.94</v>
      </c>
      <c r="U35" s="2"/>
      <c r="V35" s="6">
        <f t="shared" si="25"/>
        <v>5.1732113943782292E-2</v>
      </c>
      <c r="W35" s="2"/>
      <c r="X35" s="7">
        <f t="shared" si="26"/>
        <v>1174.3400000000001</v>
      </c>
      <c r="Y35" s="2"/>
      <c r="Z35" s="6">
        <f t="shared" si="27"/>
        <v>7.9925460799540465E-2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13467.22</v>
      </c>
      <c r="E36" s="2"/>
      <c r="F36" s="6">
        <f t="shared" si="20"/>
        <v>5.4633836758044493E-2</v>
      </c>
      <c r="G36" s="2"/>
      <c r="H36" s="7">
        <v>16330.87</v>
      </c>
      <c r="I36" s="2"/>
      <c r="J36" s="6">
        <f t="shared" si="21"/>
        <v>5.7499072863640352E-2</v>
      </c>
      <c r="K36" s="2"/>
      <c r="L36" s="7">
        <f t="shared" si="22"/>
        <v>-2863.6500000000015</v>
      </c>
      <c r="M36" s="2"/>
      <c r="N36" s="6">
        <f t="shared" si="23"/>
        <v>-0.175351956141957</v>
      </c>
      <c r="O36" s="11"/>
      <c r="P36" s="7">
        <v>13467.22</v>
      </c>
      <c r="Q36" s="2"/>
      <c r="R36" s="6">
        <f t="shared" si="24"/>
        <v>5.4633836758044493E-2</v>
      </c>
      <c r="S36" s="2"/>
      <c r="T36" s="7">
        <v>16330.87</v>
      </c>
      <c r="U36" s="2"/>
      <c r="V36" s="6">
        <f t="shared" si="25"/>
        <v>5.7499072863640352E-2</v>
      </c>
      <c r="W36" s="2"/>
      <c r="X36" s="7">
        <f t="shared" si="26"/>
        <v>-2863.6500000000015</v>
      </c>
      <c r="Y36" s="2"/>
      <c r="Z36" s="6">
        <f t="shared" si="27"/>
        <v>-0.175351956141957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13651.33</v>
      </c>
      <c r="E37" s="2"/>
      <c r="F37" s="6">
        <f t="shared" si="20"/>
        <v>5.5380734461172802E-2</v>
      </c>
      <c r="G37" s="2"/>
      <c r="H37" s="7">
        <v>5779.75</v>
      </c>
      <c r="I37" s="2"/>
      <c r="J37" s="6">
        <f t="shared" si="21"/>
        <v>2.0349820088190362E-2</v>
      </c>
      <c r="K37" s="2"/>
      <c r="L37" s="7">
        <f t="shared" si="22"/>
        <v>7871.58</v>
      </c>
      <c r="M37" s="2"/>
      <c r="N37" s="6">
        <f t="shared" si="23"/>
        <v>1.3619239586487304</v>
      </c>
      <c r="O37" s="11"/>
      <c r="P37" s="7">
        <v>13651.33</v>
      </c>
      <c r="Q37" s="2"/>
      <c r="R37" s="6">
        <f t="shared" si="24"/>
        <v>5.5380734461172802E-2</v>
      </c>
      <c r="S37" s="2"/>
      <c r="T37" s="7">
        <v>5779.75</v>
      </c>
      <c r="U37" s="2"/>
      <c r="V37" s="6">
        <f t="shared" si="25"/>
        <v>2.0349820088190362E-2</v>
      </c>
      <c r="W37" s="2"/>
      <c r="X37" s="7">
        <f t="shared" si="26"/>
        <v>7871.58</v>
      </c>
      <c r="Y37" s="2"/>
      <c r="Z37" s="6">
        <f t="shared" si="27"/>
        <v>1.3619239586487304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>
        <v>3261.57</v>
      </c>
      <c r="E38" s="2"/>
      <c r="F38" s="6">
        <f t="shared" si="20"/>
        <v>1.323154169568294E-2</v>
      </c>
      <c r="G38" s="2"/>
      <c r="H38" s="7"/>
      <c r="I38" s="2"/>
      <c r="J38" s="6">
        <f t="shared" si="21"/>
        <v>0</v>
      </c>
      <c r="K38" s="2"/>
      <c r="L38" s="7">
        <f t="shared" si="22"/>
        <v>3261.57</v>
      </c>
      <c r="M38" s="2"/>
      <c r="N38" s="6">
        <f t="shared" si="23"/>
        <v>0</v>
      </c>
      <c r="O38" s="11"/>
      <c r="P38" s="7">
        <v>3261.57</v>
      </c>
      <c r="Q38" s="2"/>
      <c r="R38" s="6">
        <f t="shared" si="24"/>
        <v>1.323154169568294E-2</v>
      </c>
      <c r="S38" s="2"/>
      <c r="T38" s="7"/>
      <c r="U38" s="2"/>
      <c r="V38" s="6">
        <f t="shared" si="25"/>
        <v>0</v>
      </c>
      <c r="W38" s="2"/>
      <c r="X38" s="7">
        <f t="shared" si="26"/>
        <v>3261.57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28550.070000000003</v>
      </c>
      <c r="E39" s="2"/>
      <c r="F39" s="6">
        <f t="shared" si="20"/>
        <v>0.11582196353892961</v>
      </c>
      <c r="G39" s="2"/>
      <c r="H39" s="7">
        <v>20344.47</v>
      </c>
      <c r="I39" s="2"/>
      <c r="J39" s="6">
        <f t="shared" si="21"/>
        <v>7.163048648982849E-2</v>
      </c>
      <c r="K39" s="2"/>
      <c r="L39" s="7">
        <f t="shared" si="22"/>
        <v>8205.6000000000022</v>
      </c>
      <c r="M39" s="2"/>
      <c r="N39" s="6">
        <f t="shared" si="23"/>
        <v>0.40333319078845514</v>
      </c>
      <c r="O39" s="11"/>
      <c r="P39" s="7">
        <v>28550.070000000003</v>
      </c>
      <c r="Q39" s="2"/>
      <c r="R39" s="6">
        <f t="shared" si="24"/>
        <v>0.11582196353892961</v>
      </c>
      <c r="S39" s="2"/>
      <c r="T39" s="7">
        <v>20344.47</v>
      </c>
      <c r="U39" s="2"/>
      <c r="V39" s="6">
        <f t="shared" si="25"/>
        <v>7.163048648982849E-2</v>
      </c>
      <c r="W39" s="2"/>
      <c r="X39" s="7">
        <f t="shared" si="26"/>
        <v>8205.6000000000022</v>
      </c>
      <c r="Y39" s="2"/>
      <c r="Z39" s="6">
        <f t="shared" si="27"/>
        <v>0.40333319078845514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2091</v>
      </c>
      <c r="E40" s="2"/>
      <c r="F40" s="6">
        <f t="shared" si="20"/>
        <v>8.4827716975790883E-3</v>
      </c>
      <c r="G40" s="2"/>
      <c r="H40" s="7">
        <v>2510.75</v>
      </c>
      <c r="I40" s="2"/>
      <c r="J40" s="6">
        <f t="shared" si="21"/>
        <v>8.8400555017819019E-3</v>
      </c>
      <c r="K40" s="2"/>
      <c r="L40" s="7">
        <f t="shared" si="22"/>
        <v>-419.75</v>
      </c>
      <c r="M40" s="2"/>
      <c r="N40" s="6">
        <f t="shared" si="23"/>
        <v>-0.16718112117893061</v>
      </c>
      <c r="O40" s="11"/>
      <c r="P40" s="7">
        <v>2091</v>
      </c>
      <c r="Q40" s="2"/>
      <c r="R40" s="6">
        <f t="shared" si="24"/>
        <v>8.4827716975790883E-3</v>
      </c>
      <c r="S40" s="2"/>
      <c r="T40" s="7">
        <v>2510.75</v>
      </c>
      <c r="U40" s="2"/>
      <c r="V40" s="6">
        <f t="shared" si="25"/>
        <v>8.8400555017819019E-3</v>
      </c>
      <c r="W40" s="2"/>
      <c r="X40" s="7">
        <f t="shared" si="26"/>
        <v>-419.75</v>
      </c>
      <c r="Y40" s="2"/>
      <c r="Z40" s="6">
        <f t="shared" si="27"/>
        <v>-0.16718112117893061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422.69</v>
      </c>
      <c r="E41" s="1"/>
      <c r="F41" s="5">
        <f t="shared" ref="F41:F56" si="28">IF(D$12=0,0,D41/D$12)</f>
        <v>1.7147693777377832E-3</v>
      </c>
      <c r="G41" s="1"/>
      <c r="H41" s="1">
        <f>SUM(OSRRefH22_2x_0)</f>
        <v>1818.32</v>
      </c>
      <c r="I41" s="1"/>
      <c r="J41" s="5">
        <f t="shared" ref="J41:J56" si="29">IF(H$12=0,0,H41/H$12)</f>
        <v>6.4020908971423153E-3</v>
      </c>
      <c r="K41" s="1"/>
      <c r="L41" s="1">
        <f t="shared" ref="L41:L56" si="30">+D41-H41</f>
        <v>-1395.6299999999999</v>
      </c>
      <c r="M41" s="1"/>
      <c r="N41" s="5">
        <f t="shared" ref="N41:N56" si="31">IF(H41=0,0,L41/H41)</f>
        <v>-0.76753816709930045</v>
      </c>
      <c r="O41" s="14"/>
      <c r="P41" s="1">
        <f>SUM(OSRRefP22_2x_0)</f>
        <v>422.69</v>
      </c>
      <c r="Q41" s="1"/>
      <c r="R41" s="5">
        <f t="shared" ref="R41:R56" si="32">IF(P$12=0,0,P41/P$12)</f>
        <v>1.7147693777377832E-3</v>
      </c>
      <c r="S41" s="1"/>
      <c r="T41" s="1">
        <f>SUM(OSRRefT22_2x_0)</f>
        <v>1818.32</v>
      </c>
      <c r="U41" s="1"/>
      <c r="V41" s="5">
        <f t="shared" ref="V41:V56" si="33">IF(T$12=0,0,T41/T$12)</f>
        <v>6.4020908971423153E-3</v>
      </c>
      <c r="W41" s="1"/>
      <c r="X41" s="1">
        <f t="shared" ref="X41:X56" si="34">+P41-T41</f>
        <v>-1395.6299999999999</v>
      </c>
      <c r="Y41" s="1"/>
      <c r="Z41" s="5">
        <f t="shared" ref="Z41:Z56" si="35">IF(T41=0,0,X41/T41)</f>
        <v>-0.76753816709930045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422.69</v>
      </c>
      <c r="E42" s="2"/>
      <c r="F42" s="6">
        <f t="shared" si="28"/>
        <v>1.7147693777377832E-3</v>
      </c>
      <c r="G42" s="2"/>
      <c r="H42" s="7">
        <v>1818.32</v>
      </c>
      <c r="I42" s="2"/>
      <c r="J42" s="6">
        <f t="shared" si="29"/>
        <v>6.4020908971423153E-3</v>
      </c>
      <c r="K42" s="2"/>
      <c r="L42" s="7">
        <f t="shared" si="30"/>
        <v>-1395.6299999999999</v>
      </c>
      <c r="M42" s="2"/>
      <c r="N42" s="6">
        <f t="shared" si="31"/>
        <v>-0.76753816709930045</v>
      </c>
      <c r="O42" s="11"/>
      <c r="P42" s="7">
        <v>422.69</v>
      </c>
      <c r="Q42" s="2"/>
      <c r="R42" s="6">
        <f t="shared" si="32"/>
        <v>1.7147693777377832E-3</v>
      </c>
      <c r="S42" s="2"/>
      <c r="T42" s="7">
        <v>1818.32</v>
      </c>
      <c r="U42" s="2"/>
      <c r="V42" s="6">
        <f t="shared" si="33"/>
        <v>6.4020908971423153E-3</v>
      </c>
      <c r="W42" s="2"/>
      <c r="X42" s="7">
        <f t="shared" si="34"/>
        <v>-1395.6299999999999</v>
      </c>
      <c r="Y42" s="2"/>
      <c r="Z42" s="6">
        <f t="shared" si="35"/>
        <v>-0.76753816709930045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-0.1</v>
      </c>
      <c r="E43" s="1"/>
      <c r="F43" s="5">
        <f t="shared" si="28"/>
        <v>-4.0568013857384448E-7</v>
      </c>
      <c r="G43" s="1"/>
      <c r="H43" s="1">
        <f>SUM(OSRRefH22_3x_0)</f>
        <v>1.07</v>
      </c>
      <c r="I43" s="1"/>
      <c r="J43" s="5">
        <f t="shared" si="29"/>
        <v>3.767344174810967E-6</v>
      </c>
      <c r="K43" s="1"/>
      <c r="L43" s="1">
        <f t="shared" si="30"/>
        <v>-1.1700000000000002</v>
      </c>
      <c r="M43" s="1"/>
      <c r="N43" s="5">
        <f t="shared" si="31"/>
        <v>-1.0934579439252337</v>
      </c>
      <c r="O43" s="14"/>
      <c r="P43" s="1">
        <f>SUM(OSRRefP22_3x_0)</f>
        <v>-0.1</v>
      </c>
      <c r="Q43" s="1"/>
      <c r="R43" s="5">
        <f t="shared" si="32"/>
        <v>-4.0568013857384448E-7</v>
      </c>
      <c r="S43" s="1"/>
      <c r="T43" s="1">
        <f>SUM(OSRRefT22_3x_0)</f>
        <v>1.07</v>
      </c>
      <c r="U43" s="1"/>
      <c r="V43" s="5">
        <f t="shared" si="33"/>
        <v>3.767344174810967E-6</v>
      </c>
      <c r="W43" s="1"/>
      <c r="X43" s="1">
        <f t="shared" si="34"/>
        <v>-1.1700000000000002</v>
      </c>
      <c r="Y43" s="1"/>
      <c r="Z43" s="5">
        <f t="shared" si="35"/>
        <v>-1.0934579439252337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>
        <v>-0.1</v>
      </c>
      <c r="E44" s="2"/>
      <c r="F44" s="6">
        <f t="shared" si="28"/>
        <v>-4.0568013857384448E-7</v>
      </c>
      <c r="G44" s="2"/>
      <c r="H44" s="7">
        <v>1.07</v>
      </c>
      <c r="I44" s="2"/>
      <c r="J44" s="6">
        <f t="shared" si="29"/>
        <v>3.767344174810967E-6</v>
      </c>
      <c r="K44" s="2"/>
      <c r="L44" s="7">
        <f t="shared" si="30"/>
        <v>-1.1700000000000002</v>
      </c>
      <c r="M44" s="2"/>
      <c r="N44" s="6">
        <f t="shared" si="31"/>
        <v>-1.0934579439252337</v>
      </c>
      <c r="O44" s="11"/>
      <c r="P44" s="7">
        <v>-0.1</v>
      </c>
      <c r="Q44" s="2"/>
      <c r="R44" s="6">
        <f t="shared" si="32"/>
        <v>-4.0568013857384448E-7</v>
      </c>
      <c r="S44" s="2"/>
      <c r="T44" s="7">
        <v>1.07</v>
      </c>
      <c r="U44" s="2"/>
      <c r="V44" s="6">
        <f t="shared" si="33"/>
        <v>3.767344174810967E-6</v>
      </c>
      <c r="W44" s="2"/>
      <c r="X44" s="7">
        <f t="shared" si="34"/>
        <v>-1.1700000000000002</v>
      </c>
      <c r="Y44" s="2"/>
      <c r="Z44" s="6">
        <f t="shared" si="35"/>
        <v>-1.0934579439252337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78.63</v>
      </c>
      <c r="E45" s="1"/>
      <c r="F45" s="5">
        <f t="shared" si="28"/>
        <v>3.1898629296061388E-4</v>
      </c>
      <c r="G45" s="1"/>
      <c r="H45" s="1">
        <f>SUM(OSRRefH22_4x_0)</f>
        <v>50.47</v>
      </c>
      <c r="I45" s="1"/>
      <c r="J45" s="5">
        <f t="shared" si="29"/>
        <v>1.7769893504926122E-4</v>
      </c>
      <c r="K45" s="1"/>
      <c r="L45" s="1">
        <f t="shared" si="30"/>
        <v>28.159999999999997</v>
      </c>
      <c r="M45" s="1"/>
      <c r="N45" s="5">
        <f t="shared" si="31"/>
        <v>0.55795522092332073</v>
      </c>
      <c r="O45" s="14"/>
      <c r="P45" s="1">
        <f>SUM(OSRRefP22_4x_0)</f>
        <v>78.63</v>
      </c>
      <c r="Q45" s="1"/>
      <c r="R45" s="5">
        <f t="shared" si="32"/>
        <v>3.1898629296061388E-4</v>
      </c>
      <c r="S45" s="1"/>
      <c r="T45" s="1">
        <f>SUM(OSRRefT22_4x_0)</f>
        <v>50.47</v>
      </c>
      <c r="U45" s="1"/>
      <c r="V45" s="5">
        <f t="shared" si="33"/>
        <v>1.7769893504926122E-4</v>
      </c>
      <c r="W45" s="1"/>
      <c r="X45" s="1">
        <f t="shared" si="34"/>
        <v>28.159999999999997</v>
      </c>
      <c r="Y45" s="1"/>
      <c r="Z45" s="5">
        <f t="shared" si="35"/>
        <v>0.55795522092332073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78.63</v>
      </c>
      <c r="E46" s="2"/>
      <c r="F46" s="6">
        <f t="shared" si="28"/>
        <v>3.1898629296061388E-4</v>
      </c>
      <c r="G46" s="2"/>
      <c r="H46" s="7">
        <v>50.47</v>
      </c>
      <c r="I46" s="2"/>
      <c r="J46" s="6">
        <f t="shared" si="29"/>
        <v>1.7769893504926122E-4</v>
      </c>
      <c r="K46" s="2"/>
      <c r="L46" s="7">
        <f t="shared" si="30"/>
        <v>28.159999999999997</v>
      </c>
      <c r="M46" s="2"/>
      <c r="N46" s="6">
        <f t="shared" si="31"/>
        <v>0.55795522092332073</v>
      </c>
      <c r="O46" s="11"/>
      <c r="P46" s="7">
        <v>78.63</v>
      </c>
      <c r="Q46" s="2"/>
      <c r="R46" s="6">
        <f t="shared" si="32"/>
        <v>3.1898629296061388E-4</v>
      </c>
      <c r="S46" s="2"/>
      <c r="T46" s="7">
        <v>50.47</v>
      </c>
      <c r="U46" s="2"/>
      <c r="V46" s="6">
        <f t="shared" si="33"/>
        <v>1.7769893504926122E-4</v>
      </c>
      <c r="W46" s="2"/>
      <c r="X46" s="7">
        <f t="shared" si="34"/>
        <v>28.159999999999997</v>
      </c>
      <c r="Y46" s="2"/>
      <c r="Z46" s="6">
        <f t="shared" si="35"/>
        <v>0.55795522092332073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83.78</v>
      </c>
      <c r="E47" s="1"/>
      <c r="F47" s="5">
        <f t="shared" si="28"/>
        <v>3.3987882009716688E-4</v>
      </c>
      <c r="G47" s="1"/>
      <c r="H47" s="1">
        <f>SUM(OSRRefH22_5x_0)</f>
        <v>155.32</v>
      </c>
      <c r="I47" s="1"/>
      <c r="J47" s="5">
        <f t="shared" si="29"/>
        <v>5.4686345535667226E-4</v>
      </c>
      <c r="K47" s="1"/>
      <c r="L47" s="1">
        <f t="shared" si="30"/>
        <v>-71.539999999999992</v>
      </c>
      <c r="M47" s="1"/>
      <c r="N47" s="5">
        <f t="shared" si="31"/>
        <v>-0.46059747617821267</v>
      </c>
      <c r="O47" s="14"/>
      <c r="P47" s="1">
        <f>SUM(OSRRefP22_5x_0)</f>
        <v>83.78</v>
      </c>
      <c r="Q47" s="1"/>
      <c r="R47" s="5">
        <f t="shared" si="32"/>
        <v>3.3987882009716688E-4</v>
      </c>
      <c r="S47" s="1"/>
      <c r="T47" s="1">
        <f>SUM(OSRRefT22_5x_0)</f>
        <v>155.32</v>
      </c>
      <c r="U47" s="1"/>
      <c r="V47" s="5">
        <f t="shared" si="33"/>
        <v>5.4686345535667226E-4</v>
      </c>
      <c r="W47" s="1"/>
      <c r="X47" s="1">
        <f t="shared" si="34"/>
        <v>-71.539999999999992</v>
      </c>
      <c r="Y47" s="1"/>
      <c r="Z47" s="5">
        <f t="shared" si="35"/>
        <v>-0.46059747617821267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83.78</v>
      </c>
      <c r="E48" s="2"/>
      <c r="F48" s="6">
        <f t="shared" si="28"/>
        <v>3.3987882009716688E-4</v>
      </c>
      <c r="G48" s="2"/>
      <c r="H48" s="7">
        <v>155.32</v>
      </c>
      <c r="I48" s="2"/>
      <c r="J48" s="6">
        <f t="shared" si="29"/>
        <v>5.4686345535667226E-4</v>
      </c>
      <c r="K48" s="2"/>
      <c r="L48" s="7">
        <f t="shared" si="30"/>
        <v>-71.539999999999992</v>
      </c>
      <c r="M48" s="2"/>
      <c r="N48" s="6">
        <f t="shared" si="31"/>
        <v>-0.46059747617821267</v>
      </c>
      <c r="O48" s="11"/>
      <c r="P48" s="7">
        <v>83.78</v>
      </c>
      <c r="Q48" s="2"/>
      <c r="R48" s="6">
        <f t="shared" si="32"/>
        <v>3.3987882009716688E-4</v>
      </c>
      <c r="S48" s="2"/>
      <c r="T48" s="7">
        <v>155.32</v>
      </c>
      <c r="U48" s="2"/>
      <c r="V48" s="6">
        <f t="shared" si="33"/>
        <v>5.4686345535667226E-4</v>
      </c>
      <c r="W48" s="2"/>
      <c r="X48" s="7">
        <f t="shared" si="34"/>
        <v>-71.539999999999992</v>
      </c>
      <c r="Y48" s="2"/>
      <c r="Z48" s="6">
        <f t="shared" si="35"/>
        <v>-0.46059747617821267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1389.55</v>
      </c>
      <c r="E49" s="1"/>
      <c r="F49" s="5">
        <f t="shared" si="28"/>
        <v>5.6371283655528553E-3</v>
      </c>
      <c r="G49" s="1"/>
      <c r="H49" s="1">
        <f>SUM(OSRRefH22_6x_0)</f>
        <v>1495.54</v>
      </c>
      <c r="I49" s="1"/>
      <c r="J49" s="5">
        <f t="shared" si="29"/>
        <v>5.2656204740156951E-3</v>
      </c>
      <c r="K49" s="1"/>
      <c r="L49" s="1">
        <f t="shared" si="30"/>
        <v>-105.99000000000001</v>
      </c>
      <c r="M49" s="1"/>
      <c r="N49" s="5">
        <f t="shared" si="31"/>
        <v>-7.087072228091526E-2</v>
      </c>
      <c r="O49" s="14"/>
      <c r="P49" s="1">
        <f>SUM(OSRRefP22_6x_0)</f>
        <v>1389.55</v>
      </c>
      <c r="Q49" s="1"/>
      <c r="R49" s="5">
        <f t="shared" si="32"/>
        <v>5.6371283655528553E-3</v>
      </c>
      <c r="S49" s="1"/>
      <c r="T49" s="1">
        <f>SUM(OSRRefT22_6x_0)</f>
        <v>1495.54</v>
      </c>
      <c r="U49" s="1"/>
      <c r="V49" s="5">
        <f t="shared" si="33"/>
        <v>5.2656204740156951E-3</v>
      </c>
      <c r="W49" s="1"/>
      <c r="X49" s="1">
        <f t="shared" si="34"/>
        <v>-105.99000000000001</v>
      </c>
      <c r="Y49" s="1"/>
      <c r="Z49" s="5">
        <f t="shared" si="35"/>
        <v>-7.087072228091526E-2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>
        <v>1389.55</v>
      </c>
      <c r="E50" s="2"/>
      <c r="F50" s="6">
        <f t="shared" si="28"/>
        <v>5.6371283655528553E-3</v>
      </c>
      <c r="G50" s="2"/>
      <c r="H50" s="7">
        <v>1495.54</v>
      </c>
      <c r="I50" s="2"/>
      <c r="J50" s="6">
        <f t="shared" si="29"/>
        <v>5.2656204740156951E-3</v>
      </c>
      <c r="K50" s="2"/>
      <c r="L50" s="7">
        <f t="shared" si="30"/>
        <v>-105.99000000000001</v>
      </c>
      <c r="M50" s="2"/>
      <c r="N50" s="6">
        <f t="shared" si="31"/>
        <v>-7.087072228091526E-2</v>
      </c>
      <c r="O50" s="11"/>
      <c r="P50" s="7">
        <v>1389.55</v>
      </c>
      <c r="Q50" s="2"/>
      <c r="R50" s="6">
        <f t="shared" si="32"/>
        <v>5.6371283655528553E-3</v>
      </c>
      <c r="S50" s="2"/>
      <c r="T50" s="7">
        <v>1495.54</v>
      </c>
      <c r="U50" s="2"/>
      <c r="V50" s="6">
        <f t="shared" si="33"/>
        <v>5.2656204740156951E-3</v>
      </c>
      <c r="W50" s="2"/>
      <c r="X50" s="7">
        <f t="shared" si="34"/>
        <v>-105.99000000000001</v>
      </c>
      <c r="Y50" s="2"/>
      <c r="Z50" s="6">
        <f t="shared" si="35"/>
        <v>-7.087072228091526E-2</v>
      </c>
    </row>
    <row r="51" spans="1:26" s="28" customFormat="1" outlineLevel="1" collapsed="1" x14ac:dyDescent="0.25">
      <c r="A51" s="27"/>
      <c r="B51" s="14" t="str">
        <f>CONCATENATE("     ","R/H Commissions                                   ")</f>
        <v xml:space="preserve">     R/H Commissions                                   </v>
      </c>
      <c r="C51" s="14"/>
      <c r="D51" s="1">
        <f>SUM(OSRRefD22_7x_0)</f>
        <v>19408.400000000001</v>
      </c>
      <c r="E51" s="1"/>
      <c r="F51" s="5">
        <f t="shared" si="28"/>
        <v>7.873602401496603E-2</v>
      </c>
      <c r="G51" s="1"/>
      <c r="H51" s="1">
        <f>SUM(OSRRefH22_7x_0)</f>
        <v>22721.58</v>
      </c>
      <c r="I51" s="1"/>
      <c r="J51" s="5">
        <f t="shared" si="29"/>
        <v>8.0000011266823712E-2</v>
      </c>
      <c r="K51" s="1"/>
      <c r="L51" s="1">
        <f t="shared" si="30"/>
        <v>-3313.1800000000003</v>
      </c>
      <c r="M51" s="1"/>
      <c r="N51" s="5">
        <f t="shared" si="31"/>
        <v>-0.14581644410291891</v>
      </c>
      <c r="O51" s="14"/>
      <c r="P51" s="1">
        <f>SUM(OSRRefP22_7x_0)</f>
        <v>19408.400000000001</v>
      </c>
      <c r="Q51" s="1"/>
      <c r="R51" s="5">
        <f t="shared" si="32"/>
        <v>7.873602401496603E-2</v>
      </c>
      <c r="S51" s="1"/>
      <c r="T51" s="1">
        <f>SUM(OSRRefT22_7x_0)</f>
        <v>22721.58</v>
      </c>
      <c r="U51" s="1"/>
      <c r="V51" s="5">
        <f t="shared" si="33"/>
        <v>8.0000011266823712E-2</v>
      </c>
      <c r="W51" s="1"/>
      <c r="X51" s="1">
        <f t="shared" si="34"/>
        <v>-3313.1800000000003</v>
      </c>
      <c r="Y51" s="1"/>
      <c r="Z51" s="5">
        <f t="shared" si="35"/>
        <v>-0.14581644410291891</v>
      </c>
    </row>
    <row r="52" spans="1:26" s="24" customFormat="1" hidden="1" outlineLevel="2" x14ac:dyDescent="0.25">
      <c r="A52" s="29"/>
      <c r="B52" s="11" t="str">
        <f>CONCATENATE("          ", "6387", " - ", "COMMISSION DUE HOUSING")</f>
        <v xml:space="preserve">          6387 - COMMISSION DUE HOUSING</v>
      </c>
      <c r="C52" s="11"/>
      <c r="D52" s="7">
        <v>19408.400000000001</v>
      </c>
      <c r="E52" s="2"/>
      <c r="F52" s="6">
        <f t="shared" si="28"/>
        <v>7.873602401496603E-2</v>
      </c>
      <c r="G52" s="2"/>
      <c r="H52" s="7">
        <v>22721.58</v>
      </c>
      <c r="I52" s="2"/>
      <c r="J52" s="6">
        <f t="shared" si="29"/>
        <v>8.0000011266823712E-2</v>
      </c>
      <c r="K52" s="2"/>
      <c r="L52" s="7">
        <f t="shared" si="30"/>
        <v>-3313.1800000000003</v>
      </c>
      <c r="M52" s="2"/>
      <c r="N52" s="6">
        <f t="shared" si="31"/>
        <v>-0.14581644410291891</v>
      </c>
      <c r="O52" s="11"/>
      <c r="P52" s="7">
        <v>19408.400000000001</v>
      </c>
      <c r="Q52" s="2"/>
      <c r="R52" s="6">
        <f t="shared" si="32"/>
        <v>7.873602401496603E-2</v>
      </c>
      <c r="S52" s="2"/>
      <c r="T52" s="7">
        <v>22721.58</v>
      </c>
      <c r="U52" s="2"/>
      <c r="V52" s="6">
        <f t="shared" si="33"/>
        <v>8.0000011266823712E-2</v>
      </c>
      <c r="W52" s="2"/>
      <c r="X52" s="7">
        <f t="shared" si="34"/>
        <v>-3313.1800000000003</v>
      </c>
      <c r="Y52" s="2"/>
      <c r="Z52" s="6">
        <f t="shared" si="35"/>
        <v>-0.14581644410291891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SUM(OSRRefD22_8x_0)</f>
        <v>6495.7100000000009</v>
      </c>
      <c r="E53" s="1"/>
      <c r="F53" s="5">
        <f t="shared" si="28"/>
        <v>2.6351805329355077E-2</v>
      </c>
      <c r="G53" s="1"/>
      <c r="H53" s="1">
        <f>SUM(OSRRefH22_8x_0)</f>
        <v>5528.93</v>
      </c>
      <c r="I53" s="1"/>
      <c r="J53" s="5">
        <f t="shared" si="29"/>
        <v>1.9466712363025794E-2</v>
      </c>
      <c r="K53" s="1"/>
      <c r="L53" s="1">
        <f t="shared" si="30"/>
        <v>966.78000000000065</v>
      </c>
      <c r="M53" s="1"/>
      <c r="N53" s="5">
        <f t="shared" si="31"/>
        <v>0.17485842649481917</v>
      </c>
      <c r="O53" s="14"/>
      <c r="P53" s="1">
        <f>SUM(OSRRefP22_8x_0)</f>
        <v>6495.7100000000009</v>
      </c>
      <c r="Q53" s="1"/>
      <c r="R53" s="5">
        <f t="shared" si="32"/>
        <v>2.6351805329355077E-2</v>
      </c>
      <c r="S53" s="1"/>
      <c r="T53" s="1">
        <f>SUM(OSRRefT22_8x_0)</f>
        <v>5528.93</v>
      </c>
      <c r="U53" s="1"/>
      <c r="V53" s="5">
        <f t="shared" si="33"/>
        <v>1.9466712363025794E-2</v>
      </c>
      <c r="W53" s="1"/>
      <c r="X53" s="1">
        <f t="shared" si="34"/>
        <v>966.78000000000065</v>
      </c>
      <c r="Y53" s="1"/>
      <c r="Z53" s="5">
        <f t="shared" si="35"/>
        <v>0.17485842649481917</v>
      </c>
    </row>
    <row r="54" spans="1:26" s="24" customFormat="1" hidden="1" outlineLevel="2" x14ac:dyDescent="0.25">
      <c r="A54" s="29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417.32</v>
      </c>
      <c r="E54" s="2"/>
      <c r="F54" s="6">
        <f t="shared" si="28"/>
        <v>1.6929843542963677E-3</v>
      </c>
      <c r="G54" s="2"/>
      <c r="H54" s="7">
        <v>417.32</v>
      </c>
      <c r="I54" s="2"/>
      <c r="J54" s="6">
        <f t="shared" si="29"/>
        <v>1.4693346458244045E-3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417.32</v>
      </c>
      <c r="Q54" s="2"/>
      <c r="R54" s="6">
        <f t="shared" si="32"/>
        <v>1.6929843542963677E-3</v>
      </c>
      <c r="S54" s="2"/>
      <c r="T54" s="7">
        <v>417.32</v>
      </c>
      <c r="U54" s="2"/>
      <c r="V54" s="6">
        <f t="shared" si="33"/>
        <v>1.4693346458244045E-3</v>
      </c>
      <c r="W54" s="2"/>
      <c r="X54" s="7">
        <f t="shared" si="34"/>
        <v>0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7">
        <v>3882.07</v>
      </c>
      <c r="E55" s="2"/>
      <c r="F55" s="6">
        <f t="shared" si="28"/>
        <v>1.5748786955533646E-2</v>
      </c>
      <c r="G55" s="2"/>
      <c r="H55" s="7">
        <v>3603.61</v>
      </c>
      <c r="I55" s="2"/>
      <c r="J55" s="6">
        <f t="shared" si="29"/>
        <v>1.2687887048402383E-2</v>
      </c>
      <c r="K55" s="2"/>
      <c r="L55" s="7">
        <f t="shared" si="30"/>
        <v>278.46000000000004</v>
      </c>
      <c r="M55" s="2"/>
      <c r="N55" s="6">
        <f t="shared" si="31"/>
        <v>7.727251284128972E-2</v>
      </c>
      <c r="O55" s="11"/>
      <c r="P55" s="7">
        <v>3882.07</v>
      </c>
      <c r="Q55" s="2"/>
      <c r="R55" s="6">
        <f t="shared" si="32"/>
        <v>1.5748786955533646E-2</v>
      </c>
      <c r="S55" s="2"/>
      <c r="T55" s="7">
        <v>3603.61</v>
      </c>
      <c r="U55" s="2"/>
      <c r="V55" s="6">
        <f t="shared" si="33"/>
        <v>1.2687887048402383E-2</v>
      </c>
      <c r="W55" s="2"/>
      <c r="X55" s="7">
        <f t="shared" si="34"/>
        <v>278.46000000000004</v>
      </c>
      <c r="Y55" s="2"/>
      <c r="Z55" s="6">
        <f t="shared" si="35"/>
        <v>7.727251284128972E-2</v>
      </c>
    </row>
    <row r="56" spans="1:26" s="24" customFormat="1" hidden="1" outlineLevel="2" x14ac:dyDescent="0.25">
      <c r="A56" s="29"/>
      <c r="B56" s="11" t="str">
        <f>CONCATENATE("          ", "6286", " - ", "LAUNDRY EXPENSE")</f>
        <v xml:space="preserve">          6286 - LAUNDRY EXPENSE</v>
      </c>
      <c r="C56" s="11"/>
      <c r="D56" s="7">
        <v>2196.3200000000002</v>
      </c>
      <c r="E56" s="2"/>
      <c r="F56" s="6">
        <f t="shared" si="28"/>
        <v>8.9100340195250611E-3</v>
      </c>
      <c r="G56" s="2"/>
      <c r="H56" s="7">
        <v>1508</v>
      </c>
      <c r="I56" s="2"/>
      <c r="J56" s="6">
        <f t="shared" si="29"/>
        <v>5.3094906687990075E-3</v>
      </c>
      <c r="K56" s="2"/>
      <c r="L56" s="7">
        <f t="shared" si="30"/>
        <v>688.32000000000016</v>
      </c>
      <c r="M56" s="2"/>
      <c r="N56" s="6">
        <f t="shared" si="31"/>
        <v>0.4564456233421752</v>
      </c>
      <c r="O56" s="11"/>
      <c r="P56" s="7">
        <v>2196.3200000000002</v>
      </c>
      <c r="Q56" s="2"/>
      <c r="R56" s="6">
        <f t="shared" si="32"/>
        <v>8.9100340195250611E-3</v>
      </c>
      <c r="S56" s="2"/>
      <c r="T56" s="7">
        <v>1508</v>
      </c>
      <c r="U56" s="2"/>
      <c r="V56" s="6">
        <f t="shared" si="33"/>
        <v>5.3094906687990075E-3</v>
      </c>
      <c r="W56" s="2"/>
      <c r="X56" s="7">
        <f t="shared" si="34"/>
        <v>688.32000000000016</v>
      </c>
      <c r="Y56" s="2"/>
      <c r="Z56" s="6">
        <f t="shared" si="35"/>
        <v>0.4564456233421752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7442.61</v>
      </c>
      <c r="E57" s="1"/>
      <c r="F57" s="5">
        <f t="shared" ref="F57:F62" si="36">IF(D$12=0,0,D57/D$12)</f>
        <v>3.0193190561510805E-2</v>
      </c>
      <c r="G57" s="1"/>
      <c r="H57" s="1">
        <f>SUM(OSRRefH22_9x_0)</f>
        <v>8337.35</v>
      </c>
      <c r="I57" s="1"/>
      <c r="J57" s="5">
        <f t="shared" ref="J57:J62" si="37">IF(H$12=0,0,H57/H$12)</f>
        <v>2.9354828930710484E-2</v>
      </c>
      <c r="K57" s="1"/>
      <c r="L57" s="1">
        <f t="shared" ref="L57:L62" si="38">+D57-H57</f>
        <v>-894.74000000000069</v>
      </c>
      <c r="M57" s="1"/>
      <c r="N57" s="5">
        <f t="shared" ref="N57:N62" si="39">IF(H57=0,0,L57/H57)</f>
        <v>-0.10731707317073179</v>
      </c>
      <c r="O57" s="14"/>
      <c r="P57" s="1">
        <f>SUM(OSRRefP22_9x_0)</f>
        <v>7442.61</v>
      </c>
      <c r="Q57" s="1"/>
      <c r="R57" s="5">
        <f t="shared" ref="R57:R62" si="40">IF(P$12=0,0,P57/P$12)</f>
        <v>3.0193190561510805E-2</v>
      </c>
      <c r="S57" s="1"/>
      <c r="T57" s="1">
        <f>SUM(OSRRefT22_9x_0)</f>
        <v>8337.35</v>
      </c>
      <c r="U57" s="1"/>
      <c r="V57" s="5">
        <f t="shared" ref="V57:V62" si="41">IF(T$12=0,0,T57/T$12)</f>
        <v>2.9354828930710484E-2</v>
      </c>
      <c r="W57" s="1"/>
      <c r="X57" s="1">
        <f t="shared" ref="X57:X62" si="42">+P57-T57</f>
        <v>-894.74000000000069</v>
      </c>
      <c r="Y57" s="1"/>
      <c r="Z57" s="5">
        <f t="shared" ref="Z57:Z62" si="43">IF(T57=0,0,X57/T57)</f>
        <v>-0.10731707317073179</v>
      </c>
    </row>
    <row r="58" spans="1:26" s="24" customFormat="1" hidden="1" outlineLevel="2" x14ac:dyDescent="0.25">
      <c r="A58" s="29"/>
      <c r="B58" s="11" t="str">
        <f>CONCATENATE("          ", "6237", " - ", "JANITORIAL SUPPLIES")</f>
        <v xml:space="preserve">          6237 - JANITORIAL SUPPLIES</v>
      </c>
      <c r="C58" s="11"/>
      <c r="D58" s="7">
        <v>3299.97</v>
      </c>
      <c r="E58" s="2"/>
      <c r="F58" s="6">
        <f t="shared" si="36"/>
        <v>1.3387322868895294E-2</v>
      </c>
      <c r="G58" s="2"/>
      <c r="H58" s="7">
        <v>3442.68</v>
      </c>
      <c r="I58" s="2"/>
      <c r="J58" s="6">
        <f t="shared" si="37"/>
        <v>1.2121271442745999E-2</v>
      </c>
      <c r="K58" s="2"/>
      <c r="L58" s="7">
        <f t="shared" si="38"/>
        <v>-142.71000000000004</v>
      </c>
      <c r="M58" s="2"/>
      <c r="N58" s="6">
        <f t="shared" si="39"/>
        <v>-4.145317020460805E-2</v>
      </c>
      <c r="O58" s="11"/>
      <c r="P58" s="7">
        <v>3299.97</v>
      </c>
      <c r="Q58" s="2"/>
      <c r="R58" s="6">
        <f t="shared" si="40"/>
        <v>1.3387322868895294E-2</v>
      </c>
      <c r="S58" s="2"/>
      <c r="T58" s="7">
        <v>3442.68</v>
      </c>
      <c r="U58" s="2"/>
      <c r="V58" s="6">
        <f t="shared" si="41"/>
        <v>1.2121271442745999E-2</v>
      </c>
      <c r="W58" s="2"/>
      <c r="X58" s="7">
        <f t="shared" si="42"/>
        <v>-142.71000000000004</v>
      </c>
      <c r="Y58" s="2"/>
      <c r="Z58" s="6">
        <f t="shared" si="43"/>
        <v>-4.145317020460805E-2</v>
      </c>
    </row>
    <row r="59" spans="1:26" s="24" customFormat="1" hidden="1" outlineLevel="2" x14ac:dyDescent="0.25">
      <c r="A59" s="29"/>
      <c r="B59" s="11" t="str">
        <f>CONCATENATE("          ", "6239", " - ", "KITCHEN SUPPLIES")</f>
        <v xml:space="preserve">          6239 - KITCHEN SUPPLIES</v>
      </c>
      <c r="C59" s="11"/>
      <c r="D59" s="7">
        <v>278.73</v>
      </c>
      <c r="E59" s="2"/>
      <c r="F59" s="6">
        <f t="shared" si="36"/>
        <v>1.1307522502468767E-3</v>
      </c>
      <c r="G59" s="2"/>
      <c r="H59" s="7">
        <v>352.26</v>
      </c>
      <c r="I59" s="2"/>
      <c r="J59" s="6">
        <f t="shared" si="37"/>
        <v>1.2402660364662721E-3</v>
      </c>
      <c r="K59" s="2"/>
      <c r="L59" s="7">
        <f t="shared" si="38"/>
        <v>-73.529999999999973</v>
      </c>
      <c r="M59" s="2"/>
      <c r="N59" s="6">
        <f t="shared" si="39"/>
        <v>-0.20873786407766984</v>
      </c>
      <c r="O59" s="11"/>
      <c r="P59" s="7">
        <v>278.73</v>
      </c>
      <c r="Q59" s="2"/>
      <c r="R59" s="6">
        <f t="shared" si="40"/>
        <v>1.1307522502468767E-3</v>
      </c>
      <c r="S59" s="2"/>
      <c r="T59" s="7">
        <v>352.26</v>
      </c>
      <c r="U59" s="2"/>
      <c r="V59" s="6">
        <f t="shared" si="41"/>
        <v>1.2402660364662721E-3</v>
      </c>
      <c r="W59" s="2"/>
      <c r="X59" s="7">
        <f t="shared" si="42"/>
        <v>-73.529999999999973</v>
      </c>
      <c r="Y59" s="2"/>
      <c r="Z59" s="6">
        <f t="shared" si="43"/>
        <v>-0.20873786407766984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>
        <v>474.93</v>
      </c>
      <c r="E60" s="2"/>
      <c r="F60" s="6">
        <f t="shared" si="36"/>
        <v>1.9266966821287596E-3</v>
      </c>
      <c r="G60" s="2"/>
      <c r="H60" s="7">
        <v>336.71</v>
      </c>
      <c r="I60" s="2"/>
      <c r="J60" s="6">
        <f t="shared" si="37"/>
        <v>1.1855163150472903E-3</v>
      </c>
      <c r="K60" s="2"/>
      <c r="L60" s="7">
        <f t="shared" si="38"/>
        <v>138.22000000000003</v>
      </c>
      <c r="M60" s="2"/>
      <c r="N60" s="6">
        <f t="shared" si="39"/>
        <v>0.41050161860354617</v>
      </c>
      <c r="O60" s="11"/>
      <c r="P60" s="7">
        <v>474.93</v>
      </c>
      <c r="Q60" s="2"/>
      <c r="R60" s="6">
        <f t="shared" si="40"/>
        <v>1.9266966821287596E-3</v>
      </c>
      <c r="S60" s="2"/>
      <c r="T60" s="7">
        <v>336.71</v>
      </c>
      <c r="U60" s="2"/>
      <c r="V60" s="6">
        <f t="shared" si="41"/>
        <v>1.1855163150472903E-3</v>
      </c>
      <c r="W60" s="2"/>
      <c r="X60" s="7">
        <f t="shared" si="42"/>
        <v>138.22000000000003</v>
      </c>
      <c r="Y60" s="2"/>
      <c r="Z60" s="6">
        <f t="shared" si="43"/>
        <v>0.41050161860354617</v>
      </c>
    </row>
    <row r="61" spans="1:26" s="24" customFormat="1" hidden="1" outlineLevel="2" x14ac:dyDescent="0.25">
      <c r="A61" s="29"/>
      <c r="B61" s="11" t="str">
        <f>CONCATENATE("          ", "6243", " - ", "PAPER SUPPLIES")</f>
        <v xml:space="preserve">          6243 - PAPER SUPPLIES</v>
      </c>
      <c r="C61" s="11"/>
      <c r="D61" s="7">
        <v>2166.56</v>
      </c>
      <c r="E61" s="2"/>
      <c r="F61" s="6">
        <f t="shared" si="36"/>
        <v>8.7893036102854837E-3</v>
      </c>
      <c r="G61" s="2"/>
      <c r="H61" s="7">
        <v>1298.27</v>
      </c>
      <c r="I61" s="2"/>
      <c r="J61" s="6">
        <f t="shared" si="37"/>
        <v>4.5710560017119947E-3</v>
      </c>
      <c r="K61" s="2"/>
      <c r="L61" s="7">
        <f t="shared" si="38"/>
        <v>868.29</v>
      </c>
      <c r="M61" s="2"/>
      <c r="N61" s="6">
        <f t="shared" si="39"/>
        <v>0.66880541027675289</v>
      </c>
      <c r="O61" s="11"/>
      <c r="P61" s="7">
        <v>2166.56</v>
      </c>
      <c r="Q61" s="2"/>
      <c r="R61" s="6">
        <f t="shared" si="40"/>
        <v>8.7893036102854837E-3</v>
      </c>
      <c r="S61" s="2"/>
      <c r="T61" s="7">
        <v>1298.27</v>
      </c>
      <c r="U61" s="2"/>
      <c r="V61" s="6">
        <f t="shared" si="41"/>
        <v>4.5710560017119947E-3</v>
      </c>
      <c r="W61" s="2"/>
      <c r="X61" s="7">
        <f t="shared" si="42"/>
        <v>868.29</v>
      </c>
      <c r="Y61" s="2"/>
      <c r="Z61" s="6">
        <f t="shared" si="43"/>
        <v>0.66880541027675289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7">
        <v>1222.42</v>
      </c>
      <c r="E62" s="2"/>
      <c r="F62" s="6">
        <f t="shared" si="36"/>
        <v>4.9591151499543901E-3</v>
      </c>
      <c r="G62" s="2"/>
      <c r="H62" s="7">
        <v>2907.43</v>
      </c>
      <c r="I62" s="2"/>
      <c r="J62" s="6">
        <f t="shared" si="37"/>
        <v>1.0236719134738925E-2</v>
      </c>
      <c r="K62" s="2"/>
      <c r="L62" s="7">
        <f t="shared" si="38"/>
        <v>-1685.0099999999998</v>
      </c>
      <c r="M62" s="2"/>
      <c r="N62" s="6">
        <f t="shared" si="39"/>
        <v>-0.57955307608437689</v>
      </c>
      <c r="O62" s="11"/>
      <c r="P62" s="7">
        <v>1222.42</v>
      </c>
      <c r="Q62" s="2"/>
      <c r="R62" s="6">
        <f t="shared" si="40"/>
        <v>4.9591151499543901E-3</v>
      </c>
      <c r="S62" s="2"/>
      <c r="T62" s="7">
        <v>2907.43</v>
      </c>
      <c r="U62" s="2"/>
      <c r="V62" s="6">
        <f t="shared" si="41"/>
        <v>1.0236719134738925E-2</v>
      </c>
      <c r="W62" s="2"/>
      <c r="X62" s="7">
        <f t="shared" si="42"/>
        <v>-1685.0099999999998</v>
      </c>
      <c r="Y62" s="2"/>
      <c r="Z62" s="6">
        <f t="shared" si="43"/>
        <v>-0.57955307608437689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79.8</v>
      </c>
      <c r="E63" s="1"/>
      <c r="F63" s="5">
        <f t="shared" ref="F63:F69" si="44">IF(D$12=0,0,D63/D$12)</f>
        <v>3.2373275058192785E-4</v>
      </c>
      <c r="G63" s="1"/>
      <c r="H63" s="1">
        <f>SUM(OSRRefH22_10x_0)</f>
        <v>97.95</v>
      </c>
      <c r="I63" s="1"/>
      <c r="J63" s="5">
        <f t="shared" ref="J63:J69" si="45">IF(H$12=0,0,H63/H$12)</f>
        <v>3.4487043170348996E-4</v>
      </c>
      <c r="K63" s="1"/>
      <c r="L63" s="1">
        <f t="shared" ref="L63:L69" si="46">+D63-H63</f>
        <v>-18.150000000000006</v>
      </c>
      <c r="M63" s="1"/>
      <c r="N63" s="5">
        <f t="shared" ref="N63:N69" si="47">IF(H63=0,0,L63/H63)</f>
        <v>-0.18529862174578873</v>
      </c>
      <c r="O63" s="14"/>
      <c r="P63" s="1">
        <f>SUM(OSRRefP22_10x_0)</f>
        <v>79.8</v>
      </c>
      <c r="Q63" s="1"/>
      <c r="R63" s="5">
        <f t="shared" ref="R63:R69" si="48">IF(P$12=0,0,P63/P$12)</f>
        <v>3.2373275058192785E-4</v>
      </c>
      <c r="S63" s="1"/>
      <c r="T63" s="1">
        <f>SUM(OSRRefT22_10x_0)</f>
        <v>97.95</v>
      </c>
      <c r="U63" s="1"/>
      <c r="V63" s="5">
        <f t="shared" ref="V63:V69" si="49">IF(T$12=0,0,T63/T$12)</f>
        <v>3.4487043170348996E-4</v>
      </c>
      <c r="W63" s="1"/>
      <c r="X63" s="1">
        <f t="shared" ref="X63:X69" si="50">+P63-T63</f>
        <v>-18.150000000000006</v>
      </c>
      <c r="Y63" s="1"/>
      <c r="Z63" s="5">
        <f t="shared" ref="Z63:Z69" si="51">IF(T63=0,0,X63/T63)</f>
        <v>-0.18529862174578873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79.8</v>
      </c>
      <c r="E64" s="2"/>
      <c r="F64" s="6">
        <f t="shared" si="44"/>
        <v>3.2373275058192785E-4</v>
      </c>
      <c r="G64" s="2"/>
      <c r="H64" s="7">
        <v>97.95</v>
      </c>
      <c r="I64" s="2"/>
      <c r="J64" s="6">
        <f t="shared" si="45"/>
        <v>3.4487043170348996E-4</v>
      </c>
      <c r="K64" s="2"/>
      <c r="L64" s="7">
        <f t="shared" si="46"/>
        <v>-18.150000000000006</v>
      </c>
      <c r="M64" s="2"/>
      <c r="N64" s="6">
        <f t="shared" si="47"/>
        <v>-0.18529862174578873</v>
      </c>
      <c r="O64" s="11"/>
      <c r="P64" s="7">
        <v>79.8</v>
      </c>
      <c r="Q64" s="2"/>
      <c r="R64" s="6">
        <f t="shared" si="48"/>
        <v>3.2373275058192785E-4</v>
      </c>
      <c r="S64" s="2"/>
      <c r="T64" s="7">
        <v>97.95</v>
      </c>
      <c r="U64" s="2"/>
      <c r="V64" s="6">
        <f t="shared" si="49"/>
        <v>3.4487043170348996E-4</v>
      </c>
      <c r="W64" s="2"/>
      <c r="X64" s="7">
        <f t="shared" si="50"/>
        <v>-18.150000000000006</v>
      </c>
      <c r="Y64" s="2"/>
      <c r="Z64" s="6">
        <f t="shared" si="51"/>
        <v>-0.18529862174578873</v>
      </c>
    </row>
    <row r="65" spans="1:26" s="28" customFormat="1" outlineLevel="1" collapsed="1" x14ac:dyDescent="0.25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SUM(OSRRefD22_11x_0)</f>
        <v>344.2</v>
      </c>
      <c r="E65" s="1"/>
      <c r="F65" s="5">
        <f t="shared" si="44"/>
        <v>1.3963510369711725E-3</v>
      </c>
      <c r="G65" s="1"/>
      <c r="H65" s="1">
        <f>SUM(OSRRefH22_11x_0)</f>
        <v>859.75</v>
      </c>
      <c r="I65" s="1"/>
      <c r="J65" s="5">
        <f t="shared" si="45"/>
        <v>3.0270786488726439E-3</v>
      </c>
      <c r="K65" s="1"/>
      <c r="L65" s="1">
        <f t="shared" si="46"/>
        <v>-515.54999999999995</v>
      </c>
      <c r="M65" s="1"/>
      <c r="N65" s="5">
        <f t="shared" si="47"/>
        <v>-0.59965106135504498</v>
      </c>
      <c r="O65" s="14"/>
      <c r="P65" s="1">
        <f>SUM(OSRRefP22_11x_0)</f>
        <v>344.2</v>
      </c>
      <c r="Q65" s="1"/>
      <c r="R65" s="5">
        <f t="shared" si="48"/>
        <v>1.3963510369711725E-3</v>
      </c>
      <c r="S65" s="1"/>
      <c r="T65" s="1">
        <f>SUM(OSRRefT22_11x_0)</f>
        <v>859.75</v>
      </c>
      <c r="U65" s="1"/>
      <c r="V65" s="5">
        <f t="shared" si="49"/>
        <v>3.0270786488726439E-3</v>
      </c>
      <c r="W65" s="1"/>
      <c r="X65" s="1">
        <f t="shared" si="50"/>
        <v>-515.54999999999995</v>
      </c>
      <c r="Y65" s="1"/>
      <c r="Z65" s="5">
        <f t="shared" si="51"/>
        <v>-0.59965106135504498</v>
      </c>
    </row>
    <row r="66" spans="1:26" s="24" customFormat="1" hidden="1" outlineLevel="2" x14ac:dyDescent="0.25">
      <c r="A66" s="29"/>
      <c r="B66" s="11" t="str">
        <f>CONCATENATE("          ", "6376", " - ", "TRAINING")</f>
        <v xml:space="preserve">          6376 - TRAINING</v>
      </c>
      <c r="C66" s="11"/>
      <c r="D66" s="7">
        <v>344.2</v>
      </c>
      <c r="E66" s="2"/>
      <c r="F66" s="6">
        <f t="shared" si="44"/>
        <v>1.3963510369711725E-3</v>
      </c>
      <c r="G66" s="2"/>
      <c r="H66" s="7">
        <v>859.75</v>
      </c>
      <c r="I66" s="2"/>
      <c r="J66" s="6">
        <f t="shared" si="45"/>
        <v>3.0270786488726439E-3</v>
      </c>
      <c r="K66" s="2"/>
      <c r="L66" s="7">
        <f t="shared" si="46"/>
        <v>-515.54999999999995</v>
      </c>
      <c r="M66" s="2"/>
      <c r="N66" s="6">
        <f t="shared" si="47"/>
        <v>-0.59965106135504498</v>
      </c>
      <c r="O66" s="11"/>
      <c r="P66" s="7">
        <v>344.2</v>
      </c>
      <c r="Q66" s="2"/>
      <c r="R66" s="6">
        <f t="shared" si="48"/>
        <v>1.3963510369711725E-3</v>
      </c>
      <c r="S66" s="2"/>
      <c r="T66" s="7">
        <v>859.75</v>
      </c>
      <c r="U66" s="2"/>
      <c r="V66" s="6">
        <f t="shared" si="49"/>
        <v>3.0270786488726439E-3</v>
      </c>
      <c r="W66" s="2"/>
      <c r="X66" s="7">
        <f t="shared" si="50"/>
        <v>-515.54999999999995</v>
      </c>
      <c r="Y66" s="2"/>
      <c r="Z66" s="6">
        <f t="shared" si="51"/>
        <v>-0.59965106135504498</v>
      </c>
    </row>
    <row r="67" spans="1:26" s="28" customFormat="1" outlineLevel="1" collapsed="1" x14ac:dyDescent="0.25">
      <c r="A67" s="27"/>
      <c r="B67" s="14" t="str">
        <f>CONCATENATE("     ","Travel                                            ")</f>
        <v xml:space="preserve">     Travel                                            </v>
      </c>
      <c r="C67" s="14"/>
      <c r="D67" s="1">
        <f>SUM(OSRRefD22_12x_0)</f>
        <v>1429.86</v>
      </c>
      <c r="E67" s="1"/>
      <c r="F67" s="5">
        <f t="shared" si="44"/>
        <v>5.8006580294119722E-3</v>
      </c>
      <c r="G67" s="1"/>
      <c r="H67" s="1">
        <f>SUM(OSRRefH22_12x_0)</f>
        <v>58</v>
      </c>
      <c r="I67" s="1"/>
      <c r="J67" s="5">
        <f t="shared" si="45"/>
        <v>2.0421117956919259E-4</v>
      </c>
      <c r="K67" s="1"/>
      <c r="L67" s="1">
        <f t="shared" si="46"/>
        <v>1371.86</v>
      </c>
      <c r="M67" s="1"/>
      <c r="N67" s="5">
        <f t="shared" si="47"/>
        <v>23.652758620689653</v>
      </c>
      <c r="O67" s="14"/>
      <c r="P67" s="1">
        <f>SUM(OSRRefP22_12x_0)</f>
        <v>1429.86</v>
      </c>
      <c r="Q67" s="1"/>
      <c r="R67" s="5">
        <f t="shared" si="48"/>
        <v>5.8006580294119722E-3</v>
      </c>
      <c r="S67" s="1"/>
      <c r="T67" s="1">
        <f>SUM(OSRRefT22_12x_0)</f>
        <v>58</v>
      </c>
      <c r="U67" s="1"/>
      <c r="V67" s="5">
        <f t="shared" si="49"/>
        <v>2.0421117956919259E-4</v>
      </c>
      <c r="W67" s="1"/>
      <c r="X67" s="1">
        <f t="shared" si="50"/>
        <v>1371.86</v>
      </c>
      <c r="Y67" s="1"/>
      <c r="Z67" s="5">
        <f t="shared" si="51"/>
        <v>23.652758620689653</v>
      </c>
    </row>
    <row r="68" spans="1:26" s="24" customFormat="1" hidden="1" outlineLevel="2" x14ac:dyDescent="0.25">
      <c r="A68" s="29"/>
      <c r="B68" s="11" t="str">
        <f>CONCATENATE("          ", "6292", " - ", "TRAVEL/CONFERENCE")</f>
        <v xml:space="preserve">          6292 - TRAVEL/CONFERENCE</v>
      </c>
      <c r="C68" s="11"/>
      <c r="D68" s="7">
        <v>1429.86</v>
      </c>
      <c r="E68" s="2"/>
      <c r="F68" s="6">
        <f t="shared" si="44"/>
        <v>5.8006580294119722E-3</v>
      </c>
      <c r="G68" s="2"/>
      <c r="H68" s="7"/>
      <c r="I68" s="2"/>
      <c r="J68" s="6">
        <f t="shared" si="45"/>
        <v>0</v>
      </c>
      <c r="K68" s="2"/>
      <c r="L68" s="7">
        <f t="shared" si="46"/>
        <v>1429.86</v>
      </c>
      <c r="M68" s="2"/>
      <c r="N68" s="6">
        <f t="shared" si="47"/>
        <v>0</v>
      </c>
      <c r="O68" s="11"/>
      <c r="P68" s="7">
        <v>1429.86</v>
      </c>
      <c r="Q68" s="2"/>
      <c r="R68" s="6">
        <f t="shared" si="48"/>
        <v>5.8006580294119722E-3</v>
      </c>
      <c r="S68" s="2"/>
      <c r="T68" s="7"/>
      <c r="U68" s="2"/>
      <c r="V68" s="6">
        <f t="shared" si="49"/>
        <v>0</v>
      </c>
      <c r="W68" s="2"/>
      <c r="X68" s="7">
        <f t="shared" si="50"/>
        <v>1429.86</v>
      </c>
      <c r="Y68" s="2"/>
      <c r="Z68" s="6">
        <f t="shared" si="51"/>
        <v>0</v>
      </c>
    </row>
    <row r="69" spans="1:26" s="24" customFormat="1" hidden="1" outlineLevel="2" x14ac:dyDescent="0.25">
      <c r="A69" s="29"/>
      <c r="B69" s="11" t="str">
        <f>CONCATENATE("          ", "6294", " - ", "TRAVEL OPERATIONAL")</f>
        <v xml:space="preserve">          6294 - TRAVEL OPERATIONAL</v>
      </c>
      <c r="C69" s="11"/>
      <c r="D69" s="7"/>
      <c r="E69" s="2"/>
      <c r="F69" s="6">
        <f t="shared" si="44"/>
        <v>0</v>
      </c>
      <c r="G69" s="2"/>
      <c r="H69" s="7">
        <v>58</v>
      </c>
      <c r="I69" s="2"/>
      <c r="J69" s="6">
        <f t="shared" si="45"/>
        <v>2.0421117956919259E-4</v>
      </c>
      <c r="K69" s="2"/>
      <c r="L69" s="7">
        <f t="shared" si="46"/>
        <v>-58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58</v>
      </c>
      <c r="U69" s="2"/>
      <c r="V69" s="6">
        <f t="shared" si="49"/>
        <v>2.0421117956919259E-4</v>
      </c>
      <c r="W69" s="2"/>
      <c r="X69" s="7">
        <f t="shared" si="50"/>
        <v>-58</v>
      </c>
      <c r="Y69" s="2"/>
      <c r="Z69" s="6">
        <f t="shared" si="51"/>
        <v>-1</v>
      </c>
    </row>
    <row r="70" spans="1:26" s="54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6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3</v>
      </c>
      <c r="C73" s="25"/>
      <c r="D73" s="21">
        <f>+D21-D23+D71</f>
        <v>25671.879999999946</v>
      </c>
      <c r="E73" s="13"/>
      <c r="F73" s="20">
        <f>IF(D$12=0,0,D73/D$12)</f>
        <v>0.10414571835851084</v>
      </c>
      <c r="G73" s="13"/>
      <c r="H73" s="21">
        <f>+H21-H23+H71</f>
        <v>93989.269999999946</v>
      </c>
      <c r="I73" s="13"/>
      <c r="J73" s="20">
        <f>IF(H$12=0,0,H73/H$12)</f>
        <v>0.33092516713012615</v>
      </c>
      <c r="K73" s="16"/>
      <c r="L73" s="21">
        <f>+D73-H73</f>
        <v>-68317.39</v>
      </c>
      <c r="M73" s="16"/>
      <c r="N73" s="20">
        <f>IF(H73=0,0,L73/H73)</f>
        <v>-0.72686371540070516</v>
      </c>
      <c r="O73" s="26"/>
      <c r="P73" s="21">
        <f>+P21-P23+P71</f>
        <v>25671.879999999946</v>
      </c>
      <c r="Q73" s="13"/>
      <c r="R73" s="20">
        <f>IF(P$12=0,0,P73/P$12)</f>
        <v>0.10414571835851084</v>
      </c>
      <c r="S73" s="13"/>
      <c r="T73" s="21">
        <f>+T21-T23+T71</f>
        <v>93989.269999999946</v>
      </c>
      <c r="U73" s="13"/>
      <c r="V73" s="20">
        <f>IF(T$12=0,0,T73/T$12)</f>
        <v>0.33092516713012615</v>
      </c>
      <c r="W73" s="16"/>
      <c r="X73" s="21">
        <f>+P73-T73</f>
        <v>-68317.39</v>
      </c>
      <c r="Y73" s="16"/>
      <c r="Z73" s="20">
        <f>IF(T73=0,0,X73/T73)</f>
        <v>-0.72686371540070516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51254.53</v>
      </c>
      <c r="E75" s="4"/>
      <c r="F75" s="12">
        <f>IF(D$12=0,0,D75/D$12)</f>
        <v>0.20792944832937268</v>
      </c>
      <c r="G75" s="4"/>
      <c r="H75" s="4">
        <v>58309.420000000006</v>
      </c>
      <c r="I75" s="4"/>
      <c r="J75" s="12">
        <f>IF(H$12=0,0,H75/H$12)</f>
        <v>0.20530061100337019</v>
      </c>
      <c r="K75" s="4"/>
      <c r="L75" s="4">
        <f>+D75-H75</f>
        <v>-7054.8900000000067</v>
      </c>
      <c r="M75" s="4"/>
      <c r="N75" s="12">
        <f>IF(H75=0,0,L75/H75)</f>
        <v>-0.12099057064879064</v>
      </c>
      <c r="O75" s="10"/>
      <c r="P75" s="4">
        <v>51254.53</v>
      </c>
      <c r="Q75" s="4"/>
      <c r="R75" s="12">
        <f>IF(P$12=0,0,P75/P$12)</f>
        <v>0.20792944832937268</v>
      </c>
      <c r="S75" s="4"/>
      <c r="T75" s="4">
        <v>58309.420000000006</v>
      </c>
      <c r="U75" s="4"/>
      <c r="V75" s="12">
        <f>IF(T$12=0,0,T75/T$12)</f>
        <v>0.20530061100337019</v>
      </c>
      <c r="W75" s="4"/>
      <c r="X75" s="4">
        <f>+P75-T75</f>
        <v>-7054.8900000000067</v>
      </c>
      <c r="Y75" s="4"/>
      <c r="Z75" s="12">
        <f>IF(T75=0,0,X75/T75)</f>
        <v>-0.12099057064879064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4</v>
      </c>
      <c r="C77" s="25"/>
      <c r="D77" s="33">
        <f>+D73-D75</f>
        <v>-25582.650000000052</v>
      </c>
      <c r="E77" s="13"/>
      <c r="F77" s="34">
        <f>IF(D$12=0,0,D77/D$12)</f>
        <v>-0.10378372997086183</v>
      </c>
      <c r="G77" s="13"/>
      <c r="H77" s="33">
        <f>+H73-H75</f>
        <v>35679.84999999994</v>
      </c>
      <c r="I77" s="13"/>
      <c r="J77" s="34">
        <f>IF(H$12=0,0,H77/H$12)</f>
        <v>0.12562455612675594</v>
      </c>
      <c r="K77" s="16"/>
      <c r="L77" s="33">
        <f>D77-H77</f>
        <v>-61262.499999999993</v>
      </c>
      <c r="M77" s="16"/>
      <c r="N77" s="34">
        <f>IF(H77=0,0,L77/H77)</f>
        <v>-1.717005536738526</v>
      </c>
      <c r="O77" s="26"/>
      <c r="P77" s="33">
        <f>+P73-P75</f>
        <v>-25582.650000000052</v>
      </c>
      <c r="Q77" s="13"/>
      <c r="R77" s="34">
        <f>IF(P$12=0,0,P77/P$12)</f>
        <v>-0.10378372997086183</v>
      </c>
      <c r="S77" s="13"/>
      <c r="T77" s="33">
        <f>+T73-T75</f>
        <v>35679.84999999994</v>
      </c>
      <c r="U77" s="13"/>
      <c r="V77" s="34">
        <f>IF(T$12=0,0,T77/T$12)</f>
        <v>0.12562455612675594</v>
      </c>
      <c r="W77" s="16"/>
      <c r="X77" s="33">
        <f>P77-T77</f>
        <v>-61262.499999999993</v>
      </c>
      <c r="Y77" s="16"/>
      <c r="Z77" s="34">
        <f>IF(T77=0,0,X77/T77)</f>
        <v>-1.717005536738526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5</v>
      </c>
      <c r="C80" s="25"/>
      <c r="D80" s="31">
        <f>SUM(D77:D79)</f>
        <v>-25582.650000000052</v>
      </c>
      <c r="E80" s="13"/>
      <c r="F80" s="30">
        <f>IF(D$12=0,0,D80/D$12)</f>
        <v>-0.10378372997086183</v>
      </c>
      <c r="G80" s="13"/>
      <c r="H80" s="31">
        <f>SUM(H77:H79)</f>
        <v>35679.84999999994</v>
      </c>
      <c r="I80" s="13"/>
      <c r="J80" s="30">
        <f>IF(H$12=0,0,H80/H$12)</f>
        <v>0.12562455612675594</v>
      </c>
      <c r="K80" s="16"/>
      <c r="L80" s="31">
        <f>+D80-H80</f>
        <v>-61262.499999999993</v>
      </c>
      <c r="M80" s="16"/>
      <c r="N80" s="30">
        <f>IF(H80=0,0,L80/H80)</f>
        <v>-1.717005536738526</v>
      </c>
      <c r="O80" s="26"/>
      <c r="P80" s="31">
        <f>SUM(P77:P79)</f>
        <v>-25582.650000000052</v>
      </c>
      <c r="Q80" s="13"/>
      <c r="R80" s="30">
        <f>IF(P$12=0,0,P80/P$12)</f>
        <v>-0.10378372997086183</v>
      </c>
      <c r="S80" s="13"/>
      <c r="T80" s="31">
        <f>SUM(T77:T79)</f>
        <v>35679.84999999994</v>
      </c>
      <c r="U80" s="13"/>
      <c r="V80" s="30">
        <f>IF(T$12=0,0,T80/T$12)</f>
        <v>0.12562455612675594</v>
      </c>
      <c r="W80" s="16"/>
      <c r="X80" s="31">
        <f>+P80-T80</f>
        <v>-61262.499999999993</v>
      </c>
      <c r="Y80" s="16"/>
      <c r="Z80" s="30">
        <f>IF(T80=0,0,X80/T80)</f>
        <v>-1.717005536738526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>
        <v>43726.682395057869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3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1362.1999999999998</v>
      </c>
      <c r="E18" s="19"/>
      <c r="F18" s="35">
        <f t="shared" ref="F18:F21" si="0">IF(D$12=0,0,D18/D$12)</f>
        <v>0</v>
      </c>
      <c r="G18" s="19"/>
      <c r="H18" s="19">
        <f>SUM(OSRRefH22x_0)</f>
        <v>1085.2</v>
      </c>
      <c r="I18" s="19"/>
      <c r="J18" s="35">
        <f t="shared" ref="J18:J21" si="1">IF(H$12=0,0,H18/H$12)</f>
        <v>0</v>
      </c>
      <c r="K18" s="4"/>
      <c r="L18" s="19">
        <f t="shared" ref="L18:L21" si="2">+D18-H18</f>
        <v>276.99999999999977</v>
      </c>
      <c r="M18" s="4"/>
      <c r="N18" s="35">
        <f t="shared" ref="N18:N21" si="3">IF(H18=0,0,L18/H18)</f>
        <v>0.25525248802064116</v>
      </c>
      <c r="O18" s="10"/>
      <c r="P18" s="19">
        <f>SUM(OSRRefP22x_0)</f>
        <v>1362.1999999999998</v>
      </c>
      <c r="Q18" s="19"/>
      <c r="R18" s="35">
        <f t="shared" ref="R18:R21" si="4">IF(P$12=0,0,P18/P$12)</f>
        <v>0</v>
      </c>
      <c r="S18" s="19"/>
      <c r="T18" s="19">
        <f>SUM(OSRRefT22x_0)</f>
        <v>1085.2</v>
      </c>
      <c r="U18" s="19"/>
      <c r="V18" s="35">
        <f t="shared" ref="V18:V21" si="5">IF(T$12=0,0,T18/T$12)</f>
        <v>0</v>
      </c>
      <c r="W18" s="4"/>
      <c r="X18" s="19">
        <f t="shared" ref="X18:X21" si="6">+P18-T18</f>
        <v>276.99999999999977</v>
      </c>
      <c r="Y18" s="4"/>
      <c r="Z18" s="35">
        <f t="shared" ref="Z18:Z21" si="7">IF(T18=0,0,X18/T18)</f>
        <v>0.25525248802064116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20.549999999999997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20.549999999999997</v>
      </c>
      <c r="M19" s="1"/>
      <c r="N19" s="5">
        <f t="shared" si="3"/>
        <v>0</v>
      </c>
      <c r="O19" s="14"/>
      <c r="P19" s="1">
        <f>SUM(OSRRefP22_0x_0)</f>
        <v>20.549999999999997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20.549999999999997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"6112", " - ", "COMPENSATION INSURANCE")</f>
        <v xml:space="preserve">          6112 - COMPENSATION INSURANCE</v>
      </c>
      <c r="C20" s="11"/>
      <c r="D20" s="7">
        <v>18.079999999999998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18.079999999999998</v>
      </c>
      <c r="M20" s="2"/>
      <c r="N20" s="6">
        <f t="shared" si="3"/>
        <v>0</v>
      </c>
      <c r="O20" s="11"/>
      <c r="P20" s="7">
        <v>18.079999999999998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18.079999999999998</v>
      </c>
      <c r="Y20" s="2"/>
      <c r="Z20" s="6">
        <f t="shared" si="7"/>
        <v>0</v>
      </c>
    </row>
    <row r="21" spans="1:26" s="24" customFormat="1" hidden="1" outlineLevel="2" x14ac:dyDescent="0.25">
      <c r="A21" s="29"/>
      <c r="B21" s="11" t="str">
        <f>CONCATENATE("          ", "6114", " - ", "STATE UNEMPLOYMENT INSURANCE")</f>
        <v xml:space="preserve">          6114 - STATE UNEMPLOYMENT INSURANCE</v>
      </c>
      <c r="C21" s="11"/>
      <c r="D21" s="7">
        <v>2.4700000000000002</v>
      </c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2.4700000000000002</v>
      </c>
      <c r="M21" s="2"/>
      <c r="N21" s="6">
        <f t="shared" si="3"/>
        <v>0</v>
      </c>
      <c r="O21" s="11"/>
      <c r="P21" s="7">
        <v>2.4700000000000002</v>
      </c>
      <c r="Q21" s="2"/>
      <c r="R21" s="6">
        <f t="shared" si="4"/>
        <v>0</v>
      </c>
      <c r="S21" s="2"/>
      <c r="T21" s="7"/>
      <c r="U21" s="2"/>
      <c r="V21" s="6">
        <f t="shared" si="5"/>
        <v>0</v>
      </c>
      <c r="W21" s="2"/>
      <c r="X21" s="7">
        <f t="shared" si="6"/>
        <v>2.4700000000000002</v>
      </c>
      <c r="Y21" s="2"/>
      <c r="Z21" s="6">
        <f t="shared" si="7"/>
        <v>0</v>
      </c>
    </row>
    <row r="22" spans="1:26" s="28" customFormat="1" outlineLevel="1" collapsed="1" x14ac:dyDescent="0.25">
      <c r="A22" s="27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1074.55</v>
      </c>
      <c r="E22" s="1"/>
      <c r="F22" s="5">
        <f t="shared" ref="F22:F27" si="8">IF(D$12=0,0,D22/D$12)</f>
        <v>0</v>
      </c>
      <c r="G22" s="1"/>
      <c r="H22" s="1">
        <f>SUM(OSRRefH22_1x_0)</f>
        <v>1034.2</v>
      </c>
      <c r="I22" s="1"/>
      <c r="J22" s="5">
        <f t="shared" ref="J22:J27" si="9">IF(H$12=0,0,H22/H$12)</f>
        <v>0</v>
      </c>
      <c r="K22" s="1"/>
      <c r="L22" s="1">
        <f t="shared" ref="L22:L27" si="10">+D22-H22</f>
        <v>40.349999999999909</v>
      </c>
      <c r="M22" s="1"/>
      <c r="N22" s="5">
        <f t="shared" ref="N22:N27" si="11">IF(H22=0,0,L22/H22)</f>
        <v>3.9015664281570203E-2</v>
      </c>
      <c r="O22" s="14"/>
      <c r="P22" s="1">
        <f>SUM(OSRRefP22_1x_0)</f>
        <v>1074.55</v>
      </c>
      <c r="Q22" s="1"/>
      <c r="R22" s="5">
        <f t="shared" ref="R22:R27" si="12">IF(P$12=0,0,P22/P$12)</f>
        <v>0</v>
      </c>
      <c r="S22" s="1"/>
      <c r="T22" s="1">
        <f>SUM(OSRRefT22_1x_0)</f>
        <v>1034.2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40.349999999999909</v>
      </c>
      <c r="Y22" s="1"/>
      <c r="Z22" s="5">
        <f t="shared" ref="Z22:Z27" si="15">IF(T22=0,0,X22/T22)</f>
        <v>3.9015664281570203E-2</v>
      </c>
    </row>
    <row r="23" spans="1:26" s="24" customFormat="1" hidden="1" outlineLevel="2" x14ac:dyDescent="0.25">
      <c r="A23" s="29"/>
      <c r="B23" s="11" t="str">
        <f>CONCATENATE("          ", "6279", " - ", "GENERAL EXPENSE")</f>
        <v xml:space="preserve">          6279 - GENERAL EXPENSE</v>
      </c>
      <c r="C23" s="11"/>
      <c r="D23" s="7">
        <v>1074.55</v>
      </c>
      <c r="E23" s="2"/>
      <c r="F23" s="6">
        <f t="shared" si="8"/>
        <v>0</v>
      </c>
      <c r="G23" s="2"/>
      <c r="H23" s="7">
        <v>1034.2</v>
      </c>
      <c r="I23" s="2"/>
      <c r="J23" s="6">
        <f t="shared" si="9"/>
        <v>0</v>
      </c>
      <c r="K23" s="2"/>
      <c r="L23" s="7">
        <f t="shared" si="10"/>
        <v>40.349999999999909</v>
      </c>
      <c r="M23" s="2"/>
      <c r="N23" s="6">
        <f t="shared" si="11"/>
        <v>3.9015664281570203E-2</v>
      </c>
      <c r="O23" s="11"/>
      <c r="P23" s="7">
        <v>1074.55</v>
      </c>
      <c r="Q23" s="2"/>
      <c r="R23" s="6">
        <f t="shared" si="12"/>
        <v>0</v>
      </c>
      <c r="S23" s="2"/>
      <c r="T23" s="7">
        <v>1034.2</v>
      </c>
      <c r="U23" s="2"/>
      <c r="V23" s="6">
        <f t="shared" si="13"/>
        <v>0</v>
      </c>
      <c r="W23" s="2"/>
      <c r="X23" s="7">
        <f t="shared" si="14"/>
        <v>40.349999999999909</v>
      </c>
      <c r="Y23" s="2"/>
      <c r="Z23" s="6">
        <f t="shared" si="15"/>
        <v>3.9015664281570203E-2</v>
      </c>
    </row>
    <row r="24" spans="1:26" s="28" customFormat="1" outlineLevel="1" collapsed="1" x14ac:dyDescent="0.25">
      <c r="A24" s="27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156.1</v>
      </c>
      <c r="E24" s="1"/>
      <c r="F24" s="5">
        <f t="shared" si="8"/>
        <v>0</v>
      </c>
      <c r="G24" s="1"/>
      <c r="H24" s="1">
        <f>SUM(OSRRefH22_2x_0)</f>
        <v>0</v>
      </c>
      <c r="I24" s="1"/>
      <c r="J24" s="5">
        <f t="shared" si="9"/>
        <v>0</v>
      </c>
      <c r="K24" s="1"/>
      <c r="L24" s="1">
        <f t="shared" si="10"/>
        <v>156.1</v>
      </c>
      <c r="M24" s="1"/>
      <c r="N24" s="5">
        <f t="shared" si="11"/>
        <v>0</v>
      </c>
      <c r="O24" s="14"/>
      <c r="P24" s="1">
        <f>SUM(OSRRefP22_2x_0)</f>
        <v>156.1</v>
      </c>
      <c r="Q24" s="1"/>
      <c r="R24" s="5">
        <f t="shared" si="12"/>
        <v>0</v>
      </c>
      <c r="S24" s="1"/>
      <c r="T24" s="1">
        <f>SUM(OSRRefT22_2x_0)</f>
        <v>0</v>
      </c>
      <c r="U24" s="1"/>
      <c r="V24" s="5">
        <f t="shared" si="13"/>
        <v>0</v>
      </c>
      <c r="W24" s="1"/>
      <c r="X24" s="1">
        <f t="shared" si="14"/>
        <v>156.1</v>
      </c>
      <c r="Y24" s="1"/>
      <c r="Z24" s="5">
        <f t="shared" si="15"/>
        <v>0</v>
      </c>
    </row>
    <row r="25" spans="1:26" s="24" customFormat="1" hidden="1" outlineLevel="2" x14ac:dyDescent="0.25">
      <c r="A25" s="29"/>
      <c r="B25" s="11" t="str">
        <f>CONCATENATE("          ", "6247", " - ", "STORE SUPPLIES")</f>
        <v xml:space="preserve">          6247 - STORE SUPPLIES</v>
      </c>
      <c r="C25" s="11"/>
      <c r="D25" s="7">
        <v>156.1</v>
      </c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156.1</v>
      </c>
      <c r="M25" s="2"/>
      <c r="N25" s="6">
        <f t="shared" si="11"/>
        <v>0</v>
      </c>
      <c r="O25" s="11"/>
      <c r="P25" s="7">
        <v>156.1</v>
      </c>
      <c r="Q25" s="2"/>
      <c r="R25" s="6">
        <f t="shared" si="12"/>
        <v>0</v>
      </c>
      <c r="S25" s="2"/>
      <c r="T25" s="7"/>
      <c r="U25" s="2"/>
      <c r="V25" s="6">
        <f t="shared" si="13"/>
        <v>0</v>
      </c>
      <c r="W25" s="2"/>
      <c r="X25" s="7">
        <f t="shared" si="14"/>
        <v>156.1</v>
      </c>
      <c r="Y25" s="2"/>
      <c r="Z25" s="6">
        <f t="shared" si="15"/>
        <v>0</v>
      </c>
    </row>
    <row r="26" spans="1:26" s="28" customFormat="1" outlineLevel="1" collapsed="1" x14ac:dyDescent="0.25">
      <c r="A26" s="27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111</v>
      </c>
      <c r="E26" s="1"/>
      <c r="F26" s="5">
        <f t="shared" si="8"/>
        <v>0</v>
      </c>
      <c r="G26" s="1"/>
      <c r="H26" s="1">
        <f>SUM(OSRRefH22_3x_0)</f>
        <v>51</v>
      </c>
      <c r="I26" s="1"/>
      <c r="J26" s="5">
        <f t="shared" si="9"/>
        <v>0</v>
      </c>
      <c r="K26" s="1"/>
      <c r="L26" s="1">
        <f t="shared" si="10"/>
        <v>60</v>
      </c>
      <c r="M26" s="1"/>
      <c r="N26" s="5">
        <f t="shared" si="11"/>
        <v>1.1764705882352942</v>
      </c>
      <c r="O26" s="14"/>
      <c r="P26" s="1">
        <f>SUM(OSRRefP22_3x_0)</f>
        <v>111</v>
      </c>
      <c r="Q26" s="1"/>
      <c r="R26" s="5">
        <f t="shared" si="12"/>
        <v>0</v>
      </c>
      <c r="S26" s="1"/>
      <c r="T26" s="1">
        <f>SUM(OSRRefT22_3x_0)</f>
        <v>51</v>
      </c>
      <c r="U26" s="1"/>
      <c r="V26" s="5">
        <f t="shared" si="13"/>
        <v>0</v>
      </c>
      <c r="W26" s="1"/>
      <c r="X26" s="1">
        <f t="shared" si="14"/>
        <v>60</v>
      </c>
      <c r="Y26" s="1"/>
      <c r="Z26" s="5">
        <f t="shared" si="15"/>
        <v>1.1764705882352942</v>
      </c>
    </row>
    <row r="27" spans="1:26" s="24" customFormat="1" hidden="1" outlineLevel="2" x14ac:dyDescent="0.25">
      <c r="A27" s="29"/>
      <c r="B27" s="11" t="str">
        <f>CONCATENATE("          ", "6309", " - ", "TELEPHONE")</f>
        <v xml:space="preserve">          6309 - TELEPHONE</v>
      </c>
      <c r="C27" s="11"/>
      <c r="D27" s="7">
        <v>111</v>
      </c>
      <c r="E27" s="2"/>
      <c r="F27" s="6">
        <f t="shared" si="8"/>
        <v>0</v>
      </c>
      <c r="G27" s="2"/>
      <c r="H27" s="7">
        <v>51</v>
      </c>
      <c r="I27" s="2"/>
      <c r="J27" s="6">
        <f t="shared" si="9"/>
        <v>0</v>
      </c>
      <c r="K27" s="2"/>
      <c r="L27" s="7">
        <f t="shared" si="10"/>
        <v>60</v>
      </c>
      <c r="M27" s="2"/>
      <c r="N27" s="6">
        <f t="shared" si="11"/>
        <v>1.1764705882352942</v>
      </c>
      <c r="O27" s="11"/>
      <c r="P27" s="7">
        <v>111</v>
      </c>
      <c r="Q27" s="2"/>
      <c r="R27" s="6">
        <f t="shared" si="12"/>
        <v>0</v>
      </c>
      <c r="S27" s="2"/>
      <c r="T27" s="7">
        <v>51</v>
      </c>
      <c r="U27" s="2"/>
      <c r="V27" s="6">
        <f t="shared" si="13"/>
        <v>0</v>
      </c>
      <c r="W27" s="2"/>
      <c r="X27" s="7">
        <f t="shared" si="14"/>
        <v>60</v>
      </c>
      <c r="Y27" s="2"/>
      <c r="Z27" s="6">
        <f t="shared" si="15"/>
        <v>1.1764705882352942</v>
      </c>
    </row>
    <row r="28" spans="1:26" s="54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5" t="s">
        <v>3</v>
      </c>
      <c r="C31" s="25"/>
      <c r="D31" s="21">
        <f>+D16-D18+D29</f>
        <v>-1362.1999999999998</v>
      </c>
      <c r="E31" s="13"/>
      <c r="F31" s="20">
        <f>IF(D$12=0,0,D31/D$12)</f>
        <v>0</v>
      </c>
      <c r="G31" s="13"/>
      <c r="H31" s="21">
        <f>+H16-H18+H29</f>
        <v>-1085.2</v>
      </c>
      <c r="I31" s="13"/>
      <c r="J31" s="20">
        <f>IF(H$12=0,0,H31/H$12)</f>
        <v>0</v>
      </c>
      <c r="K31" s="16"/>
      <c r="L31" s="21">
        <f>+D31-H31</f>
        <v>-276.99999999999977</v>
      </c>
      <c r="M31" s="16"/>
      <c r="N31" s="20">
        <f>IF(H31=0,0,L31/H31)</f>
        <v>0.25525248802064116</v>
      </c>
      <c r="O31" s="26"/>
      <c r="P31" s="21">
        <f>+P16-P18+P29</f>
        <v>-1362.1999999999998</v>
      </c>
      <c r="Q31" s="13"/>
      <c r="R31" s="20">
        <f>IF(P$12=0,0,P31/P$12)</f>
        <v>0</v>
      </c>
      <c r="S31" s="13"/>
      <c r="T31" s="21">
        <f>+T16-T18+T29</f>
        <v>-1085.2</v>
      </c>
      <c r="U31" s="13"/>
      <c r="V31" s="20">
        <f>IF(T$12=0,0,T31/T$12)</f>
        <v>0</v>
      </c>
      <c r="W31" s="16"/>
      <c r="X31" s="21">
        <f>+P31-T31</f>
        <v>-276.99999999999977</v>
      </c>
      <c r="Y31" s="16"/>
      <c r="Z31" s="20">
        <f>IF(T31=0,0,X31/T31)</f>
        <v>0.25525248802064116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13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4</v>
      </c>
      <c r="C35" s="25"/>
      <c r="D35" s="33">
        <f>+D31-D33</f>
        <v>-1362.1999999999998</v>
      </c>
      <c r="E35" s="13"/>
      <c r="F35" s="34">
        <f>IF(D$12=0,0,D35/D$12)</f>
        <v>0</v>
      </c>
      <c r="G35" s="13"/>
      <c r="H35" s="33">
        <f>+H31-H33</f>
        <v>-1085.2</v>
      </c>
      <c r="I35" s="13"/>
      <c r="J35" s="34">
        <f>IF(H$12=0,0,H35/H$12)</f>
        <v>0</v>
      </c>
      <c r="K35" s="16"/>
      <c r="L35" s="33">
        <f>D35-H35</f>
        <v>-276.99999999999977</v>
      </c>
      <c r="M35" s="16"/>
      <c r="N35" s="34">
        <f>IF(H35=0,0,L35/H35)</f>
        <v>0.25525248802064116</v>
      </c>
      <c r="O35" s="26"/>
      <c r="P35" s="33">
        <f>+P31-P33</f>
        <v>-1362.1999999999998</v>
      </c>
      <c r="Q35" s="13"/>
      <c r="R35" s="34">
        <f>IF(P$12=0,0,P35/P$12)</f>
        <v>0</v>
      </c>
      <c r="S35" s="13"/>
      <c r="T35" s="33">
        <f>+T31-T33</f>
        <v>-1085.2</v>
      </c>
      <c r="U35" s="13"/>
      <c r="V35" s="34">
        <f>IF(T$12=0,0,T35/T$12)</f>
        <v>0</v>
      </c>
      <c r="W35" s="16"/>
      <c r="X35" s="33">
        <f>P35-T35</f>
        <v>-276.99999999999977</v>
      </c>
      <c r="Y35" s="16"/>
      <c r="Z35" s="34">
        <f>IF(T35=0,0,X35/T35)</f>
        <v>0.25525248802064116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5" t="s">
        <v>5</v>
      </c>
      <c r="C38" s="25"/>
      <c r="D38" s="31">
        <f>SUM(D35:D37)</f>
        <v>-1362.1999999999998</v>
      </c>
      <c r="E38" s="13"/>
      <c r="F38" s="30">
        <f>IF(D$12=0,0,D38/D$12)</f>
        <v>0</v>
      </c>
      <c r="G38" s="13"/>
      <c r="H38" s="31">
        <f>SUM(H35:H37)</f>
        <v>-1085.2</v>
      </c>
      <c r="I38" s="13"/>
      <c r="J38" s="30">
        <f>IF(H$12=0,0,H38/H$12)</f>
        <v>0</v>
      </c>
      <c r="K38" s="16"/>
      <c r="L38" s="31">
        <f>+D38-H38</f>
        <v>-276.99999999999977</v>
      </c>
      <c r="M38" s="16"/>
      <c r="N38" s="30">
        <f>IF(H38=0,0,L38/H38)</f>
        <v>0.25525248802064116</v>
      </c>
      <c r="O38" s="26"/>
      <c r="P38" s="31">
        <f>SUM(P35:P37)</f>
        <v>-1362.1999999999998</v>
      </c>
      <c r="Q38" s="13"/>
      <c r="R38" s="30">
        <f>IF(P$12=0,0,P38/P$12)</f>
        <v>0</v>
      </c>
      <c r="S38" s="13"/>
      <c r="T38" s="31">
        <f>SUM(T35:T37)</f>
        <v>-1085.2</v>
      </c>
      <c r="U38" s="13"/>
      <c r="V38" s="30">
        <f>IF(T$12=0,0,T38/T$12)</f>
        <v>0</v>
      </c>
      <c r="W38" s="16"/>
      <c r="X38" s="31">
        <f>+P38-T38</f>
        <v>-276.99999999999977</v>
      </c>
      <c r="Y38" s="16"/>
      <c r="Z38" s="30">
        <f>IF(T38=0,0,X38/T38)</f>
        <v>0.25525248802064116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>
        <v>43726.682409224537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3" t="s">
        <v>313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9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216257.40000000002</v>
      </c>
      <c r="E12" s="4"/>
      <c r="F12" s="12"/>
      <c r="G12" s="4"/>
      <c r="H12" s="4">
        <f>SUM(OSRRefH13x_0)</f>
        <v>221803.48</v>
      </c>
      <c r="I12" s="4"/>
      <c r="J12" s="12"/>
      <c r="K12" s="4"/>
      <c r="L12" s="4">
        <f t="shared" ref="L12:L15" si="0">+D12-H12</f>
        <v>-5546.0799999999872</v>
      </c>
      <c r="M12" s="4"/>
      <c r="N12" s="12">
        <f t="shared" ref="N12:N15" si="1">IF(H12=0,0,L12/H12)</f>
        <v>-2.5004476936069654E-2</v>
      </c>
      <c r="O12" s="10"/>
      <c r="P12" s="4">
        <f>SUM(OSRRefP13x_0)</f>
        <v>216257.40000000002</v>
      </c>
      <c r="Q12" s="4"/>
      <c r="R12" s="12"/>
      <c r="S12" s="4"/>
      <c r="T12" s="4">
        <f>SUM(OSRRefT13x_0)</f>
        <v>221803.48</v>
      </c>
      <c r="U12" s="4"/>
      <c r="V12" s="12"/>
      <c r="W12" s="4"/>
      <c r="X12" s="4">
        <f t="shared" ref="X12:X15" si="2">+P12-T12</f>
        <v>-5546.0799999999872</v>
      </c>
      <c r="Y12" s="4"/>
      <c r="Z12" s="12">
        <f t="shared" ref="Z12:Z15" si="3">IF(T12=0,0,X12/T12)</f>
        <v>-2.5004476936069654E-2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--485.45</f>
        <v>485.45</v>
      </c>
      <c r="E13" s="2"/>
      <c r="F13" s="22"/>
      <c r="G13" s="2"/>
      <c r="H13" s="2">
        <f>--304.3</f>
        <v>304.3</v>
      </c>
      <c r="I13" s="2"/>
      <c r="J13" s="22"/>
      <c r="K13" s="2"/>
      <c r="L13" s="2">
        <f t="shared" si="0"/>
        <v>181.14999999999998</v>
      </c>
      <c r="M13" s="2"/>
      <c r="N13" s="22">
        <f t="shared" si="1"/>
        <v>0.59530069010844555</v>
      </c>
      <c r="O13" s="11"/>
      <c r="P13" s="2">
        <f>--485.45</f>
        <v>485.45</v>
      </c>
      <c r="Q13" s="2"/>
      <c r="R13" s="22"/>
      <c r="S13" s="2"/>
      <c r="T13" s="2">
        <f>--304.3</f>
        <v>304.3</v>
      </c>
      <c r="U13" s="2"/>
      <c r="V13" s="22"/>
      <c r="W13" s="2"/>
      <c r="X13" s="2">
        <f t="shared" si="2"/>
        <v>181.14999999999998</v>
      </c>
      <c r="Y13" s="2"/>
      <c r="Z13" s="22">
        <f t="shared" si="3"/>
        <v>0.59530069010844555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--200657</f>
        <v>200657</v>
      </c>
      <c r="E14" s="2"/>
      <c r="F14" s="22"/>
      <c r="G14" s="2"/>
      <c r="H14" s="2">
        <f>--198985.17</f>
        <v>198985.17</v>
      </c>
      <c r="I14" s="2"/>
      <c r="J14" s="22"/>
      <c r="K14" s="2"/>
      <c r="L14" s="2">
        <f t="shared" si="0"/>
        <v>1671.8299999999872</v>
      </c>
      <c r="M14" s="2"/>
      <c r="N14" s="22">
        <f t="shared" si="1"/>
        <v>8.4017819016361222E-3</v>
      </c>
      <c r="O14" s="11"/>
      <c r="P14" s="2">
        <f>--200657</f>
        <v>200657</v>
      </c>
      <c r="Q14" s="2"/>
      <c r="R14" s="22"/>
      <c r="S14" s="2"/>
      <c r="T14" s="2">
        <f>--198985.17</f>
        <v>198985.17</v>
      </c>
      <c r="U14" s="2"/>
      <c r="V14" s="22"/>
      <c r="W14" s="2"/>
      <c r="X14" s="2">
        <f t="shared" si="2"/>
        <v>1671.8299999999872</v>
      </c>
      <c r="Y14" s="2"/>
      <c r="Z14" s="22">
        <f t="shared" si="3"/>
        <v>8.4017819016361222E-3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2">
        <f>--15114.95</f>
        <v>15114.95</v>
      </c>
      <c r="E15" s="2"/>
      <c r="F15" s="22"/>
      <c r="G15" s="2"/>
      <c r="H15" s="2">
        <f>--22514.01</f>
        <v>22514.01</v>
      </c>
      <c r="I15" s="2"/>
      <c r="J15" s="22"/>
      <c r="K15" s="2"/>
      <c r="L15" s="2">
        <f t="shared" si="0"/>
        <v>-7399.0599999999977</v>
      </c>
      <c r="M15" s="2"/>
      <c r="N15" s="22">
        <f t="shared" si="1"/>
        <v>-0.32864247639580857</v>
      </c>
      <c r="O15" s="11"/>
      <c r="P15" s="2">
        <f>--15114.95</f>
        <v>15114.95</v>
      </c>
      <c r="Q15" s="2"/>
      <c r="R15" s="22"/>
      <c r="S15" s="2"/>
      <c r="T15" s="2">
        <f>--22514.01</f>
        <v>22514.01</v>
      </c>
      <c r="U15" s="2"/>
      <c r="V15" s="22"/>
      <c r="W15" s="2"/>
      <c r="X15" s="2">
        <f t="shared" si="2"/>
        <v>-7399.0599999999977</v>
      </c>
      <c r="Y15" s="2"/>
      <c r="Z15" s="22">
        <f t="shared" si="3"/>
        <v>-0.32864247639580857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76957.099999999991</v>
      </c>
      <c r="E17" s="4"/>
      <c r="F17" s="12">
        <f t="shared" ref="F17:F19" si="4">IF(D$12=0,0,D17/D$12)</f>
        <v>0.35585880529406155</v>
      </c>
      <c r="G17" s="4"/>
      <c r="H17" s="4">
        <f>SUM(OSRRefH16x_0)</f>
        <v>75277.34</v>
      </c>
      <c r="I17" s="4"/>
      <c r="J17" s="12">
        <f t="shared" ref="J17:J19" si="5">IF(H$12=0,0,H17/H$12)</f>
        <v>0.33938755153886674</v>
      </c>
      <c r="K17" s="4"/>
      <c r="L17" s="4">
        <f t="shared" ref="L17:L19" si="6">+D17-H17</f>
        <v>1679.7599999999948</v>
      </c>
      <c r="M17" s="4"/>
      <c r="N17" s="12">
        <f t="shared" ref="N17:N19" si="7">IF(H17=0,0,L17/H17)</f>
        <v>2.231428475023154E-2</v>
      </c>
      <c r="O17" s="10"/>
      <c r="P17" s="4">
        <f>SUM(OSRRefP16x_0)</f>
        <v>76957.099999999991</v>
      </c>
      <c r="Q17" s="4"/>
      <c r="R17" s="12">
        <f t="shared" ref="R17:R19" si="8">IF(P$12=0,0,P17/P$12)</f>
        <v>0.35585880529406155</v>
      </c>
      <c r="S17" s="4"/>
      <c r="T17" s="4">
        <f>SUM(OSRRefT16x_0)</f>
        <v>75277.34</v>
      </c>
      <c r="U17" s="4"/>
      <c r="V17" s="12">
        <f t="shared" ref="V17:V19" si="9">IF(T$12=0,0,T17/T$12)</f>
        <v>0.33938755153886674</v>
      </c>
      <c r="W17" s="4"/>
      <c r="X17" s="4">
        <f t="shared" ref="X17:X19" si="10">+P17-T17</f>
        <v>1679.7599999999948</v>
      </c>
      <c r="Y17" s="4"/>
      <c r="Z17" s="12">
        <f t="shared" ref="Z17:Z19" si="11">IF(T17=0,0,X17/T17)</f>
        <v>2.231428475023154E-2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2">
        <v>73554.099999999991</v>
      </c>
      <c r="E18" s="2"/>
      <c r="F18" s="22">
        <f t="shared" si="4"/>
        <v>0.34012292758536811</v>
      </c>
      <c r="G18" s="2"/>
      <c r="H18" s="2">
        <v>76214.34</v>
      </c>
      <c r="I18" s="2"/>
      <c r="J18" s="22">
        <f t="shared" si="5"/>
        <v>0.34361201185842527</v>
      </c>
      <c r="K18" s="2"/>
      <c r="L18" s="2">
        <f t="shared" si="6"/>
        <v>-2660.2400000000052</v>
      </c>
      <c r="M18" s="2"/>
      <c r="N18" s="22">
        <f t="shared" si="7"/>
        <v>-3.4904717406199479E-2</v>
      </c>
      <c r="O18" s="11"/>
      <c r="P18" s="2">
        <v>73554.099999999991</v>
      </c>
      <c r="Q18" s="2"/>
      <c r="R18" s="22">
        <f t="shared" si="8"/>
        <v>0.34012292758536811</v>
      </c>
      <c r="S18" s="2"/>
      <c r="T18" s="2">
        <v>76214.34</v>
      </c>
      <c r="U18" s="2"/>
      <c r="V18" s="22">
        <f t="shared" si="9"/>
        <v>0.34361201185842527</v>
      </c>
      <c r="W18" s="2"/>
      <c r="X18" s="2">
        <f t="shared" si="10"/>
        <v>-2660.2400000000052</v>
      </c>
      <c r="Y18" s="2"/>
      <c r="Z18" s="22">
        <f t="shared" si="11"/>
        <v>-3.4904717406199479E-2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2">
        <v>3403</v>
      </c>
      <c r="E19" s="2"/>
      <c r="F19" s="22">
        <f t="shared" si="4"/>
        <v>1.5735877708693436E-2</v>
      </c>
      <c r="G19" s="2"/>
      <c r="H19" s="2">
        <v>-937</v>
      </c>
      <c r="I19" s="2"/>
      <c r="J19" s="22">
        <f t="shared" si="5"/>
        <v>-4.2244603195585569E-3</v>
      </c>
      <c r="K19" s="2"/>
      <c r="L19" s="2">
        <f t="shared" si="6"/>
        <v>4340</v>
      </c>
      <c r="M19" s="2"/>
      <c r="N19" s="22">
        <f t="shared" si="7"/>
        <v>-4.6318036286019213</v>
      </c>
      <c r="O19" s="11"/>
      <c r="P19" s="2">
        <v>3403</v>
      </c>
      <c r="Q19" s="2"/>
      <c r="R19" s="22">
        <f t="shared" si="8"/>
        <v>1.5735877708693436E-2</v>
      </c>
      <c r="S19" s="2"/>
      <c r="T19" s="2">
        <v>-937</v>
      </c>
      <c r="U19" s="2"/>
      <c r="V19" s="22">
        <f t="shared" si="9"/>
        <v>-4.2244603195585569E-3</v>
      </c>
      <c r="W19" s="2"/>
      <c r="X19" s="2">
        <f t="shared" si="10"/>
        <v>4340</v>
      </c>
      <c r="Y19" s="2"/>
      <c r="Z19" s="22">
        <f t="shared" si="11"/>
        <v>-4.6318036286019213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D12-D17</f>
        <v>139300.30000000005</v>
      </c>
      <c r="E21" s="13"/>
      <c r="F21" s="20">
        <f>IF(D$12=0,0,D21/D$12)</f>
        <v>0.64414119470593856</v>
      </c>
      <c r="G21" s="13"/>
      <c r="H21" s="21">
        <f>H12-H17</f>
        <v>146526.14000000001</v>
      </c>
      <c r="I21" s="13"/>
      <c r="J21" s="20">
        <f>IF(H$12=0,0,H21/H$12)</f>
        <v>0.66061244846113332</v>
      </c>
      <c r="K21" s="16"/>
      <c r="L21" s="21">
        <f>+D21-H21</f>
        <v>-7225.8399999999674</v>
      </c>
      <c r="M21" s="16"/>
      <c r="N21" s="20">
        <f>IF(H21=0,0,L21/H21)</f>
        <v>-4.9314340772233317E-2</v>
      </c>
      <c r="O21" s="26"/>
      <c r="P21" s="21">
        <f>P12-P17</f>
        <v>139300.30000000005</v>
      </c>
      <c r="Q21" s="13"/>
      <c r="R21" s="20">
        <f>IF(P$12=0,0,P21/P$12)</f>
        <v>0.64414119470593856</v>
      </c>
      <c r="S21" s="13"/>
      <c r="T21" s="21">
        <f>T12-T17</f>
        <v>146526.14000000001</v>
      </c>
      <c r="U21" s="13"/>
      <c r="V21" s="20">
        <f>IF(T$12=0,0,T21/T$12)</f>
        <v>0.66061244846113332</v>
      </c>
      <c r="W21" s="16"/>
      <c r="X21" s="21">
        <f>+P21-T21</f>
        <v>-7225.8399999999674</v>
      </c>
      <c r="Y21" s="16"/>
      <c r="Z21" s="20">
        <f>IF(T21=0,0,X21/T21)</f>
        <v>-4.9314340772233317E-2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19">
        <f>SUM(OSRRefD22x_0)</f>
        <v>153268.70000000004</v>
      </c>
      <c r="E23" s="19"/>
      <c r="F23" s="35">
        <f t="shared" ref="F23:F33" si="12">IF(D$12=0,0,D23/D$12)</f>
        <v>0.70873274163103794</v>
      </c>
      <c r="G23" s="19"/>
      <c r="H23" s="19">
        <f>SUM(OSRRefH22x_0)</f>
        <v>137822.12999999995</v>
      </c>
      <c r="I23" s="19"/>
      <c r="J23" s="35">
        <f t="shared" ref="J23:J33" si="13">IF(H$12=0,0,H23/H$12)</f>
        <v>0.62137045820922165</v>
      </c>
      <c r="K23" s="4"/>
      <c r="L23" s="19">
        <f t="shared" ref="L23:L33" si="14">+D23-H23</f>
        <v>15446.570000000094</v>
      </c>
      <c r="M23" s="4"/>
      <c r="N23" s="35">
        <f t="shared" ref="N23:N33" si="15">IF(H23=0,0,L23/H23)</f>
        <v>0.11207612304352066</v>
      </c>
      <c r="O23" s="10"/>
      <c r="P23" s="19">
        <f>SUM(OSRRefP22x_0)</f>
        <v>153268.70000000004</v>
      </c>
      <c r="Q23" s="19"/>
      <c r="R23" s="35">
        <f t="shared" ref="R23:R33" si="16">IF(P$12=0,0,P23/P$12)</f>
        <v>0.70873274163103794</v>
      </c>
      <c r="S23" s="19"/>
      <c r="T23" s="19">
        <f>SUM(OSRRefT22x_0)</f>
        <v>137822.12999999995</v>
      </c>
      <c r="U23" s="19"/>
      <c r="V23" s="35">
        <f t="shared" ref="V23:V33" si="17">IF(T$12=0,0,T23/T$12)</f>
        <v>0.62137045820922165</v>
      </c>
      <c r="W23" s="4"/>
      <c r="X23" s="19">
        <f t="shared" ref="X23:X33" si="18">+P23-T23</f>
        <v>15446.570000000094</v>
      </c>
      <c r="Y23" s="4"/>
      <c r="Z23" s="35">
        <f t="shared" ref="Z23:Z33" si="19">IF(T23=0,0,X23/T23)</f>
        <v>0.11207612304352066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35169.24</v>
      </c>
      <c r="E24" s="1"/>
      <c r="F24" s="5">
        <f t="shared" si="12"/>
        <v>0.16262675866814266</v>
      </c>
      <c r="G24" s="1"/>
      <c r="H24" s="1">
        <f>SUM(OSRRefH22_0x_0)</f>
        <v>23491.590000000004</v>
      </c>
      <c r="I24" s="1"/>
      <c r="J24" s="5">
        <f t="shared" si="13"/>
        <v>0.10591172870687152</v>
      </c>
      <c r="K24" s="1"/>
      <c r="L24" s="1">
        <f t="shared" si="14"/>
        <v>11677.649999999994</v>
      </c>
      <c r="M24" s="1"/>
      <c r="N24" s="5">
        <f t="shared" si="15"/>
        <v>0.49709917464079667</v>
      </c>
      <c r="O24" s="14"/>
      <c r="P24" s="1">
        <f>SUM(OSRRefP22_0x_0)</f>
        <v>35169.24</v>
      </c>
      <c r="Q24" s="1"/>
      <c r="R24" s="5">
        <f t="shared" si="16"/>
        <v>0.16262675866814266</v>
      </c>
      <c r="S24" s="1"/>
      <c r="T24" s="1">
        <f>SUM(OSRRefT22_0x_0)</f>
        <v>23491.590000000004</v>
      </c>
      <c r="U24" s="1"/>
      <c r="V24" s="5">
        <f t="shared" si="17"/>
        <v>0.10591172870687152</v>
      </c>
      <c r="W24" s="1"/>
      <c r="X24" s="1">
        <f t="shared" si="18"/>
        <v>11677.649999999994</v>
      </c>
      <c r="Y24" s="1"/>
      <c r="Z24" s="5">
        <f t="shared" si="19"/>
        <v>0.49709917464079667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5109.6499999999996</v>
      </c>
      <c r="E25" s="2"/>
      <c r="F25" s="6">
        <f t="shared" si="12"/>
        <v>2.3627630777027741E-2</v>
      </c>
      <c r="G25" s="2"/>
      <c r="H25" s="7">
        <v>4615.45</v>
      </c>
      <c r="I25" s="2"/>
      <c r="J25" s="6">
        <f t="shared" si="13"/>
        <v>2.0808735733091291E-2</v>
      </c>
      <c r="K25" s="2"/>
      <c r="L25" s="7">
        <f t="shared" si="14"/>
        <v>494.19999999999982</v>
      </c>
      <c r="M25" s="2"/>
      <c r="N25" s="6">
        <f t="shared" si="15"/>
        <v>0.10707514976871157</v>
      </c>
      <c r="O25" s="11"/>
      <c r="P25" s="7">
        <v>5109.6499999999996</v>
      </c>
      <c r="Q25" s="2"/>
      <c r="R25" s="6">
        <f t="shared" si="16"/>
        <v>2.3627630777027741E-2</v>
      </c>
      <c r="S25" s="2"/>
      <c r="T25" s="7">
        <v>4615.45</v>
      </c>
      <c r="U25" s="2"/>
      <c r="V25" s="6">
        <f t="shared" si="17"/>
        <v>2.0808735733091291E-2</v>
      </c>
      <c r="W25" s="2"/>
      <c r="X25" s="7">
        <f t="shared" si="18"/>
        <v>494.19999999999982</v>
      </c>
      <c r="Y25" s="2"/>
      <c r="Z25" s="6">
        <f t="shared" si="19"/>
        <v>0.10707514976871157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2699.6</v>
      </c>
      <c r="E26" s="2"/>
      <c r="F26" s="6">
        <f t="shared" si="12"/>
        <v>1.2483272248718424E-2</v>
      </c>
      <c r="G26" s="2"/>
      <c r="H26" s="7">
        <v>3095.37</v>
      </c>
      <c r="I26" s="2"/>
      <c r="J26" s="6">
        <f t="shared" si="13"/>
        <v>1.3955461834954077E-2</v>
      </c>
      <c r="K26" s="2"/>
      <c r="L26" s="7">
        <f t="shared" si="14"/>
        <v>-395.77</v>
      </c>
      <c r="M26" s="2"/>
      <c r="N26" s="6">
        <f t="shared" si="15"/>
        <v>-0.12785870509825967</v>
      </c>
      <c r="O26" s="11"/>
      <c r="P26" s="7">
        <v>2699.6</v>
      </c>
      <c r="Q26" s="2"/>
      <c r="R26" s="6">
        <f t="shared" si="16"/>
        <v>1.2483272248718424E-2</v>
      </c>
      <c r="S26" s="2"/>
      <c r="T26" s="7">
        <v>3095.37</v>
      </c>
      <c r="U26" s="2"/>
      <c r="V26" s="6">
        <f t="shared" si="17"/>
        <v>1.3955461834954077E-2</v>
      </c>
      <c r="W26" s="2"/>
      <c r="X26" s="7">
        <f t="shared" si="18"/>
        <v>-395.77</v>
      </c>
      <c r="Y26" s="2"/>
      <c r="Z26" s="6">
        <f t="shared" si="19"/>
        <v>-0.12785870509825967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16686.48</v>
      </c>
      <c r="E27" s="2"/>
      <c r="F27" s="6">
        <f t="shared" si="12"/>
        <v>7.7160272897019933E-2</v>
      </c>
      <c r="G27" s="2"/>
      <c r="H27" s="7">
        <v>6260.2</v>
      </c>
      <c r="I27" s="2"/>
      <c r="J27" s="6">
        <f t="shared" si="13"/>
        <v>2.822408377001118E-2</v>
      </c>
      <c r="K27" s="2"/>
      <c r="L27" s="7">
        <f t="shared" si="14"/>
        <v>10426.279999999999</v>
      </c>
      <c r="M27" s="2"/>
      <c r="N27" s="6">
        <f t="shared" si="15"/>
        <v>1.6654867256637167</v>
      </c>
      <c r="O27" s="11"/>
      <c r="P27" s="7">
        <v>16686.48</v>
      </c>
      <c r="Q27" s="2"/>
      <c r="R27" s="6">
        <f t="shared" si="16"/>
        <v>7.7160272897019933E-2</v>
      </c>
      <c r="S27" s="2"/>
      <c r="T27" s="7">
        <v>6260.2</v>
      </c>
      <c r="U27" s="2"/>
      <c r="V27" s="6">
        <f t="shared" si="17"/>
        <v>2.822408377001118E-2</v>
      </c>
      <c r="W27" s="2"/>
      <c r="X27" s="7">
        <f t="shared" si="18"/>
        <v>10426.279999999999</v>
      </c>
      <c r="Y27" s="2"/>
      <c r="Z27" s="6">
        <f t="shared" si="19"/>
        <v>1.6654867256637167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180.9</v>
      </c>
      <c r="E28" s="2"/>
      <c r="F28" s="6">
        <f t="shared" si="12"/>
        <v>8.3650316705925429E-4</v>
      </c>
      <c r="G28" s="2"/>
      <c r="H28" s="7">
        <v>229.93</v>
      </c>
      <c r="I28" s="2"/>
      <c r="J28" s="6">
        <f t="shared" si="13"/>
        <v>1.0366383791633926E-3</v>
      </c>
      <c r="K28" s="2"/>
      <c r="L28" s="7">
        <f t="shared" si="14"/>
        <v>-49.03</v>
      </c>
      <c r="M28" s="2"/>
      <c r="N28" s="6">
        <f t="shared" si="15"/>
        <v>-0.21323881181229071</v>
      </c>
      <c r="O28" s="11"/>
      <c r="P28" s="7">
        <v>180.9</v>
      </c>
      <c r="Q28" s="2"/>
      <c r="R28" s="6">
        <f t="shared" si="16"/>
        <v>8.3650316705925429E-4</v>
      </c>
      <c r="S28" s="2"/>
      <c r="T28" s="7">
        <v>229.93</v>
      </c>
      <c r="U28" s="2"/>
      <c r="V28" s="6">
        <f t="shared" si="17"/>
        <v>1.0366383791633926E-3</v>
      </c>
      <c r="W28" s="2"/>
      <c r="X28" s="7">
        <f t="shared" si="18"/>
        <v>-49.03</v>
      </c>
      <c r="Y28" s="2"/>
      <c r="Z28" s="6">
        <f t="shared" si="19"/>
        <v>-0.21323881181229071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1216.6600000000001</v>
      </c>
      <c r="E29" s="2"/>
      <c r="F29" s="6">
        <f t="shared" si="12"/>
        <v>5.6259808912897313E-3</v>
      </c>
      <c r="G29" s="2"/>
      <c r="H29" s="7">
        <v>1186.79</v>
      </c>
      <c r="I29" s="2"/>
      <c r="J29" s="6">
        <f t="shared" si="13"/>
        <v>5.3506374201162214E-3</v>
      </c>
      <c r="K29" s="2"/>
      <c r="L29" s="7">
        <f t="shared" si="14"/>
        <v>29.870000000000118</v>
      </c>
      <c r="M29" s="2"/>
      <c r="N29" s="6">
        <f t="shared" si="15"/>
        <v>2.5168732463199148E-2</v>
      </c>
      <c r="O29" s="11"/>
      <c r="P29" s="7">
        <v>1216.6600000000001</v>
      </c>
      <c r="Q29" s="2"/>
      <c r="R29" s="6">
        <f t="shared" si="16"/>
        <v>5.6259808912897313E-3</v>
      </c>
      <c r="S29" s="2"/>
      <c r="T29" s="7">
        <v>1186.79</v>
      </c>
      <c r="U29" s="2"/>
      <c r="V29" s="6">
        <f t="shared" si="17"/>
        <v>5.3506374201162214E-3</v>
      </c>
      <c r="W29" s="2"/>
      <c r="X29" s="7">
        <f t="shared" si="18"/>
        <v>29.870000000000118</v>
      </c>
      <c r="Y29" s="2"/>
      <c r="Z29" s="6">
        <f t="shared" si="19"/>
        <v>2.5168732463199148E-2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677.46</v>
      </c>
      <c r="E30" s="2"/>
      <c r="F30" s="6">
        <f t="shared" si="12"/>
        <v>3.1326558073850883E-3</v>
      </c>
      <c r="G30" s="2"/>
      <c r="H30" s="7">
        <v>555.95000000000005</v>
      </c>
      <c r="I30" s="2"/>
      <c r="J30" s="6">
        <f t="shared" si="13"/>
        <v>2.5064980946196158E-3</v>
      </c>
      <c r="K30" s="2"/>
      <c r="L30" s="7">
        <f t="shared" si="14"/>
        <v>121.50999999999999</v>
      </c>
      <c r="M30" s="2"/>
      <c r="N30" s="6">
        <f t="shared" si="15"/>
        <v>0.21856282039751773</v>
      </c>
      <c r="O30" s="11"/>
      <c r="P30" s="7">
        <v>677.46</v>
      </c>
      <c r="Q30" s="2"/>
      <c r="R30" s="6">
        <f t="shared" si="16"/>
        <v>3.1326558073850883E-3</v>
      </c>
      <c r="S30" s="2"/>
      <c r="T30" s="7">
        <v>555.95000000000005</v>
      </c>
      <c r="U30" s="2"/>
      <c r="V30" s="6">
        <f t="shared" si="17"/>
        <v>2.5064980946196158E-3</v>
      </c>
      <c r="W30" s="2"/>
      <c r="X30" s="7">
        <f t="shared" si="18"/>
        <v>121.50999999999999</v>
      </c>
      <c r="Y30" s="2"/>
      <c r="Z30" s="6">
        <f t="shared" si="19"/>
        <v>0.21856282039751773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3455.38</v>
      </c>
      <c r="E31" s="2"/>
      <c r="F31" s="6">
        <f t="shared" si="12"/>
        <v>1.5978089073483727E-2</v>
      </c>
      <c r="G31" s="2"/>
      <c r="H31" s="7">
        <v>3032.59</v>
      </c>
      <c r="I31" s="2"/>
      <c r="J31" s="6">
        <f t="shared" si="13"/>
        <v>1.3672418485048115E-2</v>
      </c>
      <c r="K31" s="2"/>
      <c r="L31" s="7">
        <f t="shared" si="14"/>
        <v>422.78999999999996</v>
      </c>
      <c r="M31" s="2"/>
      <c r="N31" s="6">
        <f t="shared" si="15"/>
        <v>0.13941548313487809</v>
      </c>
      <c r="O31" s="11"/>
      <c r="P31" s="7">
        <v>3455.38</v>
      </c>
      <c r="Q31" s="2"/>
      <c r="R31" s="6">
        <f t="shared" si="16"/>
        <v>1.5978089073483727E-2</v>
      </c>
      <c r="S31" s="2"/>
      <c r="T31" s="7">
        <v>3032.59</v>
      </c>
      <c r="U31" s="2"/>
      <c r="V31" s="6">
        <f t="shared" si="17"/>
        <v>1.3672418485048115E-2</v>
      </c>
      <c r="W31" s="2"/>
      <c r="X31" s="7">
        <f t="shared" si="18"/>
        <v>422.78999999999996</v>
      </c>
      <c r="Y31" s="2"/>
      <c r="Z31" s="6">
        <f t="shared" si="19"/>
        <v>0.13941548313487809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3729.29</v>
      </c>
      <c r="E32" s="2"/>
      <c r="F32" s="6">
        <f t="shared" si="12"/>
        <v>1.7244681569278091E-2</v>
      </c>
      <c r="G32" s="2"/>
      <c r="H32" s="7">
        <v>3288.61</v>
      </c>
      <c r="I32" s="2"/>
      <c r="J32" s="6">
        <f t="shared" si="13"/>
        <v>1.4826683512810529E-2</v>
      </c>
      <c r="K32" s="2"/>
      <c r="L32" s="7">
        <f t="shared" si="14"/>
        <v>440.67999999999984</v>
      </c>
      <c r="M32" s="2"/>
      <c r="N32" s="6">
        <f t="shared" si="15"/>
        <v>0.13400190353979335</v>
      </c>
      <c r="O32" s="11"/>
      <c r="P32" s="7">
        <v>3729.29</v>
      </c>
      <c r="Q32" s="2"/>
      <c r="R32" s="6">
        <f t="shared" si="16"/>
        <v>1.7244681569278091E-2</v>
      </c>
      <c r="S32" s="2"/>
      <c r="T32" s="7">
        <v>3288.61</v>
      </c>
      <c r="U32" s="2"/>
      <c r="V32" s="6">
        <f t="shared" si="17"/>
        <v>1.4826683512810529E-2</v>
      </c>
      <c r="W32" s="2"/>
      <c r="X32" s="7">
        <f t="shared" si="18"/>
        <v>440.67999999999984</v>
      </c>
      <c r="Y32" s="2"/>
      <c r="Z32" s="6">
        <f t="shared" si="19"/>
        <v>0.13400190353979335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1413.82</v>
      </c>
      <c r="E33" s="2"/>
      <c r="F33" s="6">
        <f t="shared" si="12"/>
        <v>6.5376722368806796E-3</v>
      </c>
      <c r="G33" s="2"/>
      <c r="H33" s="7">
        <v>1226.7</v>
      </c>
      <c r="I33" s="2"/>
      <c r="J33" s="6">
        <f t="shared" si="13"/>
        <v>5.5305714770570776E-3</v>
      </c>
      <c r="K33" s="2"/>
      <c r="L33" s="7">
        <f t="shared" si="14"/>
        <v>187.11999999999989</v>
      </c>
      <c r="M33" s="2"/>
      <c r="N33" s="6">
        <f t="shared" si="15"/>
        <v>0.15253933317029419</v>
      </c>
      <c r="O33" s="11"/>
      <c r="P33" s="7">
        <v>1413.82</v>
      </c>
      <c r="Q33" s="2"/>
      <c r="R33" s="6">
        <f t="shared" si="16"/>
        <v>6.5376722368806796E-3</v>
      </c>
      <c r="S33" s="2"/>
      <c r="T33" s="7">
        <v>1226.7</v>
      </c>
      <c r="U33" s="2"/>
      <c r="V33" s="6">
        <f t="shared" si="17"/>
        <v>5.5305714770570776E-3</v>
      </c>
      <c r="W33" s="2"/>
      <c r="X33" s="7">
        <f t="shared" si="18"/>
        <v>187.11999999999989</v>
      </c>
      <c r="Y33" s="2"/>
      <c r="Z33" s="6">
        <f t="shared" si="19"/>
        <v>0.15253933317029419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84309.140000000014</v>
      </c>
      <c r="E34" s="1"/>
      <c r="F34" s="5">
        <f t="shared" ref="F34:F40" si="20">IF(D$12=0,0,D34/D$12)</f>
        <v>0.38985551477082403</v>
      </c>
      <c r="G34" s="1"/>
      <c r="H34" s="1">
        <f>SUM(OSRRefH22_1x_0)</f>
        <v>75363.739999999991</v>
      </c>
      <c r="I34" s="1"/>
      <c r="J34" s="5">
        <f t="shared" ref="J34:J40" si="21">IF(H$12=0,0,H34/H$12)</f>
        <v>0.33977708555339164</v>
      </c>
      <c r="K34" s="1"/>
      <c r="L34" s="1">
        <f t="shared" ref="L34:L40" si="22">+D34-H34</f>
        <v>8945.4000000000233</v>
      </c>
      <c r="M34" s="1"/>
      <c r="N34" s="5">
        <f t="shared" ref="N34:N40" si="23">IF(H34=0,0,L34/H34)</f>
        <v>0.11869633858404618</v>
      </c>
      <c r="O34" s="14"/>
      <c r="P34" s="1">
        <f>SUM(OSRRefP22_1x_0)</f>
        <v>84309.140000000014</v>
      </c>
      <c r="Q34" s="1"/>
      <c r="R34" s="5">
        <f t="shared" ref="R34:R40" si="24">IF(P$12=0,0,P34/P$12)</f>
        <v>0.38985551477082403</v>
      </c>
      <c r="S34" s="1"/>
      <c r="T34" s="1">
        <f>SUM(OSRRefT22_1x_0)</f>
        <v>75363.739999999991</v>
      </c>
      <c r="U34" s="1"/>
      <c r="V34" s="5">
        <f t="shared" ref="V34:V40" si="25">IF(T$12=0,0,T34/T$12)</f>
        <v>0.33977708555339164</v>
      </c>
      <c r="W34" s="1"/>
      <c r="X34" s="1">
        <f t="shared" ref="X34:X40" si="26">+P34-T34</f>
        <v>8945.4000000000233</v>
      </c>
      <c r="Y34" s="1"/>
      <c r="Z34" s="5">
        <f t="shared" ref="Z34:Z40" si="27">IF(T34=0,0,X34/T34)</f>
        <v>0.11869633858404618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18280.419999999998</v>
      </c>
      <c r="E35" s="2"/>
      <c r="F35" s="6">
        <f t="shared" si="20"/>
        <v>8.4530841487967565E-2</v>
      </c>
      <c r="G35" s="2"/>
      <c r="H35" s="7">
        <v>15312.22</v>
      </c>
      <c r="I35" s="2"/>
      <c r="J35" s="6">
        <f t="shared" si="21"/>
        <v>6.9035075554269923E-2</v>
      </c>
      <c r="K35" s="2"/>
      <c r="L35" s="7">
        <f t="shared" si="22"/>
        <v>2968.1999999999989</v>
      </c>
      <c r="M35" s="2"/>
      <c r="N35" s="6">
        <f t="shared" si="23"/>
        <v>0.19384517725058803</v>
      </c>
      <c r="O35" s="11"/>
      <c r="P35" s="7">
        <v>18280.419999999998</v>
      </c>
      <c r="Q35" s="2"/>
      <c r="R35" s="6">
        <f t="shared" si="24"/>
        <v>8.4530841487967565E-2</v>
      </c>
      <c r="S35" s="2"/>
      <c r="T35" s="7">
        <v>15312.22</v>
      </c>
      <c r="U35" s="2"/>
      <c r="V35" s="6">
        <f t="shared" si="25"/>
        <v>6.9035075554269923E-2</v>
      </c>
      <c r="W35" s="2"/>
      <c r="X35" s="7">
        <f t="shared" si="26"/>
        <v>2968.1999999999989</v>
      </c>
      <c r="Y35" s="2"/>
      <c r="Z35" s="6">
        <f t="shared" si="27"/>
        <v>0.19384517725058803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18404.070000000003</v>
      </c>
      <c r="E36" s="2"/>
      <c r="F36" s="6">
        <f t="shared" si="20"/>
        <v>8.5102613829630802E-2</v>
      </c>
      <c r="G36" s="2"/>
      <c r="H36" s="7">
        <v>16503.609999999997</v>
      </c>
      <c r="I36" s="2"/>
      <c r="J36" s="6">
        <f t="shared" si="21"/>
        <v>7.4406452053863162E-2</v>
      </c>
      <c r="K36" s="2"/>
      <c r="L36" s="7">
        <f t="shared" si="22"/>
        <v>1900.4600000000064</v>
      </c>
      <c r="M36" s="2"/>
      <c r="N36" s="6">
        <f t="shared" si="23"/>
        <v>0.11515419959633115</v>
      </c>
      <c r="O36" s="11"/>
      <c r="P36" s="7">
        <v>18404.070000000003</v>
      </c>
      <c r="Q36" s="2"/>
      <c r="R36" s="6">
        <f t="shared" si="24"/>
        <v>8.5102613829630802E-2</v>
      </c>
      <c r="S36" s="2"/>
      <c r="T36" s="7">
        <v>16503.609999999997</v>
      </c>
      <c r="U36" s="2"/>
      <c r="V36" s="6">
        <f t="shared" si="25"/>
        <v>7.4406452053863162E-2</v>
      </c>
      <c r="W36" s="2"/>
      <c r="X36" s="7">
        <f t="shared" si="26"/>
        <v>1900.4600000000064</v>
      </c>
      <c r="Y36" s="2"/>
      <c r="Z36" s="6">
        <f t="shared" si="27"/>
        <v>0.11515419959633115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18196.510000000002</v>
      </c>
      <c r="E37" s="2"/>
      <c r="F37" s="6">
        <f t="shared" si="20"/>
        <v>8.4142831644142588E-2</v>
      </c>
      <c r="G37" s="2"/>
      <c r="H37" s="7">
        <v>15474.889999999998</v>
      </c>
      <c r="I37" s="2"/>
      <c r="J37" s="6">
        <f t="shared" si="21"/>
        <v>6.9768472523514952E-2</v>
      </c>
      <c r="K37" s="2"/>
      <c r="L37" s="7">
        <f t="shared" si="22"/>
        <v>2721.6200000000044</v>
      </c>
      <c r="M37" s="2"/>
      <c r="N37" s="6">
        <f t="shared" si="23"/>
        <v>0.17587330184576463</v>
      </c>
      <c r="O37" s="11"/>
      <c r="P37" s="7">
        <v>18196.510000000002</v>
      </c>
      <c r="Q37" s="2"/>
      <c r="R37" s="6">
        <f t="shared" si="24"/>
        <v>8.4142831644142588E-2</v>
      </c>
      <c r="S37" s="2"/>
      <c r="T37" s="7">
        <v>15474.889999999998</v>
      </c>
      <c r="U37" s="2"/>
      <c r="V37" s="6">
        <f t="shared" si="25"/>
        <v>6.9768472523514952E-2</v>
      </c>
      <c r="W37" s="2"/>
      <c r="X37" s="7">
        <f t="shared" si="26"/>
        <v>2721.6200000000044</v>
      </c>
      <c r="Y37" s="2"/>
      <c r="Z37" s="6">
        <f t="shared" si="27"/>
        <v>0.17587330184576463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>
        <v>2451</v>
      </c>
      <c r="E38" s="2"/>
      <c r="F38" s="6">
        <f t="shared" si="20"/>
        <v>1.1333716210404823E-2</v>
      </c>
      <c r="G38" s="2"/>
      <c r="H38" s="7">
        <v>2408.81</v>
      </c>
      <c r="I38" s="2"/>
      <c r="J38" s="6">
        <f t="shared" si="21"/>
        <v>1.0860109138053199E-2</v>
      </c>
      <c r="K38" s="2"/>
      <c r="L38" s="7">
        <f t="shared" si="22"/>
        <v>42.190000000000055</v>
      </c>
      <c r="M38" s="2"/>
      <c r="N38" s="6">
        <f t="shared" si="23"/>
        <v>1.7514872488905334E-2</v>
      </c>
      <c r="O38" s="11"/>
      <c r="P38" s="7">
        <v>2451</v>
      </c>
      <c r="Q38" s="2"/>
      <c r="R38" s="6">
        <f t="shared" si="24"/>
        <v>1.1333716210404823E-2</v>
      </c>
      <c r="S38" s="2"/>
      <c r="T38" s="7">
        <v>2408.81</v>
      </c>
      <c r="U38" s="2"/>
      <c r="V38" s="6">
        <f t="shared" si="25"/>
        <v>1.0860109138053199E-2</v>
      </c>
      <c r="W38" s="2"/>
      <c r="X38" s="7">
        <f t="shared" si="26"/>
        <v>42.190000000000055</v>
      </c>
      <c r="Y38" s="2"/>
      <c r="Z38" s="6">
        <f t="shared" si="27"/>
        <v>1.7514872488905334E-2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21883.14</v>
      </c>
      <c r="E39" s="2"/>
      <c r="F39" s="6">
        <f t="shared" si="20"/>
        <v>0.10119024828745743</v>
      </c>
      <c r="G39" s="2"/>
      <c r="H39" s="7">
        <v>24278.21</v>
      </c>
      <c r="I39" s="2"/>
      <c r="J39" s="6">
        <f t="shared" si="21"/>
        <v>0.10945820146735298</v>
      </c>
      <c r="K39" s="2"/>
      <c r="L39" s="7">
        <f t="shared" si="22"/>
        <v>-2395.0699999999997</v>
      </c>
      <c r="M39" s="2"/>
      <c r="N39" s="6">
        <f t="shared" si="23"/>
        <v>-9.8651012574650268E-2</v>
      </c>
      <c r="O39" s="11"/>
      <c r="P39" s="7">
        <v>21883.14</v>
      </c>
      <c r="Q39" s="2"/>
      <c r="R39" s="6">
        <f t="shared" si="24"/>
        <v>0.10119024828745743</v>
      </c>
      <c r="S39" s="2"/>
      <c r="T39" s="7">
        <v>24278.21</v>
      </c>
      <c r="U39" s="2"/>
      <c r="V39" s="6">
        <f t="shared" si="25"/>
        <v>0.10945820146735298</v>
      </c>
      <c r="W39" s="2"/>
      <c r="X39" s="7">
        <f t="shared" si="26"/>
        <v>-2395.0699999999997</v>
      </c>
      <c r="Y39" s="2"/>
      <c r="Z39" s="6">
        <f t="shared" si="27"/>
        <v>-9.8651012574650268E-2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5094</v>
      </c>
      <c r="E40" s="2"/>
      <c r="F40" s="6">
        <f t="shared" si="20"/>
        <v>2.3555263311220792E-2</v>
      </c>
      <c r="G40" s="2"/>
      <c r="H40" s="7">
        <v>1386</v>
      </c>
      <c r="I40" s="2"/>
      <c r="J40" s="6">
        <f t="shared" si="21"/>
        <v>6.2487748163374173E-3</v>
      </c>
      <c r="K40" s="2"/>
      <c r="L40" s="7">
        <f t="shared" si="22"/>
        <v>3708</v>
      </c>
      <c r="M40" s="2"/>
      <c r="N40" s="6">
        <f t="shared" si="23"/>
        <v>2.6753246753246751</v>
      </c>
      <c r="O40" s="11"/>
      <c r="P40" s="7">
        <v>5094</v>
      </c>
      <c r="Q40" s="2"/>
      <c r="R40" s="6">
        <f t="shared" si="24"/>
        <v>2.3555263311220792E-2</v>
      </c>
      <c r="S40" s="2"/>
      <c r="T40" s="7">
        <v>1386</v>
      </c>
      <c r="U40" s="2"/>
      <c r="V40" s="6">
        <f t="shared" si="25"/>
        <v>6.2487748163374173E-3</v>
      </c>
      <c r="W40" s="2"/>
      <c r="X40" s="7">
        <f t="shared" si="26"/>
        <v>3708</v>
      </c>
      <c r="Y40" s="2"/>
      <c r="Z40" s="6">
        <f t="shared" si="27"/>
        <v>2.6753246753246751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422.69</v>
      </c>
      <c r="E41" s="1"/>
      <c r="F41" s="5">
        <f t="shared" ref="F41:F55" si="28">IF(D$12=0,0,D41/D$12)</f>
        <v>1.9545689534785859E-3</v>
      </c>
      <c r="G41" s="1"/>
      <c r="H41" s="1">
        <f>SUM(OSRRefH22_2x_0)</f>
        <v>462.32</v>
      </c>
      <c r="I41" s="1"/>
      <c r="J41" s="5">
        <f t="shared" ref="J41:J55" si="29">IF(H$12=0,0,H41/H$12)</f>
        <v>2.0843676573514534E-3</v>
      </c>
      <c r="K41" s="1"/>
      <c r="L41" s="1">
        <f t="shared" ref="L41:L55" si="30">+D41-H41</f>
        <v>-39.629999999999995</v>
      </c>
      <c r="M41" s="1"/>
      <c r="N41" s="5">
        <f t="shared" ref="N41:N55" si="31">IF(H41=0,0,L41/H41)</f>
        <v>-8.5719847724519807E-2</v>
      </c>
      <c r="O41" s="14"/>
      <c r="P41" s="1">
        <f>SUM(OSRRefP22_2x_0)</f>
        <v>422.69</v>
      </c>
      <c r="Q41" s="1"/>
      <c r="R41" s="5">
        <f t="shared" ref="R41:R55" si="32">IF(P$12=0,0,P41/P$12)</f>
        <v>1.9545689534785859E-3</v>
      </c>
      <c r="S41" s="1"/>
      <c r="T41" s="1">
        <f>SUM(OSRRefT22_2x_0)</f>
        <v>462.32</v>
      </c>
      <c r="U41" s="1"/>
      <c r="V41" s="5">
        <f t="shared" ref="V41:V55" si="33">IF(T$12=0,0,T41/T$12)</f>
        <v>2.0843676573514534E-3</v>
      </c>
      <c r="W41" s="1"/>
      <c r="X41" s="1">
        <f t="shared" ref="X41:X55" si="34">+P41-T41</f>
        <v>-39.629999999999995</v>
      </c>
      <c r="Y41" s="1"/>
      <c r="Z41" s="5">
        <f t="shared" ref="Z41:Z55" si="35">IF(T41=0,0,X41/T41)</f>
        <v>-8.5719847724519807E-2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422.69</v>
      </c>
      <c r="E42" s="2"/>
      <c r="F42" s="6">
        <f t="shared" si="28"/>
        <v>1.9545689534785859E-3</v>
      </c>
      <c r="G42" s="2"/>
      <c r="H42" s="7">
        <v>462.32</v>
      </c>
      <c r="I42" s="2"/>
      <c r="J42" s="6">
        <f t="shared" si="29"/>
        <v>2.0843676573514534E-3</v>
      </c>
      <c r="K42" s="2"/>
      <c r="L42" s="7">
        <f t="shared" si="30"/>
        <v>-39.629999999999995</v>
      </c>
      <c r="M42" s="2"/>
      <c r="N42" s="6">
        <f t="shared" si="31"/>
        <v>-8.5719847724519807E-2</v>
      </c>
      <c r="O42" s="11"/>
      <c r="P42" s="7">
        <v>422.69</v>
      </c>
      <c r="Q42" s="2"/>
      <c r="R42" s="6">
        <f t="shared" si="32"/>
        <v>1.9545689534785859E-3</v>
      </c>
      <c r="S42" s="2"/>
      <c r="T42" s="7">
        <v>462.32</v>
      </c>
      <c r="U42" s="2"/>
      <c r="V42" s="6">
        <f t="shared" si="33"/>
        <v>2.0843676573514534E-3</v>
      </c>
      <c r="W42" s="2"/>
      <c r="X42" s="7">
        <f t="shared" si="34"/>
        <v>-39.629999999999995</v>
      </c>
      <c r="Y42" s="2"/>
      <c r="Z42" s="6">
        <f t="shared" si="35"/>
        <v>-8.5719847724519807E-2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-2</v>
      </c>
      <c r="E43" s="1"/>
      <c r="F43" s="5">
        <f t="shared" si="28"/>
        <v>-9.2482384417827997E-6</v>
      </c>
      <c r="G43" s="1"/>
      <c r="H43" s="1">
        <f>SUM(OSRRefH22_3x_0)</f>
        <v>-0.05</v>
      </c>
      <c r="I43" s="1"/>
      <c r="J43" s="5">
        <f t="shared" si="29"/>
        <v>-2.2542477692414927E-7</v>
      </c>
      <c r="K43" s="1"/>
      <c r="L43" s="1">
        <f t="shared" si="30"/>
        <v>-1.95</v>
      </c>
      <c r="M43" s="1"/>
      <c r="N43" s="5">
        <f t="shared" si="31"/>
        <v>39</v>
      </c>
      <c r="O43" s="14"/>
      <c r="P43" s="1">
        <f>SUM(OSRRefP22_3x_0)</f>
        <v>-2</v>
      </c>
      <c r="Q43" s="1"/>
      <c r="R43" s="5">
        <f t="shared" si="32"/>
        <v>-9.2482384417827997E-6</v>
      </c>
      <c r="S43" s="1"/>
      <c r="T43" s="1">
        <f>SUM(OSRRefT22_3x_0)</f>
        <v>-0.05</v>
      </c>
      <c r="U43" s="1"/>
      <c r="V43" s="5">
        <f t="shared" si="33"/>
        <v>-2.2542477692414927E-7</v>
      </c>
      <c r="W43" s="1"/>
      <c r="X43" s="1">
        <f t="shared" si="34"/>
        <v>-1.95</v>
      </c>
      <c r="Y43" s="1"/>
      <c r="Z43" s="5">
        <f t="shared" si="35"/>
        <v>39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>
        <v>-2</v>
      </c>
      <c r="E44" s="2"/>
      <c r="F44" s="6">
        <f t="shared" si="28"/>
        <v>-9.2482384417827997E-6</v>
      </c>
      <c r="G44" s="2"/>
      <c r="H44" s="7">
        <v>-0.05</v>
      </c>
      <c r="I44" s="2"/>
      <c r="J44" s="6">
        <f t="shared" si="29"/>
        <v>-2.2542477692414927E-7</v>
      </c>
      <c r="K44" s="2"/>
      <c r="L44" s="7">
        <f t="shared" si="30"/>
        <v>-1.95</v>
      </c>
      <c r="M44" s="2"/>
      <c r="N44" s="6">
        <f t="shared" si="31"/>
        <v>39</v>
      </c>
      <c r="O44" s="11"/>
      <c r="P44" s="7">
        <v>-2</v>
      </c>
      <c r="Q44" s="2"/>
      <c r="R44" s="6">
        <f t="shared" si="32"/>
        <v>-9.2482384417827997E-6</v>
      </c>
      <c r="S44" s="2"/>
      <c r="T44" s="7">
        <v>-0.05</v>
      </c>
      <c r="U44" s="2"/>
      <c r="V44" s="6">
        <f t="shared" si="33"/>
        <v>-2.2542477692414927E-7</v>
      </c>
      <c r="W44" s="2"/>
      <c r="X44" s="7">
        <f t="shared" si="34"/>
        <v>-1.95</v>
      </c>
      <c r="Y44" s="2"/>
      <c r="Z44" s="6">
        <f t="shared" si="35"/>
        <v>39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294.55</v>
      </c>
      <c r="E45" s="1"/>
      <c r="F45" s="5">
        <f t="shared" si="28"/>
        <v>1.3620343165135619E-3</v>
      </c>
      <c r="G45" s="1"/>
      <c r="H45" s="1">
        <f>SUM(OSRRefH22_4x_0)</f>
        <v>366.56</v>
      </c>
      <c r="I45" s="1"/>
      <c r="J45" s="5">
        <f t="shared" si="29"/>
        <v>1.6526341245863229E-3</v>
      </c>
      <c r="K45" s="1"/>
      <c r="L45" s="1">
        <f t="shared" si="30"/>
        <v>-72.009999999999991</v>
      </c>
      <c r="M45" s="1"/>
      <c r="N45" s="5">
        <f t="shared" si="31"/>
        <v>-0.19644805761676121</v>
      </c>
      <c r="O45" s="14"/>
      <c r="P45" s="1">
        <f>SUM(OSRRefP22_4x_0)</f>
        <v>294.55</v>
      </c>
      <c r="Q45" s="1"/>
      <c r="R45" s="5">
        <f t="shared" si="32"/>
        <v>1.3620343165135619E-3</v>
      </c>
      <c r="S45" s="1"/>
      <c r="T45" s="1">
        <f>SUM(OSRRefT22_4x_0)</f>
        <v>366.56</v>
      </c>
      <c r="U45" s="1"/>
      <c r="V45" s="5">
        <f t="shared" si="33"/>
        <v>1.6526341245863229E-3</v>
      </c>
      <c r="W45" s="1"/>
      <c r="X45" s="1">
        <f t="shared" si="34"/>
        <v>-72.009999999999991</v>
      </c>
      <c r="Y45" s="1"/>
      <c r="Z45" s="5">
        <f t="shared" si="35"/>
        <v>-0.19644805761676121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294.55</v>
      </c>
      <c r="E46" s="2"/>
      <c r="F46" s="6">
        <f t="shared" si="28"/>
        <v>1.3620343165135619E-3</v>
      </c>
      <c r="G46" s="2"/>
      <c r="H46" s="7">
        <v>366.56</v>
      </c>
      <c r="I46" s="2"/>
      <c r="J46" s="6">
        <f t="shared" si="29"/>
        <v>1.6526341245863229E-3</v>
      </c>
      <c r="K46" s="2"/>
      <c r="L46" s="7">
        <f t="shared" si="30"/>
        <v>-72.009999999999991</v>
      </c>
      <c r="M46" s="2"/>
      <c r="N46" s="6">
        <f t="shared" si="31"/>
        <v>-0.19644805761676121</v>
      </c>
      <c r="O46" s="11"/>
      <c r="P46" s="7">
        <v>294.55</v>
      </c>
      <c r="Q46" s="2"/>
      <c r="R46" s="6">
        <f t="shared" si="32"/>
        <v>1.3620343165135619E-3</v>
      </c>
      <c r="S46" s="2"/>
      <c r="T46" s="7">
        <v>366.56</v>
      </c>
      <c r="U46" s="2"/>
      <c r="V46" s="6">
        <f t="shared" si="33"/>
        <v>1.6526341245863229E-3</v>
      </c>
      <c r="W46" s="2"/>
      <c r="X46" s="7">
        <f t="shared" si="34"/>
        <v>-72.009999999999991</v>
      </c>
      <c r="Y46" s="2"/>
      <c r="Z46" s="6">
        <f t="shared" si="35"/>
        <v>-0.19644805761676121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167.85</v>
      </c>
      <c r="E47" s="1"/>
      <c r="F47" s="5">
        <f t="shared" si="28"/>
        <v>7.7615841122662154E-4</v>
      </c>
      <c r="G47" s="1"/>
      <c r="H47" s="1">
        <f>SUM(OSRRefH22_5x_0)</f>
        <v>162.21</v>
      </c>
      <c r="I47" s="1"/>
      <c r="J47" s="5">
        <f t="shared" si="29"/>
        <v>7.3132306129732505E-4</v>
      </c>
      <c r="K47" s="1"/>
      <c r="L47" s="1">
        <f t="shared" si="30"/>
        <v>5.6399999999999864</v>
      </c>
      <c r="M47" s="1"/>
      <c r="N47" s="5">
        <f t="shared" si="31"/>
        <v>3.4769742925836795E-2</v>
      </c>
      <c r="O47" s="14"/>
      <c r="P47" s="1">
        <f>SUM(OSRRefP22_5x_0)</f>
        <v>167.85</v>
      </c>
      <c r="Q47" s="1"/>
      <c r="R47" s="5">
        <f t="shared" si="32"/>
        <v>7.7615841122662154E-4</v>
      </c>
      <c r="S47" s="1"/>
      <c r="T47" s="1">
        <f>SUM(OSRRefT22_5x_0)</f>
        <v>162.21</v>
      </c>
      <c r="U47" s="1"/>
      <c r="V47" s="5">
        <f t="shared" si="33"/>
        <v>7.3132306129732505E-4</v>
      </c>
      <c r="W47" s="1"/>
      <c r="X47" s="1">
        <f t="shared" si="34"/>
        <v>5.6399999999999864</v>
      </c>
      <c r="Y47" s="1"/>
      <c r="Z47" s="5">
        <f t="shared" si="35"/>
        <v>3.4769742925836795E-2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167.85</v>
      </c>
      <c r="E48" s="2"/>
      <c r="F48" s="6">
        <f t="shared" si="28"/>
        <v>7.7615841122662154E-4</v>
      </c>
      <c r="G48" s="2"/>
      <c r="H48" s="7">
        <v>162.21</v>
      </c>
      <c r="I48" s="2"/>
      <c r="J48" s="6">
        <f t="shared" si="29"/>
        <v>7.3132306129732505E-4</v>
      </c>
      <c r="K48" s="2"/>
      <c r="L48" s="7">
        <f t="shared" si="30"/>
        <v>5.6399999999999864</v>
      </c>
      <c r="M48" s="2"/>
      <c r="N48" s="6">
        <f t="shared" si="31"/>
        <v>3.4769742925836795E-2</v>
      </c>
      <c r="O48" s="11"/>
      <c r="P48" s="7">
        <v>167.85</v>
      </c>
      <c r="Q48" s="2"/>
      <c r="R48" s="6">
        <f t="shared" si="32"/>
        <v>7.7615841122662154E-4</v>
      </c>
      <c r="S48" s="2"/>
      <c r="T48" s="7">
        <v>162.21</v>
      </c>
      <c r="U48" s="2"/>
      <c r="V48" s="6">
        <f t="shared" si="33"/>
        <v>7.3132306129732505E-4</v>
      </c>
      <c r="W48" s="2"/>
      <c r="X48" s="7">
        <f t="shared" si="34"/>
        <v>5.6399999999999864</v>
      </c>
      <c r="Y48" s="2"/>
      <c r="Z48" s="6">
        <f t="shared" si="35"/>
        <v>3.4769742925836795E-2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1517.1</v>
      </c>
      <c r="E49" s="1"/>
      <c r="F49" s="5">
        <f t="shared" si="28"/>
        <v>7.0152512700143426E-3</v>
      </c>
      <c r="G49" s="1"/>
      <c r="H49" s="1">
        <f>SUM(OSRRefH22_6x_0)</f>
        <v>1730.53</v>
      </c>
      <c r="I49" s="1"/>
      <c r="J49" s="5">
        <f t="shared" si="29"/>
        <v>7.8020867842109598E-3</v>
      </c>
      <c r="K49" s="1"/>
      <c r="L49" s="1">
        <f t="shared" si="30"/>
        <v>-213.43000000000006</v>
      </c>
      <c r="M49" s="1"/>
      <c r="N49" s="5">
        <f t="shared" si="31"/>
        <v>-0.1233321583561106</v>
      </c>
      <c r="O49" s="14"/>
      <c r="P49" s="1">
        <f>SUM(OSRRefP22_6x_0)</f>
        <v>1517.1</v>
      </c>
      <c r="Q49" s="1"/>
      <c r="R49" s="5">
        <f t="shared" si="32"/>
        <v>7.0152512700143426E-3</v>
      </c>
      <c r="S49" s="1"/>
      <c r="T49" s="1">
        <f>SUM(OSRRefT22_6x_0)</f>
        <v>1730.53</v>
      </c>
      <c r="U49" s="1"/>
      <c r="V49" s="5">
        <f t="shared" si="33"/>
        <v>7.8020867842109598E-3</v>
      </c>
      <c r="W49" s="1"/>
      <c r="X49" s="1">
        <f t="shared" si="34"/>
        <v>-213.43000000000006</v>
      </c>
      <c r="Y49" s="1"/>
      <c r="Z49" s="5">
        <f t="shared" si="35"/>
        <v>-0.1233321583561106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>
        <v>1517.1</v>
      </c>
      <c r="E50" s="2"/>
      <c r="F50" s="6">
        <f t="shared" si="28"/>
        <v>7.0152512700143426E-3</v>
      </c>
      <c r="G50" s="2"/>
      <c r="H50" s="7">
        <v>1730.53</v>
      </c>
      <c r="I50" s="2"/>
      <c r="J50" s="6">
        <f t="shared" si="29"/>
        <v>7.8020867842109598E-3</v>
      </c>
      <c r="K50" s="2"/>
      <c r="L50" s="7">
        <f t="shared" si="30"/>
        <v>-213.43000000000006</v>
      </c>
      <c r="M50" s="2"/>
      <c r="N50" s="6">
        <f t="shared" si="31"/>
        <v>-0.1233321583561106</v>
      </c>
      <c r="O50" s="11"/>
      <c r="P50" s="7">
        <v>1517.1</v>
      </c>
      <c r="Q50" s="2"/>
      <c r="R50" s="6">
        <f t="shared" si="32"/>
        <v>7.0152512700143426E-3</v>
      </c>
      <c r="S50" s="2"/>
      <c r="T50" s="7">
        <v>1730.53</v>
      </c>
      <c r="U50" s="2"/>
      <c r="V50" s="6">
        <f t="shared" si="33"/>
        <v>7.8020867842109598E-3</v>
      </c>
      <c r="W50" s="2"/>
      <c r="X50" s="7">
        <f t="shared" si="34"/>
        <v>-213.43000000000006</v>
      </c>
      <c r="Y50" s="2"/>
      <c r="Z50" s="6">
        <f t="shared" si="35"/>
        <v>-0.1233321583561106</v>
      </c>
    </row>
    <row r="51" spans="1:26" s="28" customFormat="1" outlineLevel="1" collapsed="1" x14ac:dyDescent="0.25">
      <c r="A51" s="27"/>
      <c r="B51" s="14" t="str">
        <f>CONCATENATE("     ","R/H Commissions                                   ")</f>
        <v xml:space="preserve">     R/H Commissions                                   </v>
      </c>
      <c r="C51" s="14"/>
      <c r="D51" s="1">
        <f>SUM(OSRRefD22_7x_0)</f>
        <v>16622.96</v>
      </c>
      <c r="E51" s="1"/>
      <c r="F51" s="5">
        <f t="shared" si="28"/>
        <v>7.6866548844108901E-2</v>
      </c>
      <c r="G51" s="1"/>
      <c r="H51" s="1">
        <f>SUM(OSRRefH22_7x_0)</f>
        <v>17744.28</v>
      </c>
      <c r="I51" s="1"/>
      <c r="J51" s="5">
        <f t="shared" si="29"/>
        <v>8.000000721359285E-2</v>
      </c>
      <c r="K51" s="1"/>
      <c r="L51" s="1">
        <f t="shared" si="30"/>
        <v>-1121.3199999999997</v>
      </c>
      <c r="M51" s="1"/>
      <c r="N51" s="5">
        <f t="shared" si="31"/>
        <v>-6.3193322017010542E-2</v>
      </c>
      <c r="O51" s="14"/>
      <c r="P51" s="1">
        <f>SUM(OSRRefP22_7x_0)</f>
        <v>16622.96</v>
      </c>
      <c r="Q51" s="1"/>
      <c r="R51" s="5">
        <f t="shared" si="32"/>
        <v>7.6866548844108901E-2</v>
      </c>
      <c r="S51" s="1"/>
      <c r="T51" s="1">
        <f>SUM(OSRRefT22_7x_0)</f>
        <v>17744.28</v>
      </c>
      <c r="U51" s="1"/>
      <c r="V51" s="5">
        <f t="shared" si="33"/>
        <v>8.000000721359285E-2</v>
      </c>
      <c r="W51" s="1"/>
      <c r="X51" s="1">
        <f t="shared" si="34"/>
        <v>-1121.3199999999997</v>
      </c>
      <c r="Y51" s="1"/>
      <c r="Z51" s="5">
        <f t="shared" si="35"/>
        <v>-6.3193322017010542E-2</v>
      </c>
    </row>
    <row r="52" spans="1:26" s="24" customFormat="1" hidden="1" outlineLevel="2" x14ac:dyDescent="0.25">
      <c r="A52" s="29"/>
      <c r="B52" s="11" t="str">
        <f>CONCATENATE("          ", "6387", " - ", "COMMISSION DUE HOUSING")</f>
        <v xml:space="preserve">          6387 - COMMISSION DUE HOUSING</v>
      </c>
      <c r="C52" s="11"/>
      <c r="D52" s="7">
        <v>16622.96</v>
      </c>
      <c r="E52" s="2"/>
      <c r="F52" s="6">
        <f t="shared" si="28"/>
        <v>7.6866548844108901E-2</v>
      </c>
      <c r="G52" s="2"/>
      <c r="H52" s="7">
        <v>17744.28</v>
      </c>
      <c r="I52" s="2"/>
      <c r="J52" s="6">
        <f t="shared" si="29"/>
        <v>8.000000721359285E-2</v>
      </c>
      <c r="K52" s="2"/>
      <c r="L52" s="7">
        <f t="shared" si="30"/>
        <v>-1121.3199999999997</v>
      </c>
      <c r="M52" s="2"/>
      <c r="N52" s="6">
        <f t="shared" si="31"/>
        <v>-6.3193322017010542E-2</v>
      </c>
      <c r="O52" s="11"/>
      <c r="P52" s="7">
        <v>16622.96</v>
      </c>
      <c r="Q52" s="2"/>
      <c r="R52" s="6">
        <f t="shared" si="32"/>
        <v>7.6866548844108901E-2</v>
      </c>
      <c r="S52" s="2"/>
      <c r="T52" s="7">
        <v>17744.28</v>
      </c>
      <c r="U52" s="2"/>
      <c r="V52" s="6">
        <f t="shared" si="33"/>
        <v>8.000000721359285E-2</v>
      </c>
      <c r="W52" s="2"/>
      <c r="X52" s="7">
        <f t="shared" si="34"/>
        <v>-1121.3199999999997</v>
      </c>
      <c r="Y52" s="2"/>
      <c r="Z52" s="6">
        <f t="shared" si="35"/>
        <v>-6.3193322017010542E-2</v>
      </c>
    </row>
    <row r="53" spans="1:26" s="28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8.82</v>
      </c>
      <c r="E53" s="1"/>
      <c r="F53" s="5">
        <f t="shared" si="28"/>
        <v>4.0784731528262154E-5</v>
      </c>
      <c r="G53" s="1"/>
      <c r="H53" s="1">
        <f>SUM(OSRRefH22_8x_0)</f>
        <v>72.22</v>
      </c>
      <c r="I53" s="1"/>
      <c r="J53" s="5">
        <f t="shared" si="29"/>
        <v>3.2560354778924115E-4</v>
      </c>
      <c r="K53" s="1"/>
      <c r="L53" s="1">
        <f t="shared" si="30"/>
        <v>-63.4</v>
      </c>
      <c r="M53" s="1"/>
      <c r="N53" s="5">
        <f t="shared" si="31"/>
        <v>-0.87787316532816395</v>
      </c>
      <c r="O53" s="14"/>
      <c r="P53" s="1">
        <f>SUM(OSRRefP22_8x_0)</f>
        <v>8.82</v>
      </c>
      <c r="Q53" s="1"/>
      <c r="R53" s="5">
        <f t="shared" si="32"/>
        <v>4.0784731528262154E-5</v>
      </c>
      <c r="S53" s="1"/>
      <c r="T53" s="1">
        <f>SUM(OSRRefT22_8x_0)</f>
        <v>72.22</v>
      </c>
      <c r="U53" s="1"/>
      <c r="V53" s="5">
        <f t="shared" si="33"/>
        <v>3.2560354778924115E-4</v>
      </c>
      <c r="W53" s="1"/>
      <c r="X53" s="1">
        <f t="shared" si="34"/>
        <v>-63.4</v>
      </c>
      <c r="Y53" s="1"/>
      <c r="Z53" s="5">
        <f t="shared" si="35"/>
        <v>-0.87787316532816395</v>
      </c>
    </row>
    <row r="54" spans="1:26" s="24" customFormat="1" hidden="1" outlineLevel="2" x14ac:dyDescent="0.25">
      <c r="A54" s="29"/>
      <c r="B54" s="11" t="str">
        <f>CONCATENATE("          ", "6373", " - ", "MAINTENANCE CONTRACTS")</f>
        <v xml:space="preserve">          6373 - MAINTENANCE CONTRACTS</v>
      </c>
      <c r="C54" s="11"/>
      <c r="D54" s="7">
        <v>8.82</v>
      </c>
      <c r="E54" s="2"/>
      <c r="F54" s="6">
        <f t="shared" si="28"/>
        <v>4.0784731528262154E-5</v>
      </c>
      <c r="G54" s="2"/>
      <c r="H54" s="7">
        <v>14.73</v>
      </c>
      <c r="I54" s="2"/>
      <c r="J54" s="6">
        <f t="shared" si="29"/>
        <v>6.641013928185437E-5</v>
      </c>
      <c r="K54" s="2"/>
      <c r="L54" s="7">
        <f t="shared" si="30"/>
        <v>-5.91</v>
      </c>
      <c r="M54" s="2"/>
      <c r="N54" s="6">
        <f t="shared" si="31"/>
        <v>-0.40122199592668023</v>
      </c>
      <c r="O54" s="11"/>
      <c r="P54" s="7">
        <v>8.82</v>
      </c>
      <c r="Q54" s="2"/>
      <c r="R54" s="6">
        <f t="shared" si="32"/>
        <v>4.0784731528262154E-5</v>
      </c>
      <c r="S54" s="2"/>
      <c r="T54" s="7">
        <v>14.73</v>
      </c>
      <c r="U54" s="2"/>
      <c r="V54" s="6">
        <f t="shared" si="33"/>
        <v>6.641013928185437E-5</v>
      </c>
      <c r="W54" s="2"/>
      <c r="X54" s="7">
        <f t="shared" si="34"/>
        <v>-5.91</v>
      </c>
      <c r="Y54" s="2"/>
      <c r="Z54" s="6">
        <f t="shared" si="35"/>
        <v>-0.40122199592668023</v>
      </c>
    </row>
    <row r="55" spans="1:26" s="24" customFormat="1" hidden="1" outlineLevel="2" x14ac:dyDescent="0.25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28"/>
        <v>0</v>
      </c>
      <c r="G55" s="2"/>
      <c r="H55" s="7">
        <v>57.49</v>
      </c>
      <c r="I55" s="2"/>
      <c r="J55" s="6">
        <f t="shared" si="29"/>
        <v>2.5919340850738678E-4</v>
      </c>
      <c r="K55" s="2"/>
      <c r="L55" s="7">
        <f t="shared" si="30"/>
        <v>-57.49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57.49</v>
      </c>
      <c r="U55" s="2"/>
      <c r="V55" s="6">
        <f t="shared" si="33"/>
        <v>2.5919340850738678E-4</v>
      </c>
      <c r="W55" s="2"/>
      <c r="X55" s="7">
        <f t="shared" si="34"/>
        <v>-57.49</v>
      </c>
      <c r="Y55" s="2"/>
      <c r="Z55" s="6">
        <f t="shared" si="35"/>
        <v>-1</v>
      </c>
    </row>
    <row r="56" spans="1:26" s="28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SUM(OSRRefD22_9x_0)</f>
        <v>6097.79</v>
      </c>
      <c r="E56" s="1"/>
      <c r="F56" s="5">
        <f t="shared" ref="F56:F59" si="36">IF(D$12=0,0,D56/D$12)</f>
        <v>2.8196907943959373E-2</v>
      </c>
      <c r="G56" s="1"/>
      <c r="H56" s="1">
        <f>SUM(OSRRefH22_9x_0)</f>
        <v>9031.48</v>
      </c>
      <c r="I56" s="1"/>
      <c r="J56" s="5">
        <f t="shared" ref="J56:J59" si="37">IF(H$12=0,0,H56/H$12)</f>
        <v>4.0718387285898307E-2</v>
      </c>
      <c r="K56" s="1"/>
      <c r="L56" s="1">
        <f t="shared" ref="L56:L59" si="38">+D56-H56</f>
        <v>-2933.6899999999996</v>
      </c>
      <c r="M56" s="1"/>
      <c r="N56" s="5">
        <f t="shared" ref="N56:N59" si="39">IF(H56=0,0,L56/H56)</f>
        <v>-0.32482937458755373</v>
      </c>
      <c r="O56" s="14"/>
      <c r="P56" s="1">
        <f>SUM(OSRRefP22_9x_0)</f>
        <v>6097.79</v>
      </c>
      <c r="Q56" s="1"/>
      <c r="R56" s="5">
        <f t="shared" ref="R56:R59" si="40">IF(P$12=0,0,P56/P$12)</f>
        <v>2.8196907943959373E-2</v>
      </c>
      <c r="S56" s="1"/>
      <c r="T56" s="1">
        <f>SUM(OSRRefT22_9x_0)</f>
        <v>9031.48</v>
      </c>
      <c r="U56" s="1"/>
      <c r="V56" s="5">
        <f t="shared" ref="V56:V59" si="41">IF(T$12=0,0,T56/T$12)</f>
        <v>4.0718387285898307E-2</v>
      </c>
      <c r="W56" s="1"/>
      <c r="X56" s="1">
        <f t="shared" ref="X56:X59" si="42">+P56-T56</f>
        <v>-2933.6899999999996</v>
      </c>
      <c r="Y56" s="1"/>
      <c r="Z56" s="5">
        <f t="shared" ref="Z56:Z59" si="43">IF(T56=0,0,X56/T56)</f>
        <v>-0.32482937458755373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7">
        <v>421.34</v>
      </c>
      <c r="E57" s="2"/>
      <c r="F57" s="6">
        <f t="shared" si="36"/>
        <v>1.9483263925303826E-3</v>
      </c>
      <c r="G57" s="2"/>
      <c r="H57" s="7">
        <v>421.34</v>
      </c>
      <c r="I57" s="2"/>
      <c r="J57" s="6">
        <f t="shared" si="37"/>
        <v>1.8996095101844208E-3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421.34</v>
      </c>
      <c r="Q57" s="2"/>
      <c r="R57" s="6">
        <f t="shared" si="40"/>
        <v>1.9483263925303826E-3</v>
      </c>
      <c r="S57" s="2"/>
      <c r="T57" s="7">
        <v>421.34</v>
      </c>
      <c r="U57" s="2"/>
      <c r="V57" s="6">
        <f t="shared" si="41"/>
        <v>1.8996095101844208E-3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25">
      <c r="A58" s="29"/>
      <c r="B58" s="11" t="str">
        <f>CONCATENATE("          ", "6285", " - ", "JANITORIAL SERVICES")</f>
        <v xml:space="preserve">          6285 - JANITORIAL SERVICES</v>
      </c>
      <c r="C58" s="11"/>
      <c r="D58" s="7">
        <v>4104.17</v>
      </c>
      <c r="E58" s="2"/>
      <c r="F58" s="6">
        <f t="shared" si="36"/>
        <v>1.8978171382805858E-2</v>
      </c>
      <c r="G58" s="2"/>
      <c r="H58" s="7">
        <v>7271.46</v>
      </c>
      <c r="I58" s="2"/>
      <c r="J58" s="6">
        <f t="shared" si="37"/>
        <v>3.2783344968257487E-2</v>
      </c>
      <c r="K58" s="2"/>
      <c r="L58" s="7">
        <f t="shared" si="38"/>
        <v>-3167.29</v>
      </c>
      <c r="M58" s="2"/>
      <c r="N58" s="6">
        <f t="shared" si="39"/>
        <v>-0.43557827451433412</v>
      </c>
      <c r="O58" s="11"/>
      <c r="P58" s="7">
        <v>4104.17</v>
      </c>
      <c r="Q58" s="2"/>
      <c r="R58" s="6">
        <f t="shared" si="40"/>
        <v>1.8978171382805858E-2</v>
      </c>
      <c r="S58" s="2"/>
      <c r="T58" s="7">
        <v>7271.46</v>
      </c>
      <c r="U58" s="2"/>
      <c r="V58" s="6">
        <f t="shared" si="41"/>
        <v>3.2783344968257487E-2</v>
      </c>
      <c r="W58" s="2"/>
      <c r="X58" s="7">
        <f t="shared" si="42"/>
        <v>-3167.29</v>
      </c>
      <c r="Y58" s="2"/>
      <c r="Z58" s="6">
        <f t="shared" si="43"/>
        <v>-0.43557827451433412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>
        <v>1572.28</v>
      </c>
      <c r="E59" s="2"/>
      <c r="F59" s="6">
        <f t="shared" si="36"/>
        <v>7.2704101686231308E-3</v>
      </c>
      <c r="G59" s="2"/>
      <c r="H59" s="7">
        <v>1338.68</v>
      </c>
      <c r="I59" s="2"/>
      <c r="J59" s="6">
        <f t="shared" si="37"/>
        <v>6.0354328074564024E-3</v>
      </c>
      <c r="K59" s="2"/>
      <c r="L59" s="7">
        <f t="shared" si="38"/>
        <v>233.59999999999991</v>
      </c>
      <c r="M59" s="2"/>
      <c r="N59" s="6">
        <f t="shared" si="39"/>
        <v>0.17450025398153396</v>
      </c>
      <c r="O59" s="11"/>
      <c r="P59" s="7">
        <v>1572.28</v>
      </c>
      <c r="Q59" s="2"/>
      <c r="R59" s="6">
        <f t="shared" si="40"/>
        <v>7.2704101686231308E-3</v>
      </c>
      <c r="S59" s="2"/>
      <c r="T59" s="7">
        <v>1338.68</v>
      </c>
      <c r="U59" s="2"/>
      <c r="V59" s="6">
        <f t="shared" si="41"/>
        <v>6.0354328074564024E-3</v>
      </c>
      <c r="W59" s="2"/>
      <c r="X59" s="7">
        <f t="shared" si="42"/>
        <v>233.59999999999991</v>
      </c>
      <c r="Y59" s="2"/>
      <c r="Z59" s="6">
        <f t="shared" si="43"/>
        <v>0.17450025398153396</v>
      </c>
    </row>
    <row r="60" spans="1:26" s="28" customFormat="1" outlineLevel="1" collapsed="1" x14ac:dyDescent="0.25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SUM(OSRRefD22_10x_0)</f>
        <v>7812.57</v>
      </c>
      <c r="E60" s="1"/>
      <c r="F60" s="5">
        <f t="shared" ref="F60:F65" si="44">IF(D$12=0,0,D60/D$12)</f>
        <v>3.6126255101559528E-2</v>
      </c>
      <c r="G60" s="1"/>
      <c r="H60" s="1">
        <f>SUM(OSRRefH22_10x_0)</f>
        <v>8998.64</v>
      </c>
      <c r="I60" s="1"/>
      <c r="J60" s="5">
        <f t="shared" ref="J60:J65" si="45">IF(H$12=0,0,H60/H$12)</f>
        <v>4.0570328292414526E-2</v>
      </c>
      <c r="K60" s="1"/>
      <c r="L60" s="1">
        <f t="shared" ref="L60:L65" si="46">+D60-H60</f>
        <v>-1186.0699999999997</v>
      </c>
      <c r="M60" s="1"/>
      <c r="N60" s="5">
        <f t="shared" ref="N60:N65" si="47">IF(H60=0,0,L60/H60)</f>
        <v>-0.13180547282700494</v>
      </c>
      <c r="O60" s="14"/>
      <c r="P60" s="1">
        <f>SUM(OSRRefP22_10x_0)</f>
        <v>7812.57</v>
      </c>
      <c r="Q60" s="1"/>
      <c r="R60" s="5">
        <f t="shared" ref="R60:R65" si="48">IF(P$12=0,0,P60/P$12)</f>
        <v>3.6126255101559528E-2</v>
      </c>
      <c r="S60" s="1"/>
      <c r="T60" s="1">
        <f>SUM(OSRRefT22_10x_0)</f>
        <v>8998.64</v>
      </c>
      <c r="U60" s="1"/>
      <c r="V60" s="5">
        <f t="shared" ref="V60:V65" si="49">IF(T$12=0,0,T60/T$12)</f>
        <v>4.0570328292414526E-2</v>
      </c>
      <c r="W60" s="1"/>
      <c r="X60" s="1">
        <f t="shared" ref="X60:X65" si="50">+P60-T60</f>
        <v>-1186.0699999999997</v>
      </c>
      <c r="Y60" s="1"/>
      <c r="Z60" s="5">
        <f t="shared" ref="Z60:Z65" si="51">IF(T60=0,0,X60/T60)</f>
        <v>-0.13180547282700494</v>
      </c>
    </row>
    <row r="61" spans="1:26" s="24" customFormat="1" hidden="1" outlineLevel="2" x14ac:dyDescent="0.25">
      <c r="A61" s="29"/>
      <c r="B61" s="11" t="str">
        <f>CONCATENATE("          ", "6237", " - ", "JANITORIAL SUPPLIES")</f>
        <v xml:space="preserve">          6237 - JANITORIAL SUPPLIES</v>
      </c>
      <c r="C61" s="11"/>
      <c r="D61" s="7">
        <v>3951.48</v>
      </c>
      <c r="E61" s="2"/>
      <c r="F61" s="6">
        <f t="shared" si="44"/>
        <v>1.8272114618967949E-2</v>
      </c>
      <c r="G61" s="2"/>
      <c r="H61" s="7">
        <v>1934.31</v>
      </c>
      <c r="I61" s="2"/>
      <c r="J61" s="6">
        <f t="shared" si="45"/>
        <v>8.7208280050430215E-3</v>
      </c>
      <c r="K61" s="2"/>
      <c r="L61" s="7">
        <f t="shared" si="46"/>
        <v>2017.17</v>
      </c>
      <c r="M61" s="2"/>
      <c r="N61" s="6">
        <f t="shared" si="47"/>
        <v>1.0428369806287514</v>
      </c>
      <c r="O61" s="11"/>
      <c r="P61" s="7">
        <v>3951.48</v>
      </c>
      <c r="Q61" s="2"/>
      <c r="R61" s="6">
        <f t="shared" si="48"/>
        <v>1.8272114618967949E-2</v>
      </c>
      <c r="S61" s="2"/>
      <c r="T61" s="7">
        <v>1934.31</v>
      </c>
      <c r="U61" s="2"/>
      <c r="V61" s="6">
        <f t="shared" si="49"/>
        <v>8.7208280050430215E-3</v>
      </c>
      <c r="W61" s="2"/>
      <c r="X61" s="7">
        <f t="shared" si="50"/>
        <v>2017.17</v>
      </c>
      <c r="Y61" s="2"/>
      <c r="Z61" s="6">
        <f t="shared" si="51"/>
        <v>1.0428369806287514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7">
        <v>76</v>
      </c>
      <c r="E62" s="2"/>
      <c r="F62" s="6">
        <f t="shared" si="44"/>
        <v>3.5143306078774643E-4</v>
      </c>
      <c r="G62" s="2"/>
      <c r="H62" s="7">
        <v>362.47</v>
      </c>
      <c r="I62" s="2"/>
      <c r="J62" s="6">
        <f t="shared" si="45"/>
        <v>1.6341943778339276E-3</v>
      </c>
      <c r="K62" s="2"/>
      <c r="L62" s="7">
        <f t="shared" si="46"/>
        <v>-286.47000000000003</v>
      </c>
      <c r="M62" s="2"/>
      <c r="N62" s="6">
        <f t="shared" si="47"/>
        <v>-0.79032747537727266</v>
      </c>
      <c r="O62" s="11"/>
      <c r="P62" s="7">
        <v>76</v>
      </c>
      <c r="Q62" s="2"/>
      <c r="R62" s="6">
        <f t="shared" si="48"/>
        <v>3.5143306078774643E-4</v>
      </c>
      <c r="S62" s="2"/>
      <c r="T62" s="7">
        <v>362.47</v>
      </c>
      <c r="U62" s="2"/>
      <c r="V62" s="6">
        <f t="shared" si="49"/>
        <v>1.6341943778339276E-3</v>
      </c>
      <c r="W62" s="2"/>
      <c r="X62" s="7">
        <f t="shared" si="50"/>
        <v>-286.47000000000003</v>
      </c>
      <c r="Y62" s="2"/>
      <c r="Z62" s="6">
        <f t="shared" si="51"/>
        <v>-0.79032747537727266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533.92999999999995</v>
      </c>
      <c r="E63" s="2"/>
      <c r="F63" s="6">
        <f t="shared" si="44"/>
        <v>2.4689559756105451E-3</v>
      </c>
      <c r="G63" s="2"/>
      <c r="H63" s="7">
        <v>379.69</v>
      </c>
      <c r="I63" s="2"/>
      <c r="J63" s="6">
        <f t="shared" si="45"/>
        <v>1.7118306710066046E-3</v>
      </c>
      <c r="K63" s="2"/>
      <c r="L63" s="7">
        <f t="shared" si="46"/>
        <v>154.23999999999995</v>
      </c>
      <c r="M63" s="2"/>
      <c r="N63" s="6">
        <f t="shared" si="47"/>
        <v>0.40622613184439926</v>
      </c>
      <c r="O63" s="11"/>
      <c r="P63" s="7">
        <v>533.92999999999995</v>
      </c>
      <c r="Q63" s="2"/>
      <c r="R63" s="6">
        <f t="shared" si="48"/>
        <v>2.4689559756105451E-3</v>
      </c>
      <c r="S63" s="2"/>
      <c r="T63" s="7">
        <v>379.69</v>
      </c>
      <c r="U63" s="2"/>
      <c r="V63" s="6">
        <f t="shared" si="49"/>
        <v>1.7118306710066046E-3</v>
      </c>
      <c r="W63" s="2"/>
      <c r="X63" s="7">
        <f t="shared" si="50"/>
        <v>154.23999999999995</v>
      </c>
      <c r="Y63" s="2"/>
      <c r="Z63" s="6">
        <f t="shared" si="51"/>
        <v>0.40622613184439926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>
        <v>1983.31</v>
      </c>
      <c r="E64" s="2"/>
      <c r="F64" s="6">
        <f t="shared" si="44"/>
        <v>9.1710618919861233E-3</v>
      </c>
      <c r="G64" s="2"/>
      <c r="H64" s="7">
        <v>3321.08</v>
      </c>
      <c r="I64" s="2"/>
      <c r="J64" s="6">
        <f t="shared" si="45"/>
        <v>1.4973074362945071E-2</v>
      </c>
      <c r="K64" s="2"/>
      <c r="L64" s="7">
        <f t="shared" si="46"/>
        <v>-1337.77</v>
      </c>
      <c r="M64" s="2"/>
      <c r="N64" s="6">
        <f t="shared" si="47"/>
        <v>-0.4028117359413203</v>
      </c>
      <c r="O64" s="11"/>
      <c r="P64" s="7">
        <v>1983.31</v>
      </c>
      <c r="Q64" s="2"/>
      <c r="R64" s="6">
        <f t="shared" si="48"/>
        <v>9.1710618919861233E-3</v>
      </c>
      <c r="S64" s="2"/>
      <c r="T64" s="7">
        <v>3321.08</v>
      </c>
      <c r="U64" s="2"/>
      <c r="V64" s="6">
        <f t="shared" si="49"/>
        <v>1.4973074362945071E-2</v>
      </c>
      <c r="W64" s="2"/>
      <c r="X64" s="7">
        <f t="shared" si="50"/>
        <v>-1337.77</v>
      </c>
      <c r="Y64" s="2"/>
      <c r="Z64" s="6">
        <f t="shared" si="51"/>
        <v>-0.4028117359413203</v>
      </c>
    </row>
    <row r="65" spans="1:26" s="24" customFormat="1" hidden="1" outlineLevel="2" x14ac:dyDescent="0.25">
      <c r="A65" s="29"/>
      <c r="B65" s="11" t="str">
        <f>CONCATENATE("          ", "6248", " - ", "UNIFORMS")</f>
        <v xml:space="preserve">          6248 - UNIFORMS</v>
      </c>
      <c r="C65" s="11"/>
      <c r="D65" s="7">
        <v>1267.8499999999999</v>
      </c>
      <c r="E65" s="2"/>
      <c r="F65" s="6">
        <f t="shared" si="44"/>
        <v>5.862689554207161E-3</v>
      </c>
      <c r="G65" s="2"/>
      <c r="H65" s="7">
        <v>3001.09</v>
      </c>
      <c r="I65" s="2"/>
      <c r="J65" s="6">
        <f t="shared" si="45"/>
        <v>1.3530400875585902E-2</v>
      </c>
      <c r="K65" s="2"/>
      <c r="L65" s="7">
        <f t="shared" si="46"/>
        <v>-1733.2400000000002</v>
      </c>
      <c r="M65" s="2"/>
      <c r="N65" s="6">
        <f t="shared" si="47"/>
        <v>-0.57753682828572295</v>
      </c>
      <c r="O65" s="11"/>
      <c r="P65" s="7">
        <v>1267.8499999999999</v>
      </c>
      <c r="Q65" s="2"/>
      <c r="R65" s="6">
        <f t="shared" si="48"/>
        <v>5.862689554207161E-3</v>
      </c>
      <c r="S65" s="2"/>
      <c r="T65" s="7">
        <v>3001.09</v>
      </c>
      <c r="U65" s="2"/>
      <c r="V65" s="6">
        <f t="shared" si="49"/>
        <v>1.3530400875585902E-2</v>
      </c>
      <c r="W65" s="2"/>
      <c r="X65" s="7">
        <f t="shared" si="50"/>
        <v>-1733.2400000000002</v>
      </c>
      <c r="Y65" s="2"/>
      <c r="Z65" s="6">
        <f t="shared" si="51"/>
        <v>-0.57753682828572295</v>
      </c>
    </row>
    <row r="66" spans="1:26" s="28" customFormat="1" outlineLevel="1" collapsed="1" x14ac:dyDescent="0.25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SUM(OSRRefD22_11x_0)</f>
        <v>294.85000000000002</v>
      </c>
      <c r="E66" s="1"/>
      <c r="F66" s="5">
        <f t="shared" ref="F66:F71" si="52">IF(D$12=0,0,D66/D$12)</f>
        <v>1.3634215522798294E-3</v>
      </c>
      <c r="G66" s="1"/>
      <c r="H66" s="1">
        <f>SUM(OSRRefH22_11x_0)</f>
        <v>47.15</v>
      </c>
      <c r="I66" s="1"/>
      <c r="J66" s="5">
        <f t="shared" ref="J66:J71" si="53">IF(H$12=0,0,H66/H$12)</f>
        <v>2.1257556463947274E-4</v>
      </c>
      <c r="K66" s="1"/>
      <c r="L66" s="1">
        <f t="shared" ref="L66:L71" si="54">+D66-H66</f>
        <v>247.70000000000002</v>
      </c>
      <c r="M66" s="1"/>
      <c r="N66" s="5">
        <f t="shared" ref="N66:N71" si="55">IF(H66=0,0,L66/H66)</f>
        <v>5.2534464475079536</v>
      </c>
      <c r="O66" s="14"/>
      <c r="P66" s="1">
        <f>SUM(OSRRefP22_11x_0)</f>
        <v>294.85000000000002</v>
      </c>
      <c r="Q66" s="1"/>
      <c r="R66" s="5">
        <f t="shared" ref="R66:R71" si="56">IF(P$12=0,0,P66/P$12)</f>
        <v>1.3634215522798294E-3</v>
      </c>
      <c r="S66" s="1"/>
      <c r="T66" s="1">
        <f>SUM(OSRRefT22_11x_0)</f>
        <v>47.15</v>
      </c>
      <c r="U66" s="1"/>
      <c r="V66" s="5">
        <f t="shared" ref="V66:V71" si="57">IF(T$12=0,0,T66/T$12)</f>
        <v>2.1257556463947274E-4</v>
      </c>
      <c r="W66" s="1"/>
      <c r="X66" s="1">
        <f t="shared" ref="X66:X71" si="58">+P66-T66</f>
        <v>247.70000000000002</v>
      </c>
      <c r="Y66" s="1"/>
      <c r="Z66" s="5">
        <f t="shared" ref="Z66:Z71" si="59">IF(T66=0,0,X66/T66)</f>
        <v>5.2534464475079536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7">
        <v>294.85000000000002</v>
      </c>
      <c r="E67" s="2"/>
      <c r="F67" s="6">
        <f t="shared" si="52"/>
        <v>1.3634215522798294E-3</v>
      </c>
      <c r="G67" s="2"/>
      <c r="H67" s="7">
        <v>47.15</v>
      </c>
      <c r="I67" s="2"/>
      <c r="J67" s="6">
        <f t="shared" si="53"/>
        <v>2.1257556463947274E-4</v>
      </c>
      <c r="K67" s="2"/>
      <c r="L67" s="7">
        <f t="shared" si="54"/>
        <v>247.70000000000002</v>
      </c>
      <c r="M67" s="2"/>
      <c r="N67" s="6">
        <f t="shared" si="55"/>
        <v>5.2534464475079536</v>
      </c>
      <c r="O67" s="11"/>
      <c r="P67" s="7">
        <v>294.85000000000002</v>
      </c>
      <c r="Q67" s="2"/>
      <c r="R67" s="6">
        <f t="shared" si="56"/>
        <v>1.3634215522798294E-3</v>
      </c>
      <c r="S67" s="2"/>
      <c r="T67" s="7">
        <v>47.15</v>
      </c>
      <c r="U67" s="2"/>
      <c r="V67" s="6">
        <f t="shared" si="57"/>
        <v>2.1257556463947274E-4</v>
      </c>
      <c r="W67" s="2"/>
      <c r="X67" s="7">
        <f t="shared" si="58"/>
        <v>247.70000000000002</v>
      </c>
      <c r="Y67" s="2"/>
      <c r="Z67" s="6">
        <f t="shared" si="59"/>
        <v>5.2534464475079536</v>
      </c>
    </row>
    <row r="68" spans="1:26" s="28" customFormat="1" outlineLevel="1" collapsed="1" x14ac:dyDescent="0.25">
      <c r="A68" s="27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SUM(OSRRefD22_12x_0)</f>
        <v>494</v>
      </c>
      <c r="E68" s="1"/>
      <c r="F68" s="5">
        <f t="shared" si="52"/>
        <v>2.2843148951203515E-3</v>
      </c>
      <c r="G68" s="1"/>
      <c r="H68" s="1">
        <f>SUM(OSRRefH22_12x_0)</f>
        <v>351.46</v>
      </c>
      <c r="I68" s="1"/>
      <c r="J68" s="5">
        <f t="shared" si="53"/>
        <v>1.5845558419552298E-3</v>
      </c>
      <c r="K68" s="1"/>
      <c r="L68" s="1">
        <f t="shared" si="54"/>
        <v>142.54000000000002</v>
      </c>
      <c r="M68" s="1"/>
      <c r="N68" s="5">
        <f t="shared" si="55"/>
        <v>0.40556535594377746</v>
      </c>
      <c r="O68" s="14"/>
      <c r="P68" s="1">
        <f>SUM(OSRRefP22_12x_0)</f>
        <v>494</v>
      </c>
      <c r="Q68" s="1"/>
      <c r="R68" s="5">
        <f t="shared" si="56"/>
        <v>2.2843148951203515E-3</v>
      </c>
      <c r="S68" s="1"/>
      <c r="T68" s="1">
        <f>SUM(OSRRefT22_12x_0)</f>
        <v>351.46</v>
      </c>
      <c r="U68" s="1"/>
      <c r="V68" s="5">
        <f t="shared" si="57"/>
        <v>1.5845558419552298E-3</v>
      </c>
      <c r="W68" s="1"/>
      <c r="X68" s="1">
        <f t="shared" si="58"/>
        <v>142.54000000000002</v>
      </c>
      <c r="Y68" s="1"/>
      <c r="Z68" s="5">
        <f t="shared" si="59"/>
        <v>0.40556535594377746</v>
      </c>
    </row>
    <row r="69" spans="1:26" s="24" customFormat="1" hidden="1" outlineLevel="2" x14ac:dyDescent="0.25">
      <c r="A69" s="29"/>
      <c r="B69" s="11" t="str">
        <f>CONCATENATE("          ", "6376", " - ", "TRAINING")</f>
        <v xml:space="preserve">          6376 - TRAINING</v>
      </c>
      <c r="C69" s="11"/>
      <c r="D69" s="7">
        <v>494</v>
      </c>
      <c r="E69" s="2"/>
      <c r="F69" s="6">
        <f t="shared" si="52"/>
        <v>2.2843148951203515E-3</v>
      </c>
      <c r="G69" s="2"/>
      <c r="H69" s="7">
        <v>351.46</v>
      </c>
      <c r="I69" s="2"/>
      <c r="J69" s="6">
        <f t="shared" si="53"/>
        <v>1.5845558419552298E-3</v>
      </c>
      <c r="K69" s="2"/>
      <c r="L69" s="7">
        <f t="shared" si="54"/>
        <v>142.54000000000002</v>
      </c>
      <c r="M69" s="2"/>
      <c r="N69" s="6">
        <f t="shared" si="55"/>
        <v>0.40556535594377746</v>
      </c>
      <c r="O69" s="11"/>
      <c r="P69" s="7">
        <v>494</v>
      </c>
      <c r="Q69" s="2"/>
      <c r="R69" s="6">
        <f t="shared" si="56"/>
        <v>2.2843148951203515E-3</v>
      </c>
      <c r="S69" s="2"/>
      <c r="T69" s="7">
        <v>351.46</v>
      </c>
      <c r="U69" s="2"/>
      <c r="V69" s="6">
        <f t="shared" si="57"/>
        <v>1.5845558419552298E-3</v>
      </c>
      <c r="W69" s="2"/>
      <c r="X69" s="7">
        <f t="shared" si="58"/>
        <v>142.54000000000002</v>
      </c>
      <c r="Y69" s="2"/>
      <c r="Z69" s="6">
        <f t="shared" si="59"/>
        <v>0.40556535594377746</v>
      </c>
    </row>
    <row r="70" spans="1:26" s="28" customFormat="1" outlineLevel="1" collapsed="1" x14ac:dyDescent="0.25">
      <c r="A70" s="27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SUM(OSRRefD22_13x_0)</f>
        <v>59.14</v>
      </c>
      <c r="E70" s="1"/>
      <c r="F70" s="5">
        <f t="shared" si="52"/>
        <v>2.7347041072351742E-4</v>
      </c>
      <c r="G70" s="1"/>
      <c r="H70" s="1">
        <f>SUM(OSRRefH22_13x_0)</f>
        <v>0</v>
      </c>
      <c r="I70" s="1"/>
      <c r="J70" s="5">
        <f t="shared" si="53"/>
        <v>0</v>
      </c>
      <c r="K70" s="1"/>
      <c r="L70" s="1">
        <f t="shared" si="54"/>
        <v>59.14</v>
      </c>
      <c r="M70" s="1"/>
      <c r="N70" s="5">
        <f t="shared" si="55"/>
        <v>0</v>
      </c>
      <c r="O70" s="14"/>
      <c r="P70" s="1">
        <f>SUM(OSRRefP22_13x_0)</f>
        <v>59.14</v>
      </c>
      <c r="Q70" s="1"/>
      <c r="R70" s="5">
        <f t="shared" si="56"/>
        <v>2.7347041072351742E-4</v>
      </c>
      <c r="S70" s="1"/>
      <c r="T70" s="1">
        <f>SUM(OSRRefT22_13x_0)</f>
        <v>0</v>
      </c>
      <c r="U70" s="1"/>
      <c r="V70" s="5">
        <f t="shared" si="57"/>
        <v>0</v>
      </c>
      <c r="W70" s="1"/>
      <c r="X70" s="1">
        <f t="shared" si="58"/>
        <v>59.14</v>
      </c>
      <c r="Y70" s="1"/>
      <c r="Z70" s="5">
        <f t="shared" si="59"/>
        <v>0</v>
      </c>
    </row>
    <row r="71" spans="1:26" s="24" customFormat="1" hidden="1" outlineLevel="2" x14ac:dyDescent="0.25">
      <c r="A71" s="29"/>
      <c r="B71" s="11" t="str">
        <f>CONCATENATE("          ", "6292", " - ", "TRAVEL/CONFERENCE")</f>
        <v xml:space="preserve">          6292 - TRAVEL/CONFERENCE</v>
      </c>
      <c r="C71" s="11"/>
      <c r="D71" s="7">
        <v>59.14</v>
      </c>
      <c r="E71" s="2"/>
      <c r="F71" s="6">
        <f t="shared" si="52"/>
        <v>2.7347041072351742E-4</v>
      </c>
      <c r="G71" s="2"/>
      <c r="H71" s="7"/>
      <c r="I71" s="2"/>
      <c r="J71" s="6">
        <f t="shared" si="53"/>
        <v>0</v>
      </c>
      <c r="K71" s="2"/>
      <c r="L71" s="7">
        <f t="shared" si="54"/>
        <v>59.14</v>
      </c>
      <c r="M71" s="2"/>
      <c r="N71" s="6">
        <f t="shared" si="55"/>
        <v>0</v>
      </c>
      <c r="O71" s="11"/>
      <c r="P71" s="7">
        <v>59.14</v>
      </c>
      <c r="Q71" s="2"/>
      <c r="R71" s="6">
        <f t="shared" si="56"/>
        <v>2.7347041072351742E-4</v>
      </c>
      <c r="S71" s="2"/>
      <c r="T71" s="7"/>
      <c r="U71" s="2"/>
      <c r="V71" s="6">
        <f t="shared" si="57"/>
        <v>0</v>
      </c>
      <c r="W71" s="2"/>
      <c r="X71" s="7">
        <f t="shared" si="58"/>
        <v>59.14</v>
      </c>
      <c r="Y71" s="2"/>
      <c r="Z71" s="6">
        <f t="shared" si="59"/>
        <v>0</v>
      </c>
    </row>
    <row r="72" spans="1:26" s="54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6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3</v>
      </c>
      <c r="C75" s="25"/>
      <c r="D75" s="21">
        <f>+D21-D23+D73</f>
        <v>-13968.399999999994</v>
      </c>
      <c r="E75" s="13"/>
      <c r="F75" s="20">
        <f>IF(D$12=0,0,D75/D$12)</f>
        <v>-6.4591546925099413E-2</v>
      </c>
      <c r="G75" s="13"/>
      <c r="H75" s="21">
        <f>+H21-H23+H73</f>
        <v>8704.0100000000675</v>
      </c>
      <c r="I75" s="13"/>
      <c r="J75" s="20">
        <f>IF(H$12=0,0,H75/H$12)</f>
        <v>3.9241990251911586E-2</v>
      </c>
      <c r="K75" s="16"/>
      <c r="L75" s="21">
        <f>+D75-H75</f>
        <v>-22672.410000000062</v>
      </c>
      <c r="M75" s="16"/>
      <c r="N75" s="20">
        <f>IF(H75=0,0,L75/H75)</f>
        <v>-2.604823523870019</v>
      </c>
      <c r="O75" s="26"/>
      <c r="P75" s="21">
        <f>+P21-P23+P73</f>
        <v>-13968.399999999994</v>
      </c>
      <c r="Q75" s="13"/>
      <c r="R75" s="20">
        <f>IF(P$12=0,0,P75/P$12)</f>
        <v>-6.4591546925099413E-2</v>
      </c>
      <c r="S75" s="13"/>
      <c r="T75" s="21">
        <f>+T21-T23+T73</f>
        <v>8704.0100000000675</v>
      </c>
      <c r="U75" s="13"/>
      <c r="V75" s="20">
        <f>IF(T$12=0,0,T75/T$12)</f>
        <v>3.9241990251911586E-2</v>
      </c>
      <c r="W75" s="16"/>
      <c r="X75" s="21">
        <f>+P75-T75</f>
        <v>-22672.410000000062</v>
      </c>
      <c r="Y75" s="16"/>
      <c r="Z75" s="20">
        <f>IF(T75=0,0,X75/T75)</f>
        <v>-2.604823523870019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44966.29</v>
      </c>
      <c r="E77" s="4"/>
      <c r="F77" s="12">
        <f>IF(D$12=0,0,D77/D$12)</f>
        <v>0.20792948588117677</v>
      </c>
      <c r="G77" s="4"/>
      <c r="H77" s="4">
        <v>45536.4</v>
      </c>
      <c r="I77" s="4"/>
      <c r="J77" s="12">
        <f>IF(H$12=0,0,H77/H$12)</f>
        <v>0.2053006562385766</v>
      </c>
      <c r="K77" s="4"/>
      <c r="L77" s="4">
        <f>+D77-H77</f>
        <v>-570.11000000000058</v>
      </c>
      <c r="M77" s="4"/>
      <c r="N77" s="12">
        <f>IF(H77=0,0,L77/H77)</f>
        <v>-1.2519874210521705E-2</v>
      </c>
      <c r="O77" s="10"/>
      <c r="P77" s="4">
        <v>44966.29</v>
      </c>
      <c r="Q77" s="4"/>
      <c r="R77" s="12">
        <f>IF(P$12=0,0,P77/P$12)</f>
        <v>0.20792948588117677</v>
      </c>
      <c r="S77" s="4"/>
      <c r="T77" s="4">
        <v>45536.4</v>
      </c>
      <c r="U77" s="4"/>
      <c r="V77" s="12">
        <f>IF(T$12=0,0,T77/T$12)</f>
        <v>0.2053006562385766</v>
      </c>
      <c r="W77" s="4"/>
      <c r="X77" s="4">
        <f>+P77-T77</f>
        <v>-570.11000000000058</v>
      </c>
      <c r="Y77" s="4"/>
      <c r="Z77" s="12">
        <f>IF(T77=0,0,X77/T77)</f>
        <v>-1.2519874210521705E-2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4</v>
      </c>
      <c r="C79" s="25"/>
      <c r="D79" s="33">
        <f>+D75-D77</f>
        <v>-58934.689999999995</v>
      </c>
      <c r="E79" s="13"/>
      <c r="F79" s="34">
        <f>IF(D$12=0,0,D79/D$12)</f>
        <v>-0.27252103280627615</v>
      </c>
      <c r="G79" s="13"/>
      <c r="H79" s="33">
        <f>+H75-H77</f>
        <v>-36832.389999999934</v>
      </c>
      <c r="I79" s="13"/>
      <c r="J79" s="34">
        <f>IF(H$12=0,0,H79/H$12)</f>
        <v>-0.16605866598666499</v>
      </c>
      <c r="K79" s="16"/>
      <c r="L79" s="33">
        <f>D79-H79</f>
        <v>-22102.300000000061</v>
      </c>
      <c r="M79" s="16"/>
      <c r="N79" s="34">
        <f>IF(H79=0,0,L79/H79)</f>
        <v>0.60007781194758469</v>
      </c>
      <c r="O79" s="26"/>
      <c r="P79" s="33">
        <f>+P75-P77</f>
        <v>-58934.689999999995</v>
      </c>
      <c r="Q79" s="13"/>
      <c r="R79" s="34">
        <f>IF(P$12=0,0,P79/P$12)</f>
        <v>-0.27252103280627615</v>
      </c>
      <c r="S79" s="13"/>
      <c r="T79" s="33">
        <f>+T75-T77</f>
        <v>-36832.389999999934</v>
      </c>
      <c r="U79" s="13"/>
      <c r="V79" s="34">
        <f>IF(T$12=0,0,T79/T$12)</f>
        <v>-0.16605866598666499</v>
      </c>
      <c r="W79" s="16"/>
      <c r="X79" s="33">
        <f>P79-T79</f>
        <v>-22102.300000000061</v>
      </c>
      <c r="Y79" s="16"/>
      <c r="Z79" s="34">
        <f>IF(T79=0,0,X79/T79)</f>
        <v>0.60007781194758469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5</v>
      </c>
      <c r="C82" s="25"/>
      <c r="D82" s="31">
        <f>SUM(D79:D81)</f>
        <v>-58934.689999999995</v>
      </c>
      <c r="E82" s="13"/>
      <c r="F82" s="30">
        <f>IF(D$12=0,0,D82/D$12)</f>
        <v>-0.27252103280627615</v>
      </c>
      <c r="G82" s="13"/>
      <c r="H82" s="31">
        <f>SUM(H79:H81)</f>
        <v>-36832.389999999934</v>
      </c>
      <c r="I82" s="13"/>
      <c r="J82" s="30">
        <f>IF(H$12=0,0,H82/H$12)</f>
        <v>-0.16605866598666499</v>
      </c>
      <c r="K82" s="16"/>
      <c r="L82" s="31">
        <f>+D82-H82</f>
        <v>-22102.300000000061</v>
      </c>
      <c r="M82" s="16"/>
      <c r="N82" s="30">
        <f>IF(H82=0,0,L82/H82)</f>
        <v>0.60007781194758469</v>
      </c>
      <c r="O82" s="26"/>
      <c r="P82" s="31">
        <f>SUM(P79:P81)</f>
        <v>-58934.689999999995</v>
      </c>
      <c r="Q82" s="13"/>
      <c r="R82" s="30">
        <f>IF(P$12=0,0,P82/P$12)</f>
        <v>-0.27252103280627615</v>
      </c>
      <c r="S82" s="13"/>
      <c r="T82" s="31">
        <f>SUM(T79:T81)</f>
        <v>-36832.389999999934</v>
      </c>
      <c r="U82" s="13"/>
      <c r="V82" s="30">
        <f>IF(T$12=0,0,T82/T$12)</f>
        <v>-0.16605866598666499</v>
      </c>
      <c r="W82" s="16"/>
      <c r="X82" s="31">
        <f>+P82-T82</f>
        <v>-22102.300000000061</v>
      </c>
      <c r="Y82" s="16"/>
      <c r="Z82" s="30">
        <f>IF(T82=0,0,X82/T82)</f>
        <v>0.60007781194758469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6">
        <v>43726.682424189814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3" t="s">
        <v>313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","445", " - ", "Central Park Coffee House")</f>
        <v>Department 445 - Central Park Coffee House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0</v>
      </c>
      <c r="E18" s="19"/>
      <c r="F18" s="35">
        <f t="shared" ref="F18:F20" si="0">IF(D$12=0,0,D18/D$12)</f>
        <v>0</v>
      </c>
      <c r="G18" s="19"/>
      <c r="H18" s="19">
        <f>SUM(OSRRefH22x_0)</f>
        <v>929.2</v>
      </c>
      <c r="I18" s="19"/>
      <c r="J18" s="35">
        <f t="shared" ref="J18:J20" si="1">IF(H$12=0,0,H18/H$12)</f>
        <v>0</v>
      </c>
      <c r="K18" s="4"/>
      <c r="L18" s="19">
        <f t="shared" ref="L18:L20" si="2">+D18-H18</f>
        <v>-929.2</v>
      </c>
      <c r="M18" s="4"/>
      <c r="N18" s="35">
        <f t="shared" ref="N18:N20" si="3">IF(H18=0,0,L18/H18)</f>
        <v>-1</v>
      </c>
      <c r="O18" s="10"/>
      <c r="P18" s="19">
        <f>SUM(OSRRefP22x_0)</f>
        <v>0</v>
      </c>
      <c r="Q18" s="19"/>
      <c r="R18" s="35">
        <f t="shared" ref="R18:R20" si="4">IF(P$12=0,0,P18/P$12)</f>
        <v>0</v>
      </c>
      <c r="S18" s="19"/>
      <c r="T18" s="19">
        <f>SUM(OSRRefT22x_0)</f>
        <v>929.2</v>
      </c>
      <c r="U18" s="19"/>
      <c r="V18" s="35">
        <f t="shared" ref="V18:V20" si="5">IF(T$12=0,0,T18/T$12)</f>
        <v>0</v>
      </c>
      <c r="W18" s="4"/>
      <c r="X18" s="19">
        <f t="shared" ref="X18:X20" si="6">+P18-T18</f>
        <v>-929.2</v>
      </c>
      <c r="Y18" s="4"/>
      <c r="Z18" s="35">
        <f t="shared" ref="Z18:Z20" si="7">IF(T18=0,0,X18/T18)</f>
        <v>-1</v>
      </c>
    </row>
    <row r="19" spans="1:26" s="28" customFormat="1" outlineLevel="1" collapsed="1" x14ac:dyDescent="0.25">
      <c r="A19" s="27"/>
      <c r="B19" s="14" t="str">
        <f>CONCATENATE("     ","General                                           ")</f>
        <v xml:space="preserve">     General  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929.2</v>
      </c>
      <c r="I19" s="1"/>
      <c r="J19" s="5">
        <f t="shared" si="1"/>
        <v>0</v>
      </c>
      <c r="K19" s="1"/>
      <c r="L19" s="1">
        <f t="shared" si="2"/>
        <v>-929.2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"6279", " - ", "GENERAL EXPENSE")</f>
        <v xml:space="preserve">          6279 - GENERAL EXPENSE</v>
      </c>
      <c r="C20" s="11"/>
      <c r="D20" s="7"/>
      <c r="E20" s="2"/>
      <c r="F20" s="6">
        <f t="shared" si="0"/>
        <v>0</v>
      </c>
      <c r="G20" s="2"/>
      <c r="H20" s="7">
        <v>929.2</v>
      </c>
      <c r="I20" s="2"/>
      <c r="J20" s="6">
        <f t="shared" si="1"/>
        <v>0</v>
      </c>
      <c r="K20" s="2"/>
      <c r="L20" s="7">
        <f t="shared" si="2"/>
        <v>-929.2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929.2</v>
      </c>
      <c r="U20" s="2"/>
      <c r="V20" s="6">
        <f t="shared" si="5"/>
        <v>0</v>
      </c>
      <c r="W20" s="2"/>
      <c r="X20" s="7">
        <f t="shared" si="6"/>
        <v>-929.2</v>
      </c>
      <c r="Y20" s="2"/>
      <c r="Z20" s="6">
        <f t="shared" si="7"/>
        <v>-1</v>
      </c>
    </row>
    <row r="21" spans="1:26" s="54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21">
        <f>+D16-D18+D22</f>
        <v>0</v>
      </c>
      <c r="E24" s="13"/>
      <c r="F24" s="20">
        <f>IF(D$12=0,0,D24/D$12)</f>
        <v>0</v>
      </c>
      <c r="G24" s="13"/>
      <c r="H24" s="21">
        <f>+H16-H18+H22</f>
        <v>-929.2</v>
      </c>
      <c r="I24" s="13"/>
      <c r="J24" s="20">
        <f>IF(H$12=0,0,H24/H$12)</f>
        <v>0</v>
      </c>
      <c r="K24" s="16"/>
      <c r="L24" s="21">
        <f>+D24-H24</f>
        <v>929.2</v>
      </c>
      <c r="M24" s="16"/>
      <c r="N24" s="20">
        <f>IF(H24=0,0,L24/H24)</f>
        <v>-1</v>
      </c>
      <c r="O24" s="26"/>
      <c r="P24" s="21">
        <f>+P16-P18+P22</f>
        <v>0</v>
      </c>
      <c r="Q24" s="13"/>
      <c r="R24" s="20">
        <f>IF(P$12=0,0,P24/P$12)</f>
        <v>0</v>
      </c>
      <c r="S24" s="13"/>
      <c r="T24" s="21">
        <f>+T16-T18+T22</f>
        <v>-929.2</v>
      </c>
      <c r="U24" s="13"/>
      <c r="V24" s="20">
        <f>IF(T$12=0,0,T24/T$12)</f>
        <v>0</v>
      </c>
      <c r="W24" s="16"/>
      <c r="X24" s="21">
        <f>+P24-T24</f>
        <v>929.2</v>
      </c>
      <c r="Y24" s="16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3">
        <f>+D24-D26</f>
        <v>0</v>
      </c>
      <c r="E28" s="13"/>
      <c r="F28" s="34">
        <f>IF(D$12=0,0,D28/D$12)</f>
        <v>0</v>
      </c>
      <c r="G28" s="13"/>
      <c r="H28" s="33">
        <f>+H24-H26</f>
        <v>-929.2</v>
      </c>
      <c r="I28" s="13"/>
      <c r="J28" s="34">
        <f>IF(H$12=0,0,H28/H$12)</f>
        <v>0</v>
      </c>
      <c r="K28" s="16"/>
      <c r="L28" s="33">
        <f>D28-H28</f>
        <v>929.2</v>
      </c>
      <c r="M28" s="16"/>
      <c r="N28" s="34">
        <f>IF(H28=0,0,L28/H28)</f>
        <v>-1</v>
      </c>
      <c r="O28" s="26"/>
      <c r="P28" s="33">
        <f>+P24-P26</f>
        <v>0</v>
      </c>
      <c r="Q28" s="13"/>
      <c r="R28" s="34">
        <f>IF(P$12=0,0,P28/P$12)</f>
        <v>0</v>
      </c>
      <c r="S28" s="13"/>
      <c r="T28" s="33">
        <f>+T24-T26</f>
        <v>-929.2</v>
      </c>
      <c r="U28" s="13"/>
      <c r="V28" s="34">
        <f>IF(T$12=0,0,T28/T$12)</f>
        <v>0</v>
      </c>
      <c r="W28" s="16"/>
      <c r="X28" s="33">
        <f>P28-T28</f>
        <v>929.2</v>
      </c>
      <c r="Y28" s="16"/>
      <c r="Z28" s="34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1">
        <f>SUM(D28:D30)</f>
        <v>0</v>
      </c>
      <c r="E31" s="13"/>
      <c r="F31" s="30">
        <f>IF(D$12=0,0,D31/D$12)</f>
        <v>0</v>
      </c>
      <c r="G31" s="13"/>
      <c r="H31" s="31">
        <f>SUM(H28:H30)</f>
        <v>-929.2</v>
      </c>
      <c r="I31" s="13"/>
      <c r="J31" s="30">
        <f>IF(H$12=0,0,H31/H$12)</f>
        <v>0</v>
      </c>
      <c r="K31" s="16"/>
      <c r="L31" s="31">
        <f>+D31-H31</f>
        <v>929.2</v>
      </c>
      <c r="M31" s="16"/>
      <c r="N31" s="30">
        <f>IF(H31=0,0,L31/H31)</f>
        <v>-1</v>
      </c>
      <c r="O31" s="26"/>
      <c r="P31" s="31">
        <f>SUM(P28:P30)</f>
        <v>0</v>
      </c>
      <c r="Q31" s="13"/>
      <c r="R31" s="30">
        <f>IF(P$12=0,0,P31/P$12)</f>
        <v>0</v>
      </c>
      <c r="S31" s="13"/>
      <c r="T31" s="31">
        <f>SUM(T28:T30)</f>
        <v>-929.2</v>
      </c>
      <c r="U31" s="13"/>
      <c r="V31" s="30">
        <f>IF(T$12=0,0,T31/T$12)</f>
        <v>0</v>
      </c>
      <c r="W31" s="16"/>
      <c r="X31" s="31">
        <f>+P31-T31</f>
        <v>929.2</v>
      </c>
      <c r="Y31" s="16"/>
      <c r="Z31" s="30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43726.682439583332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3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46676.84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46676.84</v>
      </c>
      <c r="M12" s="4"/>
      <c r="N12" s="12">
        <f t="shared" ref="N12:N14" si="1">IF(H12=0,0,L12/H12)</f>
        <v>0</v>
      </c>
      <c r="O12" s="10"/>
      <c r="P12" s="4">
        <f>SUM(OSRRefP13x_0)</f>
        <v>46676.84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46676.84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0"/>
      <c r="B13" s="11" t="str">
        <f>CONCATENATE("          ", "4151", " - ", "NON-TAXABLE SALES-FOOD")</f>
        <v xml:space="preserve">          4151 - NON-TAXABLE SALES-FOOD</v>
      </c>
      <c r="C13" s="11"/>
      <c r="D13" s="2">
        <f>--46016.1</f>
        <v>46016.1</v>
      </c>
      <c r="E13" s="2"/>
      <c r="F13" s="22"/>
      <c r="G13" s="2"/>
      <c r="H13" s="2">
        <f t="shared" ref="H13:H14" si="4">0</f>
        <v>0</v>
      </c>
      <c r="I13" s="2"/>
      <c r="J13" s="22"/>
      <c r="K13" s="2"/>
      <c r="L13" s="2">
        <f t="shared" si="0"/>
        <v>46016.1</v>
      </c>
      <c r="M13" s="2"/>
      <c r="N13" s="22">
        <f t="shared" si="1"/>
        <v>0</v>
      </c>
      <c r="O13" s="11"/>
      <c r="P13" s="2">
        <f>--46016.1</f>
        <v>46016.1</v>
      </c>
      <c r="Q13" s="2"/>
      <c r="R13" s="22"/>
      <c r="S13" s="2"/>
      <c r="T13" s="2">
        <f t="shared" ref="T13:T14" si="5">0</f>
        <v>0</v>
      </c>
      <c r="U13" s="2"/>
      <c r="V13" s="22"/>
      <c r="W13" s="2"/>
      <c r="X13" s="2">
        <f t="shared" si="2"/>
        <v>46016.1</v>
      </c>
      <c r="Y13" s="2"/>
      <c r="Z13" s="22">
        <f t="shared" si="3"/>
        <v>0</v>
      </c>
    </row>
    <row r="14" spans="1:26" s="24" customFormat="1" hidden="1" outlineLevel="1" x14ac:dyDescent="0.25">
      <c r="A14" s="50"/>
      <c r="B14" s="11" t="str">
        <f>CONCATENATE("          ", "4153", " - ", "NON-TAXABLE SALES-FOOD")</f>
        <v xml:space="preserve">          4153 - NON-TAXABLE SALES-FOOD</v>
      </c>
      <c r="C14" s="11"/>
      <c r="D14" s="2">
        <f>--660.74</f>
        <v>660.74</v>
      </c>
      <c r="E14" s="2"/>
      <c r="F14" s="22"/>
      <c r="G14" s="2"/>
      <c r="H14" s="2">
        <f t="shared" si="4"/>
        <v>0</v>
      </c>
      <c r="I14" s="2"/>
      <c r="J14" s="22"/>
      <c r="K14" s="2"/>
      <c r="L14" s="2">
        <f t="shared" si="0"/>
        <v>660.74</v>
      </c>
      <c r="M14" s="2"/>
      <c r="N14" s="22">
        <f t="shared" si="1"/>
        <v>0</v>
      </c>
      <c r="O14" s="11"/>
      <c r="P14" s="2">
        <f>--660.74</f>
        <v>660.74</v>
      </c>
      <c r="Q14" s="2"/>
      <c r="R14" s="22"/>
      <c r="S14" s="2"/>
      <c r="T14" s="2">
        <f t="shared" si="5"/>
        <v>0</v>
      </c>
      <c r="U14" s="2"/>
      <c r="V14" s="22"/>
      <c r="W14" s="2"/>
      <c r="X14" s="2">
        <f t="shared" si="2"/>
        <v>660.74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8182.29</v>
      </c>
      <c r="E16" s="4"/>
      <c r="F16" s="12">
        <f t="shared" ref="F16:F18" si="6">IF(D$12=0,0,D16/D$12)</f>
        <v>0.17529657106179425</v>
      </c>
      <c r="G16" s="4"/>
      <c r="H16" s="4">
        <f>SUM(OSRRefH16x_0)</f>
        <v>337.86</v>
      </c>
      <c r="I16" s="4"/>
      <c r="J16" s="12">
        <f t="shared" ref="J16:J18" si="7">IF(H$12=0,0,H16/H$12)</f>
        <v>0</v>
      </c>
      <c r="K16" s="4"/>
      <c r="L16" s="4">
        <f t="shared" ref="L16:L18" si="8">+D16-H16</f>
        <v>7844.43</v>
      </c>
      <c r="M16" s="4"/>
      <c r="N16" s="12">
        <f t="shared" ref="N16:N18" si="9">IF(H16=0,0,L16/H16)</f>
        <v>23.217989699875687</v>
      </c>
      <c r="O16" s="10"/>
      <c r="P16" s="4">
        <f>SUM(OSRRefP16x_0)</f>
        <v>8182.29</v>
      </c>
      <c r="Q16" s="4"/>
      <c r="R16" s="12">
        <f t="shared" ref="R16:R18" si="10">IF(P$12=0,0,P16/P$12)</f>
        <v>0.17529657106179425</v>
      </c>
      <c r="S16" s="4"/>
      <c r="T16" s="4">
        <f>SUM(OSRRefT16x_0)</f>
        <v>337.86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7844.43</v>
      </c>
      <c r="Y16" s="4"/>
      <c r="Z16" s="12">
        <f t="shared" ref="Z16:Z18" si="13">IF(T16=0,0,X16/T16)</f>
        <v>23.217989699875687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7220.29</v>
      </c>
      <c r="E17" s="2"/>
      <c r="F17" s="22">
        <f t="shared" si="6"/>
        <v>0.15468677828233446</v>
      </c>
      <c r="G17" s="2"/>
      <c r="H17" s="2">
        <v>337.86</v>
      </c>
      <c r="I17" s="2"/>
      <c r="J17" s="22">
        <f t="shared" si="7"/>
        <v>0</v>
      </c>
      <c r="K17" s="2"/>
      <c r="L17" s="2">
        <f t="shared" si="8"/>
        <v>6882.43</v>
      </c>
      <c r="M17" s="2"/>
      <c r="N17" s="22">
        <f t="shared" si="9"/>
        <v>20.370656484934589</v>
      </c>
      <c r="O17" s="11"/>
      <c r="P17" s="2">
        <v>7220.29</v>
      </c>
      <c r="Q17" s="2"/>
      <c r="R17" s="22">
        <f t="shared" si="10"/>
        <v>0.15468677828233446</v>
      </c>
      <c r="S17" s="2"/>
      <c r="T17" s="2">
        <v>337.86</v>
      </c>
      <c r="U17" s="2"/>
      <c r="V17" s="22">
        <f t="shared" si="11"/>
        <v>0</v>
      </c>
      <c r="W17" s="2"/>
      <c r="X17" s="2">
        <f t="shared" si="12"/>
        <v>6882.43</v>
      </c>
      <c r="Y17" s="2"/>
      <c r="Z17" s="22">
        <f t="shared" si="13"/>
        <v>20.370656484934589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962</v>
      </c>
      <c r="E18" s="2"/>
      <c r="F18" s="22">
        <f t="shared" si="6"/>
        <v>2.0609792779459794E-2</v>
      </c>
      <c r="G18" s="2"/>
      <c r="H18" s="2"/>
      <c r="I18" s="2"/>
      <c r="J18" s="22">
        <f t="shared" si="7"/>
        <v>0</v>
      </c>
      <c r="K18" s="2"/>
      <c r="L18" s="2">
        <f t="shared" si="8"/>
        <v>962</v>
      </c>
      <c r="M18" s="2"/>
      <c r="N18" s="22">
        <f t="shared" si="9"/>
        <v>0</v>
      </c>
      <c r="O18" s="11"/>
      <c r="P18" s="2">
        <v>962</v>
      </c>
      <c r="Q18" s="2"/>
      <c r="R18" s="22">
        <f t="shared" si="10"/>
        <v>2.0609792779459794E-2</v>
      </c>
      <c r="S18" s="2"/>
      <c r="T18" s="2"/>
      <c r="U18" s="2"/>
      <c r="V18" s="22">
        <f t="shared" si="11"/>
        <v>0</v>
      </c>
      <c r="W18" s="2"/>
      <c r="X18" s="2">
        <f t="shared" si="12"/>
        <v>962</v>
      </c>
      <c r="Y18" s="2"/>
      <c r="Z18" s="22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38494.549999999996</v>
      </c>
      <c r="E20" s="13"/>
      <c r="F20" s="20">
        <f>IF(D$12=0,0,D20/D$12)</f>
        <v>0.8247034289382057</v>
      </c>
      <c r="G20" s="13"/>
      <c r="H20" s="21">
        <f>H12-H16</f>
        <v>-337.86</v>
      </c>
      <c r="I20" s="13"/>
      <c r="J20" s="20">
        <f>IF(H$12=0,0,H20/H$12)</f>
        <v>0</v>
      </c>
      <c r="K20" s="16"/>
      <c r="L20" s="21">
        <f>+D20-H20</f>
        <v>38832.409999999996</v>
      </c>
      <c r="M20" s="16"/>
      <c r="N20" s="20">
        <f>IF(H20=0,0,L20/H20)</f>
        <v>-114.93639377256851</v>
      </c>
      <c r="O20" s="26"/>
      <c r="P20" s="21">
        <f>P12-P16</f>
        <v>38494.549999999996</v>
      </c>
      <c r="Q20" s="13"/>
      <c r="R20" s="20">
        <f>IF(P$12=0,0,P20/P$12)</f>
        <v>0.8247034289382057</v>
      </c>
      <c r="S20" s="13"/>
      <c r="T20" s="21">
        <f>T12-T16</f>
        <v>-337.86</v>
      </c>
      <c r="U20" s="13"/>
      <c r="V20" s="20">
        <f>IF(T$12=0,0,T20/T$12)</f>
        <v>0</v>
      </c>
      <c r="W20" s="16"/>
      <c r="X20" s="21">
        <f>+P20-T20</f>
        <v>38832.409999999996</v>
      </c>
      <c r="Y20" s="16"/>
      <c r="Z20" s="20">
        <f>IF(T20=0,0,X20/T20)</f>
        <v>-114.93639377256851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88511.87999999999</v>
      </c>
      <c r="E22" s="19"/>
      <c r="F22" s="35">
        <f t="shared" ref="F22:F32" si="14">IF(D$12=0,0,D22/D$12)</f>
        <v>1.8962697560503239</v>
      </c>
      <c r="G22" s="19"/>
      <c r="H22" s="19">
        <f>SUM(OSRRefH22x_0)</f>
        <v>53762.969999999987</v>
      </c>
      <c r="I22" s="19"/>
      <c r="J22" s="35">
        <f t="shared" ref="J22:J32" si="15">IF(H$12=0,0,H22/H$12)</f>
        <v>0</v>
      </c>
      <c r="K22" s="4"/>
      <c r="L22" s="19">
        <f t="shared" ref="L22:L32" si="16">+D22-H22</f>
        <v>34748.910000000003</v>
      </c>
      <c r="M22" s="4"/>
      <c r="N22" s="35">
        <f t="shared" ref="N22:N32" si="17">IF(H22=0,0,L22/H22)</f>
        <v>0.64633538660531609</v>
      </c>
      <c r="O22" s="10"/>
      <c r="P22" s="19">
        <f>SUM(OSRRefP22x_0)</f>
        <v>88511.87999999999</v>
      </c>
      <c r="Q22" s="19"/>
      <c r="R22" s="35">
        <f t="shared" ref="R22:R32" si="18">IF(P$12=0,0,P22/P$12)</f>
        <v>1.8962697560503239</v>
      </c>
      <c r="S22" s="19"/>
      <c r="T22" s="19">
        <f>SUM(OSRRefT22x_0)</f>
        <v>53762.969999999987</v>
      </c>
      <c r="U22" s="19"/>
      <c r="V22" s="35">
        <f t="shared" ref="V22:V32" si="19">IF(T$12=0,0,T22/T$12)</f>
        <v>0</v>
      </c>
      <c r="W22" s="4"/>
      <c r="X22" s="19">
        <f t="shared" ref="X22:X32" si="20">+P22-T22</f>
        <v>34748.910000000003</v>
      </c>
      <c r="Y22" s="4"/>
      <c r="Z22" s="35">
        <f t="shared" ref="Z22:Z32" si="21">IF(T22=0,0,X22/T22)</f>
        <v>0.64633538660531609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26185.91</v>
      </c>
      <c r="E23" s="1"/>
      <c r="F23" s="5">
        <f t="shared" si="14"/>
        <v>0.56100434391017051</v>
      </c>
      <c r="G23" s="1"/>
      <c r="H23" s="1">
        <f>SUM(OSRRefH22_0x_0)</f>
        <v>18596.039999999997</v>
      </c>
      <c r="I23" s="1"/>
      <c r="J23" s="5">
        <f t="shared" si="15"/>
        <v>0</v>
      </c>
      <c r="K23" s="1"/>
      <c r="L23" s="1">
        <f t="shared" si="16"/>
        <v>7589.8700000000026</v>
      </c>
      <c r="M23" s="1"/>
      <c r="N23" s="5">
        <f t="shared" si="17"/>
        <v>0.40814442214579039</v>
      </c>
      <c r="O23" s="14"/>
      <c r="P23" s="1">
        <f>SUM(OSRRefP22_0x_0)</f>
        <v>26185.91</v>
      </c>
      <c r="Q23" s="1"/>
      <c r="R23" s="5">
        <f t="shared" si="18"/>
        <v>0.56100434391017051</v>
      </c>
      <c r="S23" s="1"/>
      <c r="T23" s="1">
        <f>SUM(OSRRefT22_0x_0)</f>
        <v>18596.039999999997</v>
      </c>
      <c r="U23" s="1"/>
      <c r="V23" s="5">
        <f t="shared" si="19"/>
        <v>0</v>
      </c>
      <c r="W23" s="1"/>
      <c r="X23" s="1">
        <f t="shared" si="20"/>
        <v>7589.8700000000026</v>
      </c>
      <c r="Y23" s="1"/>
      <c r="Z23" s="5">
        <f t="shared" si="21"/>
        <v>0.40814442214579039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2465.91</v>
      </c>
      <c r="E24" s="2"/>
      <c r="F24" s="6">
        <f t="shared" si="14"/>
        <v>5.2829411759664963E-2</v>
      </c>
      <c r="G24" s="2"/>
      <c r="H24" s="7">
        <v>2158.0500000000002</v>
      </c>
      <c r="I24" s="2"/>
      <c r="J24" s="6">
        <f t="shared" si="15"/>
        <v>0</v>
      </c>
      <c r="K24" s="2"/>
      <c r="L24" s="7">
        <f t="shared" si="16"/>
        <v>307.85999999999967</v>
      </c>
      <c r="M24" s="2"/>
      <c r="N24" s="6">
        <f t="shared" si="17"/>
        <v>0.14265656495447263</v>
      </c>
      <c r="O24" s="11"/>
      <c r="P24" s="7">
        <v>2465.91</v>
      </c>
      <c r="Q24" s="2"/>
      <c r="R24" s="6">
        <f t="shared" si="18"/>
        <v>5.2829411759664963E-2</v>
      </c>
      <c r="S24" s="2"/>
      <c r="T24" s="7">
        <v>2158.0500000000002</v>
      </c>
      <c r="U24" s="2"/>
      <c r="V24" s="6">
        <f t="shared" si="19"/>
        <v>0</v>
      </c>
      <c r="W24" s="2"/>
      <c r="X24" s="7">
        <f t="shared" si="20"/>
        <v>307.85999999999967</v>
      </c>
      <c r="Y24" s="2"/>
      <c r="Z24" s="6">
        <f t="shared" si="21"/>
        <v>0.14265656495447263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1506.57</v>
      </c>
      <c r="E25" s="2"/>
      <c r="F25" s="6">
        <f t="shared" si="14"/>
        <v>3.2276606556913452E-2</v>
      </c>
      <c r="G25" s="2"/>
      <c r="H25" s="7">
        <v>1557.66</v>
      </c>
      <c r="I25" s="2"/>
      <c r="J25" s="6">
        <f t="shared" si="15"/>
        <v>0</v>
      </c>
      <c r="K25" s="2"/>
      <c r="L25" s="7">
        <f t="shared" si="16"/>
        <v>-51.090000000000146</v>
      </c>
      <c r="M25" s="2"/>
      <c r="N25" s="6">
        <f t="shared" si="17"/>
        <v>-3.2799198798197385E-2</v>
      </c>
      <c r="O25" s="11"/>
      <c r="P25" s="7">
        <v>1506.57</v>
      </c>
      <c r="Q25" s="2"/>
      <c r="R25" s="6">
        <f t="shared" si="18"/>
        <v>3.2276606556913452E-2</v>
      </c>
      <c r="S25" s="2"/>
      <c r="T25" s="7">
        <v>1557.66</v>
      </c>
      <c r="U25" s="2"/>
      <c r="V25" s="6">
        <f t="shared" si="19"/>
        <v>0</v>
      </c>
      <c r="W25" s="2"/>
      <c r="X25" s="7">
        <f t="shared" si="20"/>
        <v>-51.090000000000146</v>
      </c>
      <c r="Y25" s="2"/>
      <c r="Z25" s="6">
        <f t="shared" si="21"/>
        <v>-3.2799198798197385E-2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11103.19</v>
      </c>
      <c r="E26" s="2"/>
      <c r="F26" s="6">
        <f t="shared" si="14"/>
        <v>0.23787364354570706</v>
      </c>
      <c r="G26" s="2"/>
      <c r="H26" s="7">
        <v>5440.8</v>
      </c>
      <c r="I26" s="2"/>
      <c r="J26" s="6">
        <f t="shared" si="15"/>
        <v>0</v>
      </c>
      <c r="K26" s="2"/>
      <c r="L26" s="7">
        <f t="shared" si="16"/>
        <v>5662.39</v>
      </c>
      <c r="M26" s="2"/>
      <c r="N26" s="6">
        <f t="shared" si="17"/>
        <v>1.0407274665490369</v>
      </c>
      <c r="O26" s="11"/>
      <c r="P26" s="7">
        <v>11103.19</v>
      </c>
      <c r="Q26" s="2"/>
      <c r="R26" s="6">
        <f t="shared" si="18"/>
        <v>0.23787364354570706</v>
      </c>
      <c r="S26" s="2"/>
      <c r="T26" s="7">
        <v>5440.8</v>
      </c>
      <c r="U26" s="2"/>
      <c r="V26" s="6">
        <f t="shared" si="19"/>
        <v>0</v>
      </c>
      <c r="W26" s="2"/>
      <c r="X26" s="7">
        <f t="shared" si="20"/>
        <v>5662.39</v>
      </c>
      <c r="Y26" s="2"/>
      <c r="Z26" s="6">
        <f t="shared" si="21"/>
        <v>1.0407274665490369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100.98</v>
      </c>
      <c r="E27" s="2"/>
      <c r="F27" s="6">
        <f t="shared" si="14"/>
        <v>2.1633855248127339E-3</v>
      </c>
      <c r="G27" s="2"/>
      <c r="H27" s="7">
        <v>115.71</v>
      </c>
      <c r="I27" s="2"/>
      <c r="J27" s="6">
        <f t="shared" si="15"/>
        <v>0</v>
      </c>
      <c r="K27" s="2"/>
      <c r="L27" s="7">
        <f t="shared" si="16"/>
        <v>-14.72999999999999</v>
      </c>
      <c r="M27" s="2"/>
      <c r="N27" s="6">
        <f t="shared" si="17"/>
        <v>-0.12730101114856099</v>
      </c>
      <c r="O27" s="11"/>
      <c r="P27" s="7">
        <v>100.98</v>
      </c>
      <c r="Q27" s="2"/>
      <c r="R27" s="6">
        <f t="shared" si="18"/>
        <v>2.1633855248127339E-3</v>
      </c>
      <c r="S27" s="2"/>
      <c r="T27" s="7">
        <v>115.71</v>
      </c>
      <c r="U27" s="2"/>
      <c r="V27" s="6">
        <f t="shared" si="19"/>
        <v>0</v>
      </c>
      <c r="W27" s="2"/>
      <c r="X27" s="7">
        <f t="shared" si="20"/>
        <v>-14.72999999999999</v>
      </c>
      <c r="Y27" s="2"/>
      <c r="Z27" s="6">
        <f t="shared" si="21"/>
        <v>-0.12730101114856099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959.64</v>
      </c>
      <c r="E28" s="2"/>
      <c r="F28" s="6">
        <f t="shared" si="14"/>
        <v>2.0559232373056961E-2</v>
      </c>
      <c r="G28" s="2"/>
      <c r="H28" s="7">
        <v>1250.05</v>
      </c>
      <c r="I28" s="2"/>
      <c r="J28" s="6">
        <f t="shared" si="15"/>
        <v>0</v>
      </c>
      <c r="K28" s="2"/>
      <c r="L28" s="7">
        <f t="shared" si="16"/>
        <v>-290.40999999999997</v>
      </c>
      <c r="M28" s="2"/>
      <c r="N28" s="6">
        <f t="shared" si="17"/>
        <v>-0.23231870725170992</v>
      </c>
      <c r="O28" s="11"/>
      <c r="P28" s="7">
        <v>959.64</v>
      </c>
      <c r="Q28" s="2"/>
      <c r="R28" s="6">
        <f t="shared" si="18"/>
        <v>2.0559232373056961E-2</v>
      </c>
      <c r="S28" s="2"/>
      <c r="T28" s="7">
        <v>1250.05</v>
      </c>
      <c r="U28" s="2"/>
      <c r="V28" s="6">
        <f t="shared" si="19"/>
        <v>0</v>
      </c>
      <c r="W28" s="2"/>
      <c r="X28" s="7">
        <f t="shared" si="20"/>
        <v>-290.40999999999997</v>
      </c>
      <c r="Y28" s="2"/>
      <c r="Z28" s="6">
        <f t="shared" si="21"/>
        <v>-0.23231870725170992</v>
      </c>
    </row>
    <row r="29" spans="1:26" s="24" customFormat="1" hidden="1" outlineLevel="2" x14ac:dyDescent="0.25">
      <c r="A29" s="29"/>
      <c r="B29" s="11" t="str">
        <f>CONCATENATE("          ", "6117", " - ", "RETIREMENT STAFF HOURLY")</f>
        <v xml:space="preserve">          6117 - RETIREMENT STAFF HOURLY</v>
      </c>
      <c r="C29" s="11"/>
      <c r="D29" s="7">
        <v>257.97000000000003</v>
      </c>
      <c r="E29" s="2"/>
      <c r="F29" s="6">
        <f t="shared" si="14"/>
        <v>5.52672374565202E-3</v>
      </c>
      <c r="G29" s="2"/>
      <c r="H29" s="7">
        <v>354.72</v>
      </c>
      <c r="I29" s="2"/>
      <c r="J29" s="6">
        <f t="shared" si="15"/>
        <v>0</v>
      </c>
      <c r="K29" s="2"/>
      <c r="L29" s="7">
        <f t="shared" si="16"/>
        <v>-96.75</v>
      </c>
      <c r="M29" s="2"/>
      <c r="N29" s="6">
        <f t="shared" si="17"/>
        <v>-0.27275033829499323</v>
      </c>
      <c r="O29" s="11"/>
      <c r="P29" s="7">
        <v>257.97000000000003</v>
      </c>
      <c r="Q29" s="2"/>
      <c r="R29" s="6">
        <f t="shared" si="18"/>
        <v>5.52672374565202E-3</v>
      </c>
      <c r="S29" s="2"/>
      <c r="T29" s="7">
        <v>354.72</v>
      </c>
      <c r="U29" s="2"/>
      <c r="V29" s="6">
        <f t="shared" si="19"/>
        <v>0</v>
      </c>
      <c r="W29" s="2"/>
      <c r="X29" s="7">
        <f t="shared" si="20"/>
        <v>-96.75</v>
      </c>
      <c r="Y29" s="2"/>
      <c r="Z29" s="6">
        <f t="shared" si="21"/>
        <v>-0.27275033829499323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7">
        <v>2812.61</v>
      </c>
      <c r="E30" s="2"/>
      <c r="F30" s="6">
        <f t="shared" si="14"/>
        <v>6.0257078242657393E-2</v>
      </c>
      <c r="G30" s="2"/>
      <c r="H30" s="7">
        <v>2558.91</v>
      </c>
      <c r="I30" s="2"/>
      <c r="J30" s="6">
        <f t="shared" si="15"/>
        <v>0</v>
      </c>
      <c r="K30" s="2"/>
      <c r="L30" s="7">
        <f t="shared" si="16"/>
        <v>253.70000000000027</v>
      </c>
      <c r="M30" s="2"/>
      <c r="N30" s="6">
        <f t="shared" si="17"/>
        <v>9.9143776060901037E-2</v>
      </c>
      <c r="O30" s="11"/>
      <c r="P30" s="7">
        <v>2812.61</v>
      </c>
      <c r="Q30" s="2"/>
      <c r="R30" s="6">
        <f t="shared" si="18"/>
        <v>6.0257078242657393E-2</v>
      </c>
      <c r="S30" s="2"/>
      <c r="T30" s="7">
        <v>2558.91</v>
      </c>
      <c r="U30" s="2"/>
      <c r="V30" s="6">
        <f t="shared" si="19"/>
        <v>0</v>
      </c>
      <c r="W30" s="2"/>
      <c r="X30" s="7">
        <f t="shared" si="20"/>
        <v>253.70000000000027</v>
      </c>
      <c r="Y30" s="2"/>
      <c r="Z30" s="6">
        <f t="shared" si="21"/>
        <v>9.9143776060901037E-2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7">
        <v>5970.13</v>
      </c>
      <c r="E31" s="2"/>
      <c r="F31" s="6">
        <f t="shared" si="14"/>
        <v>0.12790347418548473</v>
      </c>
      <c r="G31" s="2"/>
      <c r="H31" s="7">
        <v>4036.46</v>
      </c>
      <c r="I31" s="2"/>
      <c r="J31" s="6">
        <f t="shared" si="15"/>
        <v>0</v>
      </c>
      <c r="K31" s="2"/>
      <c r="L31" s="7">
        <f t="shared" si="16"/>
        <v>1933.67</v>
      </c>
      <c r="M31" s="2"/>
      <c r="N31" s="6">
        <f t="shared" si="17"/>
        <v>0.47905095058541397</v>
      </c>
      <c r="O31" s="11"/>
      <c r="P31" s="7">
        <v>5970.13</v>
      </c>
      <c r="Q31" s="2"/>
      <c r="R31" s="6">
        <f t="shared" si="18"/>
        <v>0.12790347418548473</v>
      </c>
      <c r="S31" s="2"/>
      <c r="T31" s="7">
        <v>4036.46</v>
      </c>
      <c r="U31" s="2"/>
      <c r="V31" s="6">
        <f t="shared" si="19"/>
        <v>0</v>
      </c>
      <c r="W31" s="2"/>
      <c r="X31" s="7">
        <f t="shared" si="20"/>
        <v>1933.67</v>
      </c>
      <c r="Y31" s="2"/>
      <c r="Z31" s="6">
        <f t="shared" si="21"/>
        <v>0.47905095058541397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7">
        <v>1008.91</v>
      </c>
      <c r="E32" s="2"/>
      <c r="F32" s="6">
        <f t="shared" si="14"/>
        <v>2.1614787976221184E-2</v>
      </c>
      <c r="G32" s="2"/>
      <c r="H32" s="7">
        <v>1123.68</v>
      </c>
      <c r="I32" s="2"/>
      <c r="J32" s="6">
        <f t="shared" si="15"/>
        <v>0</v>
      </c>
      <c r="K32" s="2"/>
      <c r="L32" s="7">
        <f t="shared" si="16"/>
        <v>-114.7700000000001</v>
      </c>
      <c r="M32" s="2"/>
      <c r="N32" s="6">
        <f t="shared" si="17"/>
        <v>-0.1021376192510324</v>
      </c>
      <c r="O32" s="11"/>
      <c r="P32" s="7">
        <v>1008.91</v>
      </c>
      <c r="Q32" s="2"/>
      <c r="R32" s="6">
        <f t="shared" si="18"/>
        <v>2.1614787976221184E-2</v>
      </c>
      <c r="S32" s="2"/>
      <c r="T32" s="7">
        <v>1123.68</v>
      </c>
      <c r="U32" s="2"/>
      <c r="V32" s="6">
        <f t="shared" si="19"/>
        <v>0</v>
      </c>
      <c r="W32" s="2"/>
      <c r="X32" s="7">
        <f t="shared" si="20"/>
        <v>-114.7700000000001</v>
      </c>
      <c r="Y32" s="2"/>
      <c r="Z32" s="6">
        <f t="shared" si="21"/>
        <v>-0.1021376192510324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36485.919999999998</v>
      </c>
      <c r="E33" s="1"/>
      <c r="F33" s="5">
        <f t="shared" ref="F33:F39" si="22">IF(D$12=0,0,D33/D$12)</f>
        <v>0.78167073863612024</v>
      </c>
      <c r="G33" s="1"/>
      <c r="H33" s="1">
        <f>SUM(OSRRefH22_1x_0)</f>
        <v>30222.94</v>
      </c>
      <c r="I33" s="1"/>
      <c r="J33" s="5">
        <f t="shared" ref="J33:J39" si="23">IF(H$12=0,0,H33/H$12)</f>
        <v>0</v>
      </c>
      <c r="K33" s="1"/>
      <c r="L33" s="1">
        <f t="shared" ref="L33:L39" si="24">+D33-H33</f>
        <v>6262.98</v>
      </c>
      <c r="M33" s="1"/>
      <c r="N33" s="5">
        <f t="shared" ref="N33:N39" si="25">IF(H33=0,0,L33/H33)</f>
        <v>0.20722603426403916</v>
      </c>
      <c r="O33" s="14"/>
      <c r="P33" s="1">
        <f>SUM(OSRRefP22_1x_0)</f>
        <v>36485.919999999998</v>
      </c>
      <c r="Q33" s="1"/>
      <c r="R33" s="5">
        <f t="shared" ref="R33:R39" si="26">IF(P$12=0,0,P33/P$12)</f>
        <v>0.78167073863612024</v>
      </c>
      <c r="S33" s="1"/>
      <c r="T33" s="1">
        <f>SUM(OSRRefT22_1x_0)</f>
        <v>30222.94</v>
      </c>
      <c r="U33" s="1"/>
      <c r="V33" s="5">
        <f t="shared" ref="V33:V39" si="27">IF(T$12=0,0,T33/T$12)</f>
        <v>0</v>
      </c>
      <c r="W33" s="1"/>
      <c r="X33" s="1">
        <f t="shared" ref="X33:X39" si="28">+P33-T33</f>
        <v>6262.98</v>
      </c>
      <c r="Y33" s="1"/>
      <c r="Z33" s="5">
        <f t="shared" ref="Z33:Z39" si="29">IF(T33=0,0,X33/T33)</f>
        <v>0.20722603426403916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>
        <v>11236.71</v>
      </c>
      <c r="E34" s="2"/>
      <c r="F34" s="6">
        <f t="shared" si="22"/>
        <v>0.24073416280965035</v>
      </c>
      <c r="G34" s="2"/>
      <c r="H34" s="7">
        <v>10102.84</v>
      </c>
      <c r="I34" s="2"/>
      <c r="J34" s="6">
        <f t="shared" si="23"/>
        <v>0</v>
      </c>
      <c r="K34" s="2"/>
      <c r="L34" s="7">
        <f t="shared" si="24"/>
        <v>1133.869999999999</v>
      </c>
      <c r="M34" s="2"/>
      <c r="N34" s="6">
        <f t="shared" si="25"/>
        <v>0.11223279790633119</v>
      </c>
      <c r="O34" s="11"/>
      <c r="P34" s="7">
        <v>11236.71</v>
      </c>
      <c r="Q34" s="2"/>
      <c r="R34" s="6">
        <f t="shared" si="26"/>
        <v>0.24073416280965035</v>
      </c>
      <c r="S34" s="2"/>
      <c r="T34" s="7">
        <v>10102.84</v>
      </c>
      <c r="U34" s="2"/>
      <c r="V34" s="6">
        <f t="shared" si="27"/>
        <v>0</v>
      </c>
      <c r="W34" s="2"/>
      <c r="X34" s="7">
        <f t="shared" si="28"/>
        <v>1133.869999999999</v>
      </c>
      <c r="Y34" s="2"/>
      <c r="Z34" s="6">
        <f t="shared" si="29"/>
        <v>0.11223279790633119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>
        <v>13901.2</v>
      </c>
      <c r="E35" s="2"/>
      <c r="F35" s="6">
        <f t="shared" si="22"/>
        <v>0.2978179328334995</v>
      </c>
      <c r="G35" s="2"/>
      <c r="H35" s="7">
        <v>15724.089999999998</v>
      </c>
      <c r="I35" s="2"/>
      <c r="J35" s="6">
        <f t="shared" si="23"/>
        <v>0</v>
      </c>
      <c r="K35" s="2"/>
      <c r="L35" s="7">
        <f t="shared" si="24"/>
        <v>-1822.8899999999976</v>
      </c>
      <c r="M35" s="2"/>
      <c r="N35" s="6">
        <f t="shared" si="25"/>
        <v>-0.11592976127712305</v>
      </c>
      <c r="O35" s="11"/>
      <c r="P35" s="7">
        <v>13901.2</v>
      </c>
      <c r="Q35" s="2"/>
      <c r="R35" s="6">
        <f t="shared" si="26"/>
        <v>0.2978179328334995</v>
      </c>
      <c r="S35" s="2"/>
      <c r="T35" s="7">
        <v>15724.089999999998</v>
      </c>
      <c r="U35" s="2"/>
      <c r="V35" s="6">
        <f t="shared" si="27"/>
        <v>0</v>
      </c>
      <c r="W35" s="2"/>
      <c r="X35" s="7">
        <f t="shared" si="28"/>
        <v>-1822.8899999999976</v>
      </c>
      <c r="Y35" s="2"/>
      <c r="Z35" s="6">
        <f t="shared" si="29"/>
        <v>-0.11592976127712305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2327.5700000000002</v>
      </c>
      <c r="E36" s="2"/>
      <c r="F36" s="6">
        <f t="shared" si="22"/>
        <v>4.986562929281417E-2</v>
      </c>
      <c r="G36" s="2"/>
      <c r="H36" s="7">
        <v>1596.51</v>
      </c>
      <c r="I36" s="2"/>
      <c r="J36" s="6">
        <f t="shared" si="23"/>
        <v>0</v>
      </c>
      <c r="K36" s="2"/>
      <c r="L36" s="7">
        <f t="shared" si="24"/>
        <v>731.06000000000017</v>
      </c>
      <c r="M36" s="2"/>
      <c r="N36" s="6">
        <f t="shared" si="25"/>
        <v>0.45791131906471</v>
      </c>
      <c r="O36" s="11"/>
      <c r="P36" s="7">
        <v>2327.5700000000002</v>
      </c>
      <c r="Q36" s="2"/>
      <c r="R36" s="6">
        <f t="shared" si="26"/>
        <v>4.986562929281417E-2</v>
      </c>
      <c r="S36" s="2"/>
      <c r="T36" s="7">
        <v>1596.51</v>
      </c>
      <c r="U36" s="2"/>
      <c r="V36" s="6">
        <f t="shared" si="27"/>
        <v>0</v>
      </c>
      <c r="W36" s="2"/>
      <c r="X36" s="7">
        <f t="shared" si="28"/>
        <v>731.06000000000017</v>
      </c>
      <c r="Y36" s="2"/>
      <c r="Z36" s="6">
        <f t="shared" si="29"/>
        <v>0.45791131906471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>
        <v>612</v>
      </c>
      <c r="E37" s="2"/>
      <c r="F37" s="6">
        <f t="shared" si="22"/>
        <v>1.3111427423107478E-2</v>
      </c>
      <c r="G37" s="2"/>
      <c r="H37" s="7"/>
      <c r="I37" s="2"/>
      <c r="J37" s="6">
        <f t="shared" si="23"/>
        <v>0</v>
      </c>
      <c r="K37" s="2"/>
      <c r="L37" s="7">
        <f t="shared" si="24"/>
        <v>612</v>
      </c>
      <c r="M37" s="2"/>
      <c r="N37" s="6">
        <f t="shared" si="25"/>
        <v>0</v>
      </c>
      <c r="O37" s="11"/>
      <c r="P37" s="7">
        <v>612</v>
      </c>
      <c r="Q37" s="2"/>
      <c r="R37" s="6">
        <f t="shared" si="26"/>
        <v>1.3111427423107478E-2</v>
      </c>
      <c r="S37" s="2"/>
      <c r="T37" s="7"/>
      <c r="U37" s="2"/>
      <c r="V37" s="6">
        <f t="shared" si="27"/>
        <v>0</v>
      </c>
      <c r="W37" s="2"/>
      <c r="X37" s="7">
        <f t="shared" si="28"/>
        <v>612</v>
      </c>
      <c r="Y37" s="2"/>
      <c r="Z37" s="6">
        <f t="shared" si="2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6323.44</v>
      </c>
      <c r="E38" s="2"/>
      <c r="F38" s="6">
        <f t="shared" si="22"/>
        <v>0.13547275265420711</v>
      </c>
      <c r="G38" s="2"/>
      <c r="H38" s="7">
        <v>2799.5</v>
      </c>
      <c r="I38" s="2"/>
      <c r="J38" s="6">
        <f t="shared" si="23"/>
        <v>0</v>
      </c>
      <c r="K38" s="2"/>
      <c r="L38" s="7">
        <f t="shared" si="24"/>
        <v>3523.9399999999996</v>
      </c>
      <c r="M38" s="2"/>
      <c r="N38" s="6">
        <f t="shared" si="25"/>
        <v>1.2587747812109304</v>
      </c>
      <c r="O38" s="11"/>
      <c r="P38" s="7">
        <v>6323.44</v>
      </c>
      <c r="Q38" s="2"/>
      <c r="R38" s="6">
        <f t="shared" si="26"/>
        <v>0.13547275265420711</v>
      </c>
      <c r="S38" s="2"/>
      <c r="T38" s="7">
        <v>2799.5</v>
      </c>
      <c r="U38" s="2"/>
      <c r="V38" s="6">
        <f t="shared" si="27"/>
        <v>0</v>
      </c>
      <c r="W38" s="2"/>
      <c r="X38" s="7">
        <f t="shared" si="28"/>
        <v>3523.9399999999996</v>
      </c>
      <c r="Y38" s="2"/>
      <c r="Z38" s="6">
        <f t="shared" si="29"/>
        <v>1.2587747812109304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2085</v>
      </c>
      <c r="E39" s="2"/>
      <c r="F39" s="6">
        <f t="shared" si="22"/>
        <v>4.4668833622841651E-2</v>
      </c>
      <c r="G39" s="2"/>
      <c r="H39" s="7"/>
      <c r="I39" s="2"/>
      <c r="J39" s="6">
        <f t="shared" si="23"/>
        <v>0</v>
      </c>
      <c r="K39" s="2"/>
      <c r="L39" s="7">
        <f t="shared" si="24"/>
        <v>2085</v>
      </c>
      <c r="M39" s="2"/>
      <c r="N39" s="6">
        <f t="shared" si="25"/>
        <v>0</v>
      </c>
      <c r="O39" s="11"/>
      <c r="P39" s="7">
        <v>2085</v>
      </c>
      <c r="Q39" s="2"/>
      <c r="R39" s="6">
        <f t="shared" si="26"/>
        <v>4.4668833622841651E-2</v>
      </c>
      <c r="S39" s="2"/>
      <c r="T39" s="7"/>
      <c r="U39" s="2"/>
      <c r="V39" s="6">
        <f t="shared" si="27"/>
        <v>0</v>
      </c>
      <c r="W39" s="2"/>
      <c r="X39" s="7">
        <f t="shared" si="28"/>
        <v>2085</v>
      </c>
      <c r="Y39" s="2"/>
      <c r="Z39" s="6">
        <f t="shared" si="29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422.69</v>
      </c>
      <c r="E40" s="1"/>
      <c r="F40" s="5">
        <f t="shared" ref="F40:F55" si="30">IF(D$12=0,0,D40/D$12)</f>
        <v>9.0556687213616018E-3</v>
      </c>
      <c r="G40" s="1"/>
      <c r="H40" s="1">
        <f>SUM(OSRRefH22_2x_0)</f>
        <v>714.32</v>
      </c>
      <c r="I40" s="1"/>
      <c r="J40" s="5">
        <f t="shared" ref="J40:J55" si="31">IF(H$12=0,0,H40/H$12)</f>
        <v>0</v>
      </c>
      <c r="K40" s="1"/>
      <c r="L40" s="1">
        <f t="shared" ref="L40:L55" si="32">+D40-H40</f>
        <v>-291.63000000000005</v>
      </c>
      <c r="M40" s="1"/>
      <c r="N40" s="5">
        <f t="shared" ref="N40:N55" si="33">IF(H40=0,0,L40/H40)</f>
        <v>-0.4082624034046366</v>
      </c>
      <c r="O40" s="14"/>
      <c r="P40" s="1">
        <f>SUM(OSRRefP22_2x_0)</f>
        <v>422.69</v>
      </c>
      <c r="Q40" s="1"/>
      <c r="R40" s="5">
        <f t="shared" ref="R40:R55" si="34">IF(P$12=0,0,P40/P$12)</f>
        <v>9.0556687213616018E-3</v>
      </c>
      <c r="S40" s="1"/>
      <c r="T40" s="1">
        <f>SUM(OSRRefT22_2x_0)</f>
        <v>714.32</v>
      </c>
      <c r="U40" s="1"/>
      <c r="V40" s="5">
        <f t="shared" ref="V40:V55" si="35">IF(T$12=0,0,T40/T$12)</f>
        <v>0</v>
      </c>
      <c r="W40" s="1"/>
      <c r="X40" s="1">
        <f t="shared" ref="X40:X55" si="36">+P40-T40</f>
        <v>-291.63000000000005</v>
      </c>
      <c r="Y40" s="1"/>
      <c r="Z40" s="5">
        <f t="shared" ref="Z40:Z55" si="37">IF(T40=0,0,X40/T40)</f>
        <v>-0.4082624034046366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422.69</v>
      </c>
      <c r="E41" s="2"/>
      <c r="F41" s="6">
        <f t="shared" si="30"/>
        <v>9.0556687213616018E-3</v>
      </c>
      <c r="G41" s="2"/>
      <c r="H41" s="7">
        <v>714.32</v>
      </c>
      <c r="I41" s="2"/>
      <c r="J41" s="6">
        <f t="shared" si="31"/>
        <v>0</v>
      </c>
      <c r="K41" s="2"/>
      <c r="L41" s="7">
        <f t="shared" si="32"/>
        <v>-291.63000000000005</v>
      </c>
      <c r="M41" s="2"/>
      <c r="N41" s="6">
        <f t="shared" si="33"/>
        <v>-0.4082624034046366</v>
      </c>
      <c r="O41" s="11"/>
      <c r="P41" s="7">
        <v>422.69</v>
      </c>
      <c r="Q41" s="2"/>
      <c r="R41" s="6">
        <f t="shared" si="34"/>
        <v>9.0556687213616018E-3</v>
      </c>
      <c r="S41" s="2"/>
      <c r="T41" s="7">
        <v>714.32</v>
      </c>
      <c r="U41" s="2"/>
      <c r="V41" s="6">
        <f t="shared" si="35"/>
        <v>0</v>
      </c>
      <c r="W41" s="2"/>
      <c r="X41" s="7">
        <f t="shared" si="36"/>
        <v>-291.63000000000005</v>
      </c>
      <c r="Y41" s="2"/>
      <c r="Z41" s="6">
        <f t="shared" si="37"/>
        <v>-0.4082624034046366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0.2</v>
      </c>
      <c r="E42" s="1"/>
      <c r="F42" s="5">
        <f t="shared" si="30"/>
        <v>4.2847802036298947E-6</v>
      </c>
      <c r="G42" s="1"/>
      <c r="H42" s="1">
        <f>SUM(OSRRefH22_3x_0)</f>
        <v>0</v>
      </c>
      <c r="I42" s="1"/>
      <c r="J42" s="5">
        <f t="shared" si="31"/>
        <v>0</v>
      </c>
      <c r="K42" s="1"/>
      <c r="L42" s="1">
        <f t="shared" si="32"/>
        <v>0.2</v>
      </c>
      <c r="M42" s="1"/>
      <c r="N42" s="5">
        <f t="shared" si="33"/>
        <v>0</v>
      </c>
      <c r="O42" s="14"/>
      <c r="P42" s="1">
        <f>SUM(OSRRefP22_3x_0)</f>
        <v>0.2</v>
      </c>
      <c r="Q42" s="1"/>
      <c r="R42" s="5">
        <f t="shared" si="34"/>
        <v>4.2847802036298947E-6</v>
      </c>
      <c r="S42" s="1"/>
      <c r="T42" s="1">
        <f>SUM(OSRRefT22_3x_0)</f>
        <v>0</v>
      </c>
      <c r="U42" s="1"/>
      <c r="V42" s="5">
        <f t="shared" si="35"/>
        <v>0</v>
      </c>
      <c r="W42" s="1"/>
      <c r="X42" s="1">
        <f t="shared" si="36"/>
        <v>0.2</v>
      </c>
      <c r="Y42" s="1"/>
      <c r="Z42" s="5">
        <f t="shared" si="37"/>
        <v>0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0.2</v>
      </c>
      <c r="E43" s="2"/>
      <c r="F43" s="6">
        <f t="shared" si="30"/>
        <v>4.2847802036298947E-6</v>
      </c>
      <c r="G43" s="2"/>
      <c r="H43" s="7"/>
      <c r="I43" s="2"/>
      <c r="J43" s="6">
        <f t="shared" si="31"/>
        <v>0</v>
      </c>
      <c r="K43" s="2"/>
      <c r="L43" s="7">
        <f t="shared" si="32"/>
        <v>0.2</v>
      </c>
      <c r="M43" s="2"/>
      <c r="N43" s="6">
        <f t="shared" si="33"/>
        <v>0</v>
      </c>
      <c r="O43" s="11"/>
      <c r="P43" s="7">
        <v>0.2</v>
      </c>
      <c r="Q43" s="2"/>
      <c r="R43" s="6">
        <f t="shared" si="34"/>
        <v>4.2847802036298947E-6</v>
      </c>
      <c r="S43" s="2"/>
      <c r="T43" s="7"/>
      <c r="U43" s="2"/>
      <c r="V43" s="6">
        <f t="shared" si="35"/>
        <v>0</v>
      </c>
      <c r="W43" s="2"/>
      <c r="X43" s="7">
        <f t="shared" si="36"/>
        <v>0.2</v>
      </c>
      <c r="Y43" s="2"/>
      <c r="Z43" s="6">
        <f t="shared" si="37"/>
        <v>0</v>
      </c>
    </row>
    <row r="44" spans="1:26" s="28" customFormat="1" outlineLevel="1" collapsed="1" x14ac:dyDescent="0.2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30"/>
        <v>0</v>
      </c>
      <c r="G44" s="1"/>
      <c r="H44" s="1">
        <f>SUM(OSRRefH22_4x_0)</f>
        <v>37.21</v>
      </c>
      <c r="I44" s="1"/>
      <c r="J44" s="5">
        <f t="shared" si="31"/>
        <v>0</v>
      </c>
      <c r="K44" s="1"/>
      <c r="L44" s="1">
        <f t="shared" si="32"/>
        <v>-37.21</v>
      </c>
      <c r="M44" s="1"/>
      <c r="N44" s="5">
        <f t="shared" si="33"/>
        <v>-1</v>
      </c>
      <c r="O44" s="14"/>
      <c r="P44" s="1">
        <f>SUM(OSRRefP22_4x_0)</f>
        <v>0</v>
      </c>
      <c r="Q44" s="1"/>
      <c r="R44" s="5">
        <f t="shared" si="34"/>
        <v>0</v>
      </c>
      <c r="S44" s="1"/>
      <c r="T44" s="1">
        <f>SUM(OSRRefT22_4x_0)</f>
        <v>37.21</v>
      </c>
      <c r="U44" s="1"/>
      <c r="V44" s="5">
        <f t="shared" si="35"/>
        <v>0</v>
      </c>
      <c r="W44" s="1"/>
      <c r="X44" s="1">
        <f t="shared" si="36"/>
        <v>-37.21</v>
      </c>
      <c r="Y44" s="1"/>
      <c r="Z44" s="5">
        <f t="shared" si="37"/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30"/>
        <v>0</v>
      </c>
      <c r="G45" s="2"/>
      <c r="H45" s="7">
        <v>37.21</v>
      </c>
      <c r="I45" s="2"/>
      <c r="J45" s="6">
        <f t="shared" si="31"/>
        <v>0</v>
      </c>
      <c r="K45" s="2"/>
      <c r="L45" s="7">
        <f t="shared" si="32"/>
        <v>-37.21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37.21</v>
      </c>
      <c r="U45" s="2"/>
      <c r="V45" s="6">
        <f t="shared" si="35"/>
        <v>0</v>
      </c>
      <c r="W45" s="2"/>
      <c r="X45" s="7">
        <f t="shared" si="36"/>
        <v>-37.21</v>
      </c>
      <c r="Y45" s="2"/>
      <c r="Z45" s="6">
        <f t="shared" si="37"/>
        <v>-1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1517.11</v>
      </c>
      <c r="E46" s="1"/>
      <c r="F46" s="5">
        <f t="shared" si="30"/>
        <v>3.2502414473644749E-2</v>
      </c>
      <c r="G46" s="1"/>
      <c r="H46" s="1">
        <f>SUM(OSRRefH22_5x_0)</f>
        <v>1495.53</v>
      </c>
      <c r="I46" s="1"/>
      <c r="J46" s="5">
        <f t="shared" si="31"/>
        <v>0</v>
      </c>
      <c r="K46" s="1"/>
      <c r="L46" s="1">
        <f t="shared" si="32"/>
        <v>21.579999999999927</v>
      </c>
      <c r="M46" s="1"/>
      <c r="N46" s="5">
        <f t="shared" si="33"/>
        <v>1.4429667074548774E-2</v>
      </c>
      <c r="O46" s="14"/>
      <c r="P46" s="1">
        <f>SUM(OSRRefP22_5x_0)</f>
        <v>1517.11</v>
      </c>
      <c r="Q46" s="1"/>
      <c r="R46" s="5">
        <f t="shared" si="34"/>
        <v>3.2502414473644749E-2</v>
      </c>
      <c r="S46" s="1"/>
      <c r="T46" s="1">
        <f>SUM(OSRRefT22_5x_0)</f>
        <v>1495.53</v>
      </c>
      <c r="U46" s="1"/>
      <c r="V46" s="5">
        <f t="shared" si="35"/>
        <v>0</v>
      </c>
      <c r="W46" s="1"/>
      <c r="X46" s="1">
        <f t="shared" si="36"/>
        <v>21.579999999999927</v>
      </c>
      <c r="Y46" s="1"/>
      <c r="Z46" s="5">
        <f t="shared" si="37"/>
        <v>1.4429667074548774E-2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1517.11</v>
      </c>
      <c r="E47" s="2"/>
      <c r="F47" s="6">
        <f t="shared" si="30"/>
        <v>3.2502414473644749E-2</v>
      </c>
      <c r="G47" s="2"/>
      <c r="H47" s="7">
        <v>1495.53</v>
      </c>
      <c r="I47" s="2"/>
      <c r="J47" s="6">
        <f t="shared" si="31"/>
        <v>0</v>
      </c>
      <c r="K47" s="2"/>
      <c r="L47" s="7">
        <f t="shared" si="32"/>
        <v>21.579999999999927</v>
      </c>
      <c r="M47" s="2"/>
      <c r="N47" s="6">
        <f t="shared" si="33"/>
        <v>1.4429667074548774E-2</v>
      </c>
      <c r="O47" s="11"/>
      <c r="P47" s="7">
        <v>1517.11</v>
      </c>
      <c r="Q47" s="2"/>
      <c r="R47" s="6">
        <f t="shared" si="34"/>
        <v>3.2502414473644749E-2</v>
      </c>
      <c r="S47" s="2"/>
      <c r="T47" s="7">
        <v>1495.53</v>
      </c>
      <c r="U47" s="2"/>
      <c r="V47" s="6">
        <f t="shared" si="35"/>
        <v>0</v>
      </c>
      <c r="W47" s="2"/>
      <c r="X47" s="7">
        <f t="shared" si="36"/>
        <v>21.579999999999927</v>
      </c>
      <c r="Y47" s="2"/>
      <c r="Z47" s="6">
        <f t="shared" si="37"/>
        <v>1.4429667074548774E-2</v>
      </c>
    </row>
    <row r="48" spans="1:26" s="28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SUM(OSRRefD22_6x_0)</f>
        <v>5.9</v>
      </c>
      <c r="E48" s="1"/>
      <c r="F48" s="5">
        <f t="shared" si="30"/>
        <v>1.2640101600708189E-4</v>
      </c>
      <c r="G48" s="1"/>
      <c r="H48" s="1">
        <f>SUM(OSRRefH22_6x_0)</f>
        <v>4.93</v>
      </c>
      <c r="I48" s="1"/>
      <c r="J48" s="5">
        <f t="shared" si="31"/>
        <v>0</v>
      </c>
      <c r="K48" s="1"/>
      <c r="L48" s="1">
        <f t="shared" si="32"/>
        <v>0.97000000000000064</v>
      </c>
      <c r="M48" s="1"/>
      <c r="N48" s="5">
        <f t="shared" si="33"/>
        <v>0.19675456389452348</v>
      </c>
      <c r="O48" s="14"/>
      <c r="P48" s="1">
        <f>SUM(OSRRefP22_6x_0)</f>
        <v>5.9</v>
      </c>
      <c r="Q48" s="1"/>
      <c r="R48" s="5">
        <f t="shared" si="34"/>
        <v>1.2640101600708189E-4</v>
      </c>
      <c r="S48" s="1"/>
      <c r="T48" s="1">
        <f>SUM(OSRRefT22_6x_0)</f>
        <v>4.93</v>
      </c>
      <c r="U48" s="1"/>
      <c r="V48" s="5">
        <f t="shared" si="35"/>
        <v>0</v>
      </c>
      <c r="W48" s="1"/>
      <c r="X48" s="1">
        <f t="shared" si="36"/>
        <v>0.97000000000000064</v>
      </c>
      <c r="Y48" s="1"/>
      <c r="Z48" s="5">
        <f t="shared" si="37"/>
        <v>0.19675456389452348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7">
        <v>5.9</v>
      </c>
      <c r="E49" s="2"/>
      <c r="F49" s="6">
        <f t="shared" si="30"/>
        <v>1.2640101600708189E-4</v>
      </c>
      <c r="G49" s="2"/>
      <c r="H49" s="7">
        <v>4.93</v>
      </c>
      <c r="I49" s="2"/>
      <c r="J49" s="6">
        <f t="shared" si="31"/>
        <v>0</v>
      </c>
      <c r="K49" s="2"/>
      <c r="L49" s="7">
        <f t="shared" si="32"/>
        <v>0.97000000000000064</v>
      </c>
      <c r="M49" s="2"/>
      <c r="N49" s="6">
        <f t="shared" si="33"/>
        <v>0.19675456389452348</v>
      </c>
      <c r="O49" s="11"/>
      <c r="P49" s="7">
        <v>5.9</v>
      </c>
      <c r="Q49" s="2"/>
      <c r="R49" s="6">
        <f t="shared" si="34"/>
        <v>1.2640101600708189E-4</v>
      </c>
      <c r="S49" s="2"/>
      <c r="T49" s="7">
        <v>4.93</v>
      </c>
      <c r="U49" s="2"/>
      <c r="V49" s="6">
        <f t="shared" si="35"/>
        <v>0</v>
      </c>
      <c r="W49" s="2"/>
      <c r="X49" s="7">
        <f t="shared" si="36"/>
        <v>0.97000000000000064</v>
      </c>
      <c r="Y49" s="2"/>
      <c r="Z49" s="6">
        <f t="shared" si="37"/>
        <v>0.19675456389452348</v>
      </c>
    </row>
    <row r="50" spans="1:26" s="28" customFormat="1" outlineLevel="1" collapsed="1" x14ac:dyDescent="0.25">
      <c r="A50" s="27"/>
      <c r="B50" s="14" t="str">
        <f>CONCATENATE("     ","R/H Commissions                                   ")</f>
        <v xml:space="preserve">     R/H Commissions                                   </v>
      </c>
      <c r="C50" s="14"/>
      <c r="D50" s="1">
        <f>SUM(OSRRefD22_7x_0)</f>
        <v>3681.29</v>
      </c>
      <c r="E50" s="1"/>
      <c r="F50" s="5">
        <f t="shared" si="30"/>
        <v>7.8867592579103474E-2</v>
      </c>
      <c r="G50" s="1"/>
      <c r="H50" s="1">
        <f>SUM(OSRRefH22_7x_0)</f>
        <v>0</v>
      </c>
      <c r="I50" s="1"/>
      <c r="J50" s="5">
        <f t="shared" si="31"/>
        <v>0</v>
      </c>
      <c r="K50" s="1"/>
      <c r="L50" s="1">
        <f t="shared" si="32"/>
        <v>3681.29</v>
      </c>
      <c r="M50" s="1"/>
      <c r="N50" s="5">
        <f t="shared" si="33"/>
        <v>0</v>
      </c>
      <c r="O50" s="14"/>
      <c r="P50" s="1">
        <f>SUM(OSRRefP22_7x_0)</f>
        <v>3681.29</v>
      </c>
      <c r="Q50" s="1"/>
      <c r="R50" s="5">
        <f t="shared" si="34"/>
        <v>7.8867592579103474E-2</v>
      </c>
      <c r="S50" s="1"/>
      <c r="T50" s="1">
        <f>SUM(OSRRefT22_7x_0)</f>
        <v>0</v>
      </c>
      <c r="U50" s="1"/>
      <c r="V50" s="5">
        <f t="shared" si="35"/>
        <v>0</v>
      </c>
      <c r="W50" s="1"/>
      <c r="X50" s="1">
        <f t="shared" si="36"/>
        <v>3681.29</v>
      </c>
      <c r="Y50" s="1"/>
      <c r="Z50" s="5">
        <f t="shared" si="37"/>
        <v>0</v>
      </c>
    </row>
    <row r="51" spans="1:26" s="24" customFormat="1" hidden="1" outlineLevel="2" x14ac:dyDescent="0.25">
      <c r="A51" s="29"/>
      <c r="B51" s="11" t="str">
        <f>CONCATENATE("          ", "6387", " - ", "COMMISSION DUE HOUSING")</f>
        <v xml:space="preserve">          6387 - COMMISSION DUE HOUSING</v>
      </c>
      <c r="C51" s="11"/>
      <c r="D51" s="7">
        <v>3681.29</v>
      </c>
      <c r="E51" s="2"/>
      <c r="F51" s="6">
        <f t="shared" si="30"/>
        <v>7.8867592579103474E-2</v>
      </c>
      <c r="G51" s="2"/>
      <c r="H51" s="7"/>
      <c r="I51" s="2"/>
      <c r="J51" s="6">
        <f t="shared" si="31"/>
        <v>0</v>
      </c>
      <c r="K51" s="2"/>
      <c r="L51" s="7">
        <f t="shared" si="32"/>
        <v>3681.29</v>
      </c>
      <c r="M51" s="2"/>
      <c r="N51" s="6">
        <f t="shared" si="33"/>
        <v>0</v>
      </c>
      <c r="O51" s="11"/>
      <c r="P51" s="7">
        <v>3681.29</v>
      </c>
      <c r="Q51" s="2"/>
      <c r="R51" s="6">
        <f t="shared" si="34"/>
        <v>7.8867592579103474E-2</v>
      </c>
      <c r="S51" s="2"/>
      <c r="T51" s="7"/>
      <c r="U51" s="2"/>
      <c r="V51" s="6">
        <f t="shared" si="35"/>
        <v>0</v>
      </c>
      <c r="W51" s="2"/>
      <c r="X51" s="7">
        <f t="shared" si="36"/>
        <v>3681.29</v>
      </c>
      <c r="Y51" s="2"/>
      <c r="Z51" s="6">
        <f t="shared" si="37"/>
        <v>0</v>
      </c>
    </row>
    <row r="52" spans="1:26" s="28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6968.1400000000012</v>
      </c>
      <c r="E52" s="1"/>
      <c r="F52" s="5">
        <f t="shared" si="30"/>
        <v>0.14928474164060809</v>
      </c>
      <c r="G52" s="1"/>
      <c r="H52" s="1">
        <f>SUM(OSRRefH22_8x_0)</f>
        <v>-2658.4900000000002</v>
      </c>
      <c r="I52" s="1"/>
      <c r="J52" s="5">
        <f t="shared" si="31"/>
        <v>0</v>
      </c>
      <c r="K52" s="1"/>
      <c r="L52" s="1">
        <f t="shared" si="32"/>
        <v>9626.630000000001</v>
      </c>
      <c r="M52" s="1"/>
      <c r="N52" s="5">
        <f t="shared" si="33"/>
        <v>-3.6210894154200317</v>
      </c>
      <c r="O52" s="14"/>
      <c r="P52" s="1">
        <f>SUM(OSRRefP22_8x_0)</f>
        <v>6968.1400000000012</v>
      </c>
      <c r="Q52" s="1"/>
      <c r="R52" s="5">
        <f t="shared" si="34"/>
        <v>0.14928474164060809</v>
      </c>
      <c r="S52" s="1"/>
      <c r="T52" s="1">
        <f>SUM(OSRRefT22_8x_0)</f>
        <v>-2658.4900000000002</v>
      </c>
      <c r="U52" s="1"/>
      <c r="V52" s="5">
        <f t="shared" si="35"/>
        <v>0</v>
      </c>
      <c r="W52" s="1"/>
      <c r="X52" s="1">
        <f t="shared" si="36"/>
        <v>9626.630000000001</v>
      </c>
      <c r="Y52" s="1"/>
      <c r="Z52" s="5">
        <f t="shared" si="37"/>
        <v>-3.6210894154200317</v>
      </c>
    </row>
    <row r="53" spans="1:26" s="24" customFormat="1" hidden="1" outlineLevel="2" x14ac:dyDescent="0.25">
      <c r="A53" s="29"/>
      <c r="B53" s="11" t="str">
        <f>CONCATENATE("          ", "6282", " - ", "JANITORIAL/EXTERMINATOR EXPENS")</f>
        <v xml:space="preserve">          6282 - JANITORIAL/EXTERMINATOR EXPENS</v>
      </c>
      <c r="C53" s="11"/>
      <c r="D53" s="7">
        <v>669.64</v>
      </c>
      <c r="E53" s="2"/>
      <c r="F53" s="6">
        <f t="shared" si="30"/>
        <v>1.4346301077793612E-2</v>
      </c>
      <c r="G53" s="2"/>
      <c r="H53" s="7">
        <v>669.64</v>
      </c>
      <c r="I53" s="2"/>
      <c r="J53" s="6">
        <f t="shared" si="31"/>
        <v>0</v>
      </c>
      <c r="K53" s="2"/>
      <c r="L53" s="7">
        <f t="shared" si="32"/>
        <v>0</v>
      </c>
      <c r="M53" s="2"/>
      <c r="N53" s="6">
        <f t="shared" si="33"/>
        <v>0</v>
      </c>
      <c r="O53" s="11"/>
      <c r="P53" s="7">
        <v>669.64</v>
      </c>
      <c r="Q53" s="2"/>
      <c r="R53" s="6">
        <f t="shared" si="34"/>
        <v>1.4346301077793612E-2</v>
      </c>
      <c r="S53" s="2"/>
      <c r="T53" s="7">
        <v>669.64</v>
      </c>
      <c r="U53" s="2"/>
      <c r="V53" s="6">
        <f t="shared" si="35"/>
        <v>0</v>
      </c>
      <c r="W53" s="2"/>
      <c r="X53" s="7">
        <f t="shared" si="36"/>
        <v>0</v>
      </c>
      <c r="Y53" s="2"/>
      <c r="Z53" s="6">
        <f t="shared" si="37"/>
        <v>0</v>
      </c>
    </row>
    <row r="54" spans="1:26" s="24" customFormat="1" hidden="1" outlineLevel="2" x14ac:dyDescent="0.25">
      <c r="A54" s="29"/>
      <c r="B54" s="11" t="str">
        <f>CONCATENATE("          ", "6285", " - ", "JANITORIAL SERVICES")</f>
        <v xml:space="preserve">          6285 - JANITORIAL SERVICES</v>
      </c>
      <c r="C54" s="11"/>
      <c r="D54" s="7">
        <v>5024.7700000000004</v>
      </c>
      <c r="E54" s="2"/>
      <c r="F54" s="6">
        <f t="shared" si="30"/>
        <v>0.10765017511896693</v>
      </c>
      <c r="G54" s="2"/>
      <c r="H54" s="7">
        <v>-3378.23</v>
      </c>
      <c r="I54" s="2"/>
      <c r="J54" s="6">
        <f t="shared" si="31"/>
        <v>0</v>
      </c>
      <c r="K54" s="2"/>
      <c r="L54" s="7">
        <f t="shared" si="32"/>
        <v>8403</v>
      </c>
      <c r="M54" s="2"/>
      <c r="N54" s="6">
        <f t="shared" si="33"/>
        <v>-2.4873972464870655</v>
      </c>
      <c r="O54" s="11"/>
      <c r="P54" s="7">
        <v>5024.7700000000004</v>
      </c>
      <c r="Q54" s="2"/>
      <c r="R54" s="6">
        <f t="shared" si="34"/>
        <v>0.10765017511896693</v>
      </c>
      <c r="S54" s="2"/>
      <c r="T54" s="7">
        <v>-3378.23</v>
      </c>
      <c r="U54" s="2"/>
      <c r="V54" s="6">
        <f t="shared" si="35"/>
        <v>0</v>
      </c>
      <c r="W54" s="2"/>
      <c r="X54" s="7">
        <f t="shared" si="36"/>
        <v>8403</v>
      </c>
      <c r="Y54" s="2"/>
      <c r="Z54" s="6">
        <f t="shared" si="37"/>
        <v>-2.4873972464870655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7">
        <v>1273.73</v>
      </c>
      <c r="E55" s="2"/>
      <c r="F55" s="6">
        <f t="shared" si="30"/>
        <v>2.7288265443847531E-2</v>
      </c>
      <c r="G55" s="2"/>
      <c r="H55" s="7">
        <v>50.1</v>
      </c>
      <c r="I55" s="2"/>
      <c r="J55" s="6">
        <f t="shared" si="31"/>
        <v>0</v>
      </c>
      <c r="K55" s="2"/>
      <c r="L55" s="7">
        <f t="shared" si="32"/>
        <v>1223.6300000000001</v>
      </c>
      <c r="M55" s="2"/>
      <c r="N55" s="6">
        <f t="shared" si="33"/>
        <v>24.423752495009982</v>
      </c>
      <c r="O55" s="11"/>
      <c r="P55" s="7">
        <v>1273.73</v>
      </c>
      <c r="Q55" s="2"/>
      <c r="R55" s="6">
        <f t="shared" si="34"/>
        <v>2.7288265443847531E-2</v>
      </c>
      <c r="S55" s="2"/>
      <c r="T55" s="7">
        <v>50.1</v>
      </c>
      <c r="U55" s="2"/>
      <c r="V55" s="6">
        <f t="shared" si="35"/>
        <v>0</v>
      </c>
      <c r="W55" s="2"/>
      <c r="X55" s="7">
        <f t="shared" si="36"/>
        <v>1223.6300000000001</v>
      </c>
      <c r="Y55" s="2"/>
      <c r="Z55" s="6">
        <f t="shared" si="37"/>
        <v>24.423752495009982</v>
      </c>
    </row>
    <row r="56" spans="1:26" s="28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12088.16</v>
      </c>
      <c r="E56" s="1"/>
      <c r="F56" s="5">
        <f t="shared" ref="F56:F60" si="38">IF(D$12=0,0,D56/D$12)</f>
        <v>0.25897554333155376</v>
      </c>
      <c r="G56" s="1"/>
      <c r="H56" s="1">
        <f>SUM(OSRRefH22_9x_0)</f>
        <v>4495.54</v>
      </c>
      <c r="I56" s="1"/>
      <c r="J56" s="5">
        <f t="shared" ref="J56:J60" si="39">IF(H$12=0,0,H56/H$12)</f>
        <v>0</v>
      </c>
      <c r="K56" s="1"/>
      <c r="L56" s="1">
        <f t="shared" ref="L56:L60" si="40">+D56-H56</f>
        <v>7592.62</v>
      </c>
      <c r="M56" s="1"/>
      <c r="N56" s="5">
        <f t="shared" ref="N56:N60" si="41">IF(H56=0,0,L56/H56)</f>
        <v>1.6889227990408271</v>
      </c>
      <c r="O56" s="14"/>
      <c r="P56" s="1">
        <f>SUM(OSRRefP22_9x_0)</f>
        <v>12088.16</v>
      </c>
      <c r="Q56" s="1"/>
      <c r="R56" s="5">
        <f t="shared" ref="R56:R60" si="42">IF(P$12=0,0,P56/P$12)</f>
        <v>0.25897554333155376</v>
      </c>
      <c r="S56" s="1"/>
      <c r="T56" s="1">
        <f>SUM(OSRRefT22_9x_0)</f>
        <v>4495.54</v>
      </c>
      <c r="U56" s="1"/>
      <c r="V56" s="5">
        <f t="shared" ref="V56:V60" si="43">IF(T$12=0,0,T56/T$12)</f>
        <v>0</v>
      </c>
      <c r="W56" s="1"/>
      <c r="X56" s="1">
        <f t="shared" ref="X56:X60" si="44">+P56-T56</f>
        <v>7592.62</v>
      </c>
      <c r="Y56" s="1"/>
      <c r="Z56" s="5">
        <f t="shared" ref="Z56:Z60" si="45">IF(T56=0,0,X56/T56)</f>
        <v>1.6889227990408271</v>
      </c>
    </row>
    <row r="57" spans="1:26" s="24" customFormat="1" hidden="1" outlineLevel="2" x14ac:dyDescent="0.25">
      <c r="A57" s="29"/>
      <c r="B57" s="11" t="str">
        <f>CONCATENATE("          ", "6239", " - ", "KITCHEN SUPPLIES")</f>
        <v xml:space="preserve">          6239 - KITCHEN SUPPLIES</v>
      </c>
      <c r="C57" s="11"/>
      <c r="D57" s="7">
        <v>478.24</v>
      </c>
      <c r="E57" s="2"/>
      <c r="F57" s="6">
        <f t="shared" si="38"/>
        <v>1.0245766422919805E-2</v>
      </c>
      <c r="G57" s="2"/>
      <c r="H57" s="7"/>
      <c r="I57" s="2"/>
      <c r="J57" s="6">
        <f t="shared" si="39"/>
        <v>0</v>
      </c>
      <c r="K57" s="2"/>
      <c r="L57" s="7">
        <f t="shared" si="40"/>
        <v>478.24</v>
      </c>
      <c r="M57" s="2"/>
      <c r="N57" s="6">
        <f t="shared" si="41"/>
        <v>0</v>
      </c>
      <c r="O57" s="11"/>
      <c r="P57" s="7">
        <v>478.24</v>
      </c>
      <c r="Q57" s="2"/>
      <c r="R57" s="6">
        <f t="shared" si="42"/>
        <v>1.0245766422919805E-2</v>
      </c>
      <c r="S57" s="2"/>
      <c r="T57" s="7"/>
      <c r="U57" s="2"/>
      <c r="V57" s="6">
        <f t="shared" si="43"/>
        <v>0</v>
      </c>
      <c r="W57" s="2"/>
      <c r="X57" s="7">
        <f t="shared" si="44"/>
        <v>478.24</v>
      </c>
      <c r="Y57" s="2"/>
      <c r="Z57" s="6">
        <f t="shared" si="45"/>
        <v>0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7">
        <v>19222.28</v>
      </c>
      <c r="E58" s="2"/>
      <c r="F58" s="6">
        <f t="shared" si="38"/>
        <v>0.41181622406315421</v>
      </c>
      <c r="G58" s="2"/>
      <c r="H58" s="7">
        <v>582.62</v>
      </c>
      <c r="I58" s="2"/>
      <c r="J58" s="6">
        <f t="shared" si="39"/>
        <v>0</v>
      </c>
      <c r="K58" s="2"/>
      <c r="L58" s="7">
        <f t="shared" si="40"/>
        <v>18639.66</v>
      </c>
      <c r="M58" s="2"/>
      <c r="N58" s="6">
        <f t="shared" si="41"/>
        <v>31.992825512340804</v>
      </c>
      <c r="O58" s="11"/>
      <c r="P58" s="7">
        <v>19222.28</v>
      </c>
      <c r="Q58" s="2"/>
      <c r="R58" s="6">
        <f t="shared" si="42"/>
        <v>0.41181622406315421</v>
      </c>
      <c r="S58" s="2"/>
      <c r="T58" s="7">
        <v>582.62</v>
      </c>
      <c r="U58" s="2"/>
      <c r="V58" s="6">
        <f t="shared" si="43"/>
        <v>0</v>
      </c>
      <c r="W58" s="2"/>
      <c r="X58" s="7">
        <f t="shared" si="44"/>
        <v>18639.66</v>
      </c>
      <c r="Y58" s="2"/>
      <c r="Z58" s="6">
        <f t="shared" si="45"/>
        <v>31.992825512340804</v>
      </c>
    </row>
    <row r="59" spans="1:26" s="24" customFormat="1" hidden="1" outlineLevel="2" x14ac:dyDescent="0.25">
      <c r="A59" s="29"/>
      <c r="B59" s="11" t="str">
        <f>CONCATENATE("          ", "6243", " - ", "PAPER SUPPLIES")</f>
        <v xml:space="preserve">          6243 - PAPER SUPPLIES</v>
      </c>
      <c r="C59" s="11"/>
      <c r="D59" s="7">
        <v>447.26</v>
      </c>
      <c r="E59" s="2"/>
      <c r="F59" s="6">
        <f t="shared" si="38"/>
        <v>9.5820539693775332E-3</v>
      </c>
      <c r="G59" s="2"/>
      <c r="H59" s="7">
        <v>315.02</v>
      </c>
      <c r="I59" s="2"/>
      <c r="J59" s="6">
        <f t="shared" si="39"/>
        <v>0</v>
      </c>
      <c r="K59" s="2"/>
      <c r="L59" s="7">
        <f t="shared" si="40"/>
        <v>132.24</v>
      </c>
      <c r="M59" s="2"/>
      <c r="N59" s="6">
        <f t="shared" si="41"/>
        <v>0.41978287092882999</v>
      </c>
      <c r="O59" s="11"/>
      <c r="P59" s="7">
        <v>447.26</v>
      </c>
      <c r="Q59" s="2"/>
      <c r="R59" s="6">
        <f t="shared" si="42"/>
        <v>9.5820539693775332E-3</v>
      </c>
      <c r="S59" s="2"/>
      <c r="T59" s="7">
        <v>315.02</v>
      </c>
      <c r="U59" s="2"/>
      <c r="V59" s="6">
        <f t="shared" si="43"/>
        <v>0</v>
      </c>
      <c r="W59" s="2"/>
      <c r="X59" s="7">
        <f t="shared" si="44"/>
        <v>132.24</v>
      </c>
      <c r="Y59" s="2"/>
      <c r="Z59" s="6">
        <f t="shared" si="45"/>
        <v>0.41978287092882999</v>
      </c>
    </row>
    <row r="60" spans="1:26" s="24" customFormat="1" hidden="1" outlineLevel="2" x14ac:dyDescent="0.25">
      <c r="A60" s="29"/>
      <c r="B60" s="11" t="str">
        <f>CONCATENATE("          ", "6248", " - ", "UNIFORMS")</f>
        <v xml:space="preserve">          6248 - UNIFORMS</v>
      </c>
      <c r="C60" s="11"/>
      <c r="D60" s="7">
        <v>-8059.62</v>
      </c>
      <c r="E60" s="2"/>
      <c r="F60" s="6">
        <f t="shared" si="38"/>
        <v>-0.17266850112389787</v>
      </c>
      <c r="G60" s="2"/>
      <c r="H60" s="7">
        <v>3597.9</v>
      </c>
      <c r="I60" s="2"/>
      <c r="J60" s="6">
        <f t="shared" si="39"/>
        <v>0</v>
      </c>
      <c r="K60" s="2"/>
      <c r="L60" s="7">
        <f t="shared" si="40"/>
        <v>-11657.52</v>
      </c>
      <c r="M60" s="2"/>
      <c r="N60" s="6">
        <f t="shared" si="41"/>
        <v>-3.2400900525306429</v>
      </c>
      <c r="O60" s="11"/>
      <c r="P60" s="7">
        <v>-8059.62</v>
      </c>
      <c r="Q60" s="2"/>
      <c r="R60" s="6">
        <f t="shared" si="42"/>
        <v>-0.17266850112389787</v>
      </c>
      <c r="S60" s="2"/>
      <c r="T60" s="7">
        <v>3597.9</v>
      </c>
      <c r="U60" s="2"/>
      <c r="V60" s="6">
        <f t="shared" si="43"/>
        <v>0</v>
      </c>
      <c r="W60" s="2"/>
      <c r="X60" s="7">
        <f t="shared" si="44"/>
        <v>-11657.52</v>
      </c>
      <c r="Y60" s="2"/>
      <c r="Z60" s="6">
        <f t="shared" si="45"/>
        <v>-3.2400900525306429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30</v>
      </c>
      <c r="E61" s="1"/>
      <c r="F61" s="5">
        <f t="shared" ref="F61:F66" si="46">IF(D$12=0,0,D61/D$12)</f>
        <v>6.4271703054448416E-4</v>
      </c>
      <c r="G61" s="1"/>
      <c r="H61" s="1">
        <f>SUM(OSRRefH22_10x_0)</f>
        <v>53.2</v>
      </c>
      <c r="I61" s="1"/>
      <c r="J61" s="5">
        <f t="shared" ref="J61:J66" si="47">IF(H$12=0,0,H61/H$12)</f>
        <v>0</v>
      </c>
      <c r="K61" s="1"/>
      <c r="L61" s="1">
        <f t="shared" ref="L61:L66" si="48">+D61-H61</f>
        <v>-23.200000000000003</v>
      </c>
      <c r="M61" s="1"/>
      <c r="N61" s="5">
        <f t="shared" ref="N61:N66" si="49">IF(H61=0,0,L61/H61)</f>
        <v>-0.43609022556390981</v>
      </c>
      <c r="O61" s="14"/>
      <c r="P61" s="1">
        <f>SUM(OSRRefP22_10x_0)</f>
        <v>30</v>
      </c>
      <c r="Q61" s="1"/>
      <c r="R61" s="5">
        <f t="shared" ref="R61:R66" si="50">IF(P$12=0,0,P61/P$12)</f>
        <v>6.4271703054448416E-4</v>
      </c>
      <c r="S61" s="1"/>
      <c r="T61" s="1">
        <f>SUM(OSRRefT22_10x_0)</f>
        <v>53.2</v>
      </c>
      <c r="U61" s="1"/>
      <c r="V61" s="5">
        <f t="shared" ref="V61:V66" si="51">IF(T$12=0,0,T61/T$12)</f>
        <v>0</v>
      </c>
      <c r="W61" s="1"/>
      <c r="X61" s="1">
        <f t="shared" ref="X61:X66" si="52">+P61-T61</f>
        <v>-23.200000000000003</v>
      </c>
      <c r="Y61" s="1"/>
      <c r="Z61" s="5">
        <f t="shared" ref="Z61:Z66" si="53">IF(T61=0,0,X61/T61)</f>
        <v>-0.43609022556390981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30</v>
      </c>
      <c r="E62" s="2"/>
      <c r="F62" s="6">
        <f t="shared" si="46"/>
        <v>6.4271703054448416E-4</v>
      </c>
      <c r="G62" s="2"/>
      <c r="H62" s="7">
        <v>53.2</v>
      </c>
      <c r="I62" s="2"/>
      <c r="J62" s="6">
        <f t="shared" si="47"/>
        <v>0</v>
      </c>
      <c r="K62" s="2"/>
      <c r="L62" s="7">
        <f t="shared" si="48"/>
        <v>-23.200000000000003</v>
      </c>
      <c r="M62" s="2"/>
      <c r="N62" s="6">
        <f t="shared" si="49"/>
        <v>-0.43609022556390981</v>
      </c>
      <c r="O62" s="11"/>
      <c r="P62" s="7">
        <v>30</v>
      </c>
      <c r="Q62" s="2"/>
      <c r="R62" s="6">
        <f t="shared" si="50"/>
        <v>6.4271703054448416E-4</v>
      </c>
      <c r="S62" s="2"/>
      <c r="T62" s="7">
        <v>53.2</v>
      </c>
      <c r="U62" s="2"/>
      <c r="V62" s="6">
        <f t="shared" si="51"/>
        <v>0</v>
      </c>
      <c r="W62" s="2"/>
      <c r="X62" s="7">
        <f t="shared" si="52"/>
        <v>-23.200000000000003</v>
      </c>
      <c r="Y62" s="2"/>
      <c r="Z62" s="6">
        <f t="shared" si="53"/>
        <v>-0.43609022556390981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1047.05</v>
      </c>
      <c r="E63" s="1"/>
      <c r="F63" s="5">
        <f t="shared" si="46"/>
        <v>2.2431895561053405E-2</v>
      </c>
      <c r="G63" s="1"/>
      <c r="H63" s="1">
        <f>SUM(OSRRefH22_11x_0)</f>
        <v>801.75</v>
      </c>
      <c r="I63" s="1"/>
      <c r="J63" s="5">
        <f t="shared" si="47"/>
        <v>0</v>
      </c>
      <c r="K63" s="1"/>
      <c r="L63" s="1">
        <f t="shared" si="48"/>
        <v>245.29999999999995</v>
      </c>
      <c r="M63" s="1"/>
      <c r="N63" s="5">
        <f t="shared" si="49"/>
        <v>0.30595572185843461</v>
      </c>
      <c r="O63" s="14"/>
      <c r="P63" s="1">
        <f>SUM(OSRRefP22_11x_0)</f>
        <v>1047.05</v>
      </c>
      <c r="Q63" s="1"/>
      <c r="R63" s="5">
        <f t="shared" si="50"/>
        <v>2.2431895561053405E-2</v>
      </c>
      <c r="S63" s="1"/>
      <c r="T63" s="1">
        <f>SUM(OSRRefT22_11x_0)</f>
        <v>801.75</v>
      </c>
      <c r="U63" s="1"/>
      <c r="V63" s="5">
        <f t="shared" si="51"/>
        <v>0</v>
      </c>
      <c r="W63" s="1"/>
      <c r="X63" s="1">
        <f t="shared" si="52"/>
        <v>245.29999999999995</v>
      </c>
      <c r="Y63" s="1"/>
      <c r="Z63" s="5">
        <f t="shared" si="53"/>
        <v>0.30595572185843461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7">
        <v>1047.05</v>
      </c>
      <c r="E64" s="2"/>
      <c r="F64" s="6">
        <f t="shared" si="46"/>
        <v>2.2431895561053405E-2</v>
      </c>
      <c r="G64" s="2"/>
      <c r="H64" s="7">
        <v>801.75</v>
      </c>
      <c r="I64" s="2"/>
      <c r="J64" s="6">
        <f t="shared" si="47"/>
        <v>0</v>
      </c>
      <c r="K64" s="2"/>
      <c r="L64" s="7">
        <f t="shared" si="48"/>
        <v>245.29999999999995</v>
      </c>
      <c r="M64" s="2"/>
      <c r="N64" s="6">
        <f t="shared" si="49"/>
        <v>0.30595572185843461</v>
      </c>
      <c r="O64" s="11"/>
      <c r="P64" s="7">
        <v>1047.05</v>
      </c>
      <c r="Q64" s="2"/>
      <c r="R64" s="6">
        <f t="shared" si="50"/>
        <v>2.2431895561053405E-2</v>
      </c>
      <c r="S64" s="2"/>
      <c r="T64" s="7">
        <v>801.75</v>
      </c>
      <c r="U64" s="2"/>
      <c r="V64" s="6">
        <f t="shared" si="51"/>
        <v>0</v>
      </c>
      <c r="W64" s="2"/>
      <c r="X64" s="7">
        <f t="shared" si="52"/>
        <v>245.29999999999995</v>
      </c>
      <c r="Y64" s="2"/>
      <c r="Z64" s="6">
        <f t="shared" si="53"/>
        <v>0.30595572185843461</v>
      </c>
    </row>
    <row r="65" spans="1:26" s="28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79.510000000000005</v>
      </c>
      <c r="E65" s="1"/>
      <c r="F65" s="5">
        <f t="shared" si="46"/>
        <v>1.7034143699530648E-3</v>
      </c>
      <c r="G65" s="1"/>
      <c r="H65" s="1">
        <f>SUM(OSRRefH22_12x_0)</f>
        <v>0</v>
      </c>
      <c r="I65" s="1"/>
      <c r="J65" s="5">
        <f t="shared" si="47"/>
        <v>0</v>
      </c>
      <c r="K65" s="1"/>
      <c r="L65" s="1">
        <f t="shared" si="48"/>
        <v>79.510000000000005</v>
      </c>
      <c r="M65" s="1"/>
      <c r="N65" s="5">
        <f t="shared" si="49"/>
        <v>0</v>
      </c>
      <c r="O65" s="14"/>
      <c r="P65" s="1">
        <f>SUM(OSRRefP22_12x_0)</f>
        <v>79.510000000000005</v>
      </c>
      <c r="Q65" s="1"/>
      <c r="R65" s="5">
        <f t="shared" si="50"/>
        <v>1.7034143699530648E-3</v>
      </c>
      <c r="S65" s="1"/>
      <c r="T65" s="1">
        <f>SUM(OSRRefT22_12x_0)</f>
        <v>0</v>
      </c>
      <c r="U65" s="1"/>
      <c r="V65" s="5">
        <f t="shared" si="51"/>
        <v>0</v>
      </c>
      <c r="W65" s="1"/>
      <c r="X65" s="1">
        <f t="shared" si="52"/>
        <v>79.510000000000005</v>
      </c>
      <c r="Y65" s="1"/>
      <c r="Z65" s="5">
        <f t="shared" si="53"/>
        <v>0</v>
      </c>
    </row>
    <row r="66" spans="1:26" s="24" customFormat="1" hidden="1" outlineLevel="2" x14ac:dyDescent="0.25">
      <c r="A66" s="29"/>
      <c r="B66" s="11" t="str">
        <f>CONCATENATE("          ", "6292", " - ", "TRAVEL/CONFERENCE")</f>
        <v xml:space="preserve">          6292 - TRAVEL/CONFERENCE</v>
      </c>
      <c r="C66" s="11"/>
      <c r="D66" s="7">
        <v>79.510000000000005</v>
      </c>
      <c r="E66" s="2"/>
      <c r="F66" s="6">
        <f t="shared" si="46"/>
        <v>1.7034143699530648E-3</v>
      </c>
      <c r="G66" s="2"/>
      <c r="H66" s="7"/>
      <c r="I66" s="2"/>
      <c r="J66" s="6">
        <f t="shared" si="47"/>
        <v>0</v>
      </c>
      <c r="K66" s="2"/>
      <c r="L66" s="7">
        <f t="shared" si="48"/>
        <v>79.510000000000005</v>
      </c>
      <c r="M66" s="2"/>
      <c r="N66" s="6">
        <f t="shared" si="49"/>
        <v>0</v>
      </c>
      <c r="O66" s="11"/>
      <c r="P66" s="7">
        <v>79.510000000000005</v>
      </c>
      <c r="Q66" s="2"/>
      <c r="R66" s="6">
        <f t="shared" si="50"/>
        <v>1.7034143699530648E-3</v>
      </c>
      <c r="S66" s="2"/>
      <c r="T66" s="7"/>
      <c r="U66" s="2"/>
      <c r="V66" s="6">
        <f t="shared" si="51"/>
        <v>0</v>
      </c>
      <c r="W66" s="2"/>
      <c r="X66" s="7">
        <f t="shared" si="52"/>
        <v>79.510000000000005</v>
      </c>
      <c r="Y66" s="2"/>
      <c r="Z66" s="6">
        <f t="shared" si="53"/>
        <v>0</v>
      </c>
    </row>
    <row r="67" spans="1:26" s="54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1">
        <f>+D20-D22+D68</f>
        <v>-50017.329999999994</v>
      </c>
      <c r="E70" s="13"/>
      <c r="F70" s="20">
        <f>IF(D$12=0,0,D70/D$12)</f>
        <v>-1.0715663271121181</v>
      </c>
      <c r="G70" s="13"/>
      <c r="H70" s="21">
        <f>+H20-H22+H68</f>
        <v>-54100.829999999987</v>
      </c>
      <c r="I70" s="13"/>
      <c r="J70" s="20">
        <f>IF(H$12=0,0,H70/H$12)</f>
        <v>0</v>
      </c>
      <c r="K70" s="16"/>
      <c r="L70" s="21">
        <f>+D70-H70</f>
        <v>4083.4999999999927</v>
      </c>
      <c r="M70" s="16"/>
      <c r="N70" s="20">
        <f>IF(H70=0,0,L70/H70)</f>
        <v>-7.5479433494827969E-2</v>
      </c>
      <c r="O70" s="26"/>
      <c r="P70" s="21">
        <f>+P20-P22+P68</f>
        <v>-50017.329999999994</v>
      </c>
      <c r="Q70" s="13"/>
      <c r="R70" s="20">
        <f>IF(P$12=0,0,P70/P$12)</f>
        <v>-1.0715663271121181</v>
      </c>
      <c r="S70" s="13"/>
      <c r="T70" s="21">
        <f>+T20-T22+T68</f>
        <v>-54100.829999999987</v>
      </c>
      <c r="U70" s="13"/>
      <c r="V70" s="20">
        <f>IF(T$12=0,0,T70/T$12)</f>
        <v>0</v>
      </c>
      <c r="W70" s="16"/>
      <c r="X70" s="21">
        <f>+P70-T70</f>
        <v>4083.4999999999927</v>
      </c>
      <c r="Y70" s="16"/>
      <c r="Z70" s="20">
        <f>IF(T70=0,0,X70/T70)</f>
        <v>-7.5479433494827969E-2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9705.49</v>
      </c>
      <c r="E72" s="4"/>
      <c r="F72" s="12">
        <f>IF(D$12=0,0,D72/D$12)</f>
        <v>0.20792945709263952</v>
      </c>
      <c r="G72" s="4"/>
      <c r="H72" s="4"/>
      <c r="I72" s="4"/>
      <c r="J72" s="12">
        <f>IF(H$12=0,0,H72/H$12)</f>
        <v>0</v>
      </c>
      <c r="K72" s="4"/>
      <c r="L72" s="4">
        <f>+D72-H72</f>
        <v>9705.49</v>
      </c>
      <c r="M72" s="4"/>
      <c r="N72" s="12">
        <f>IF(H72=0,0,L72/H72)</f>
        <v>0</v>
      </c>
      <c r="O72" s="10"/>
      <c r="P72" s="4">
        <v>9705.49</v>
      </c>
      <c r="Q72" s="4"/>
      <c r="R72" s="12">
        <f>IF(P$12=0,0,P72/P$12)</f>
        <v>0.20792945709263952</v>
      </c>
      <c r="S72" s="4"/>
      <c r="T72" s="4"/>
      <c r="U72" s="4"/>
      <c r="V72" s="12">
        <f>IF(T$12=0,0,T72/T$12)</f>
        <v>0</v>
      </c>
      <c r="W72" s="4"/>
      <c r="X72" s="4">
        <f>+P72-T72</f>
        <v>9705.49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3">
        <f>+D70-D72</f>
        <v>-59722.819999999992</v>
      </c>
      <c r="E74" s="13"/>
      <c r="F74" s="34">
        <f>IF(D$12=0,0,D74/D$12)</f>
        <v>-1.2794957842047576</v>
      </c>
      <c r="G74" s="13"/>
      <c r="H74" s="33">
        <f>+H70-H72</f>
        <v>-54100.829999999987</v>
      </c>
      <c r="I74" s="13"/>
      <c r="J74" s="34">
        <f>IF(H$12=0,0,H74/H$12)</f>
        <v>0</v>
      </c>
      <c r="K74" s="16"/>
      <c r="L74" s="33">
        <f>D74-H74</f>
        <v>-5621.9900000000052</v>
      </c>
      <c r="M74" s="16"/>
      <c r="N74" s="34">
        <f>IF(H74=0,0,L74/H74)</f>
        <v>0.10391688999965447</v>
      </c>
      <c r="O74" s="26"/>
      <c r="P74" s="33">
        <f>+P70-P72</f>
        <v>-59722.819999999992</v>
      </c>
      <c r="Q74" s="13"/>
      <c r="R74" s="34">
        <f>IF(P$12=0,0,P74/P$12)</f>
        <v>-1.2794957842047576</v>
      </c>
      <c r="S74" s="13"/>
      <c r="T74" s="33">
        <f>+T70-T72</f>
        <v>-54100.829999999987</v>
      </c>
      <c r="U74" s="13"/>
      <c r="V74" s="34">
        <f>IF(T$12=0,0,T74/T$12)</f>
        <v>0</v>
      </c>
      <c r="W74" s="16"/>
      <c r="X74" s="33">
        <f>P74-T74</f>
        <v>-5621.9900000000052</v>
      </c>
      <c r="Y74" s="16"/>
      <c r="Z74" s="34">
        <f>IF(T74=0,0,X74/T74)</f>
        <v>0.10391688999965447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1">
        <f>SUM(D74:D76)</f>
        <v>-59722.819999999992</v>
      </c>
      <c r="E77" s="13"/>
      <c r="F77" s="30">
        <f>IF(D$12=0,0,D77/D$12)</f>
        <v>-1.2794957842047576</v>
      </c>
      <c r="G77" s="13"/>
      <c r="H77" s="31">
        <f>SUM(H74:H76)</f>
        <v>-54100.829999999987</v>
      </c>
      <c r="I77" s="13"/>
      <c r="J77" s="30">
        <f>IF(H$12=0,0,H77/H$12)</f>
        <v>0</v>
      </c>
      <c r="K77" s="16"/>
      <c r="L77" s="31">
        <f>+D77-H77</f>
        <v>-5621.9900000000052</v>
      </c>
      <c r="M77" s="16"/>
      <c r="N77" s="30">
        <f>IF(H77=0,0,L77/H77)</f>
        <v>0.10391688999965447</v>
      </c>
      <c r="O77" s="26"/>
      <c r="P77" s="31">
        <f>SUM(P74:P76)</f>
        <v>-59722.819999999992</v>
      </c>
      <c r="Q77" s="13"/>
      <c r="R77" s="30">
        <f>IF(P$12=0,0,P77/P$12)</f>
        <v>-1.2794957842047576</v>
      </c>
      <c r="S77" s="13"/>
      <c r="T77" s="31">
        <f>SUM(T74:T76)</f>
        <v>-54100.829999999987</v>
      </c>
      <c r="U77" s="13"/>
      <c r="V77" s="30">
        <f>IF(T$12=0,0,T77/T$12)</f>
        <v>0</v>
      </c>
      <c r="W77" s="16"/>
      <c r="X77" s="31">
        <f>+P77-T77</f>
        <v>-5621.9900000000052</v>
      </c>
      <c r="Y77" s="16"/>
      <c r="Z77" s="30">
        <f>IF(T77=0,0,X77/T77)</f>
        <v>0.10391688999965447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43726.682456099537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3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296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36911</v>
      </c>
      <c r="E12" s="4"/>
      <c r="F12" s="12"/>
      <c r="G12" s="4"/>
      <c r="H12" s="4">
        <f>SUM(OSRRefH13x_0)</f>
        <v>66093</v>
      </c>
      <c r="I12" s="4"/>
      <c r="J12" s="12"/>
      <c r="K12" s="4"/>
      <c r="L12" s="4">
        <f t="shared" ref="L12:L13" si="0">+D12-H12</f>
        <v>-29182</v>
      </c>
      <c r="M12" s="4"/>
      <c r="N12" s="12">
        <f t="shared" ref="N12:N13" si="1">IF(H12=0,0,L12/H12)</f>
        <v>-0.44152936014403948</v>
      </c>
      <c r="O12" s="10"/>
      <c r="P12" s="4">
        <f>SUM(OSRRefP13x_0)</f>
        <v>36911</v>
      </c>
      <c r="Q12" s="4"/>
      <c r="R12" s="12"/>
      <c r="S12" s="4"/>
      <c r="T12" s="4">
        <f>SUM(OSRRefT13x_0)</f>
        <v>66093</v>
      </c>
      <c r="U12" s="4"/>
      <c r="V12" s="12"/>
      <c r="W12" s="4"/>
      <c r="X12" s="4">
        <f t="shared" ref="X12:X13" si="2">+P12-T12</f>
        <v>-29182</v>
      </c>
      <c r="Y12" s="4"/>
      <c r="Z12" s="12">
        <f t="shared" ref="Z12:Z13" si="3">IF(T12=0,0,X12/T12)</f>
        <v>-0.44152936014403948</v>
      </c>
    </row>
    <row r="13" spans="1:26" s="24" customFormat="1" hidden="1" outlineLevel="1" x14ac:dyDescent="0.25">
      <c r="A13" s="50"/>
      <c r="B13" s="11" t="str">
        <f>CONCATENATE("          ", "4100", " - ", "NON-TAXABLE SALES")</f>
        <v xml:space="preserve">          4100 - NON-TAXABLE SALES</v>
      </c>
      <c r="C13" s="11"/>
      <c r="D13" s="2">
        <f>--36911</f>
        <v>36911</v>
      </c>
      <c r="E13" s="2"/>
      <c r="F13" s="22"/>
      <c r="G13" s="2"/>
      <c r="H13" s="2">
        <f>--66093</f>
        <v>66093</v>
      </c>
      <c r="I13" s="2"/>
      <c r="J13" s="22"/>
      <c r="K13" s="2"/>
      <c r="L13" s="2">
        <f t="shared" si="0"/>
        <v>-29182</v>
      </c>
      <c r="M13" s="2"/>
      <c r="N13" s="22">
        <f t="shared" si="1"/>
        <v>-0.44152936014403948</v>
      </c>
      <c r="O13" s="11"/>
      <c r="P13" s="2">
        <f>--36911</f>
        <v>36911</v>
      </c>
      <c r="Q13" s="2"/>
      <c r="R13" s="22"/>
      <c r="S13" s="2"/>
      <c r="T13" s="2">
        <f>--66093</f>
        <v>66093</v>
      </c>
      <c r="U13" s="2"/>
      <c r="V13" s="22"/>
      <c r="W13" s="2"/>
      <c r="X13" s="2">
        <f t="shared" si="2"/>
        <v>-29182</v>
      </c>
      <c r="Y13" s="2"/>
      <c r="Z13" s="22">
        <f t="shared" si="3"/>
        <v>-0.44152936014403948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36911</v>
      </c>
      <c r="E17" s="13"/>
      <c r="F17" s="20">
        <f>IF(D$12=0,0,D17/D$12)</f>
        <v>1</v>
      </c>
      <c r="G17" s="13"/>
      <c r="H17" s="21">
        <f>H12-H15</f>
        <v>66093</v>
      </c>
      <c r="I17" s="13"/>
      <c r="J17" s="20">
        <f>IF(H$12=0,0,H17/H$12)</f>
        <v>1</v>
      </c>
      <c r="K17" s="16"/>
      <c r="L17" s="21">
        <f>+D17-H17</f>
        <v>-29182</v>
      </c>
      <c r="M17" s="16"/>
      <c r="N17" s="20">
        <f>IF(H17=0,0,L17/H17)</f>
        <v>-0.44152936014403948</v>
      </c>
      <c r="O17" s="26"/>
      <c r="P17" s="21">
        <f>P12-P15</f>
        <v>36911</v>
      </c>
      <c r="Q17" s="13"/>
      <c r="R17" s="20">
        <f>IF(P$12=0,0,P17/P$12)</f>
        <v>1</v>
      </c>
      <c r="S17" s="13"/>
      <c r="T17" s="21">
        <f>T12-T15</f>
        <v>66093</v>
      </c>
      <c r="U17" s="13"/>
      <c r="V17" s="20">
        <f>IF(T$12=0,0,T17/T$12)</f>
        <v>1</v>
      </c>
      <c r="W17" s="16"/>
      <c r="X17" s="21">
        <f>+P17-T17</f>
        <v>-29182</v>
      </c>
      <c r="Y17" s="16"/>
      <c r="Z17" s="20">
        <f>IF(T17=0,0,X17/T17)</f>
        <v>-0.44152936014403948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37761.609999999993</v>
      </c>
      <c r="E19" s="19"/>
      <c r="F19" s="35">
        <f t="shared" ref="F19:F28" si="4">IF(D$12=0,0,D19/D$12)</f>
        <v>1.0230448917666819</v>
      </c>
      <c r="G19" s="19"/>
      <c r="H19" s="19">
        <f>SUM(OSRRefH22x_0)</f>
        <v>67392.009999999995</v>
      </c>
      <c r="I19" s="19"/>
      <c r="J19" s="35">
        <f t="shared" ref="J19:J28" si="5">IF(H$12=0,0,H19/H$12)</f>
        <v>1.0196542750366906</v>
      </c>
      <c r="K19" s="4"/>
      <c r="L19" s="19">
        <f t="shared" ref="L19:L28" si="6">+D19-H19</f>
        <v>-29630.400000000001</v>
      </c>
      <c r="M19" s="4"/>
      <c r="N19" s="35">
        <f t="shared" ref="N19:N28" si="7">IF(H19=0,0,L19/H19)</f>
        <v>-0.43967229943134212</v>
      </c>
      <c r="O19" s="10"/>
      <c r="P19" s="19">
        <f>SUM(OSRRefP22x_0)</f>
        <v>37761.609999999993</v>
      </c>
      <c r="Q19" s="19"/>
      <c r="R19" s="35">
        <f t="shared" ref="R19:R28" si="8">IF(P$12=0,0,P19/P$12)</f>
        <v>1.0230448917666819</v>
      </c>
      <c r="S19" s="19"/>
      <c r="T19" s="19">
        <f>SUM(OSRRefT22x_0)</f>
        <v>67392.009999999995</v>
      </c>
      <c r="U19" s="19"/>
      <c r="V19" s="35">
        <f t="shared" ref="V19:V28" si="9">IF(T$12=0,0,T19/T$12)</f>
        <v>1.0196542750366906</v>
      </c>
      <c r="W19" s="4"/>
      <c r="X19" s="19">
        <f t="shared" ref="X19:X28" si="10">+P19-T19</f>
        <v>-29630.400000000001</v>
      </c>
      <c r="Y19" s="4"/>
      <c r="Z19" s="35">
        <f t="shared" ref="Z19:Z28" si="11">IF(T19=0,0,X19/T19)</f>
        <v>-0.43967229943134212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4399.3499999999995</v>
      </c>
      <c r="E20" s="1"/>
      <c r="F20" s="5">
        <f t="shared" si="4"/>
        <v>0.11918804692368128</v>
      </c>
      <c r="G20" s="1"/>
      <c r="H20" s="1">
        <f>SUM(OSRRefH22_0x_0)</f>
        <v>4095.93</v>
      </c>
      <c r="I20" s="1"/>
      <c r="J20" s="5">
        <f t="shared" si="5"/>
        <v>6.1972220961372608E-2</v>
      </c>
      <c r="K20" s="1"/>
      <c r="L20" s="1">
        <f t="shared" si="6"/>
        <v>303.41999999999962</v>
      </c>
      <c r="M20" s="1"/>
      <c r="N20" s="5">
        <f t="shared" si="7"/>
        <v>7.4078414426027694E-2</v>
      </c>
      <c r="O20" s="14"/>
      <c r="P20" s="1">
        <f>SUM(OSRRefP22_0x_0)</f>
        <v>4399.3499999999995</v>
      </c>
      <c r="Q20" s="1"/>
      <c r="R20" s="5">
        <f t="shared" si="8"/>
        <v>0.11918804692368128</v>
      </c>
      <c r="S20" s="1"/>
      <c r="T20" s="1">
        <f>SUM(OSRRefT22_0x_0)</f>
        <v>4095.93</v>
      </c>
      <c r="U20" s="1"/>
      <c r="V20" s="5">
        <f t="shared" si="9"/>
        <v>6.1972220961372608E-2</v>
      </c>
      <c r="W20" s="1"/>
      <c r="X20" s="1">
        <f t="shared" si="10"/>
        <v>303.41999999999962</v>
      </c>
      <c r="Y20" s="1"/>
      <c r="Z20" s="5">
        <f t="shared" si="11"/>
        <v>7.4078414426027694E-2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1065.93</v>
      </c>
      <c r="E21" s="2"/>
      <c r="F21" s="6">
        <f t="shared" si="4"/>
        <v>2.8878383137817997E-2</v>
      </c>
      <c r="G21" s="2"/>
      <c r="H21" s="7">
        <v>1101.74</v>
      </c>
      <c r="I21" s="2"/>
      <c r="J21" s="6">
        <f t="shared" si="5"/>
        <v>1.6669541403779523E-2</v>
      </c>
      <c r="K21" s="2"/>
      <c r="L21" s="7">
        <f t="shared" si="6"/>
        <v>-35.809999999999945</v>
      </c>
      <c r="M21" s="2"/>
      <c r="N21" s="6">
        <f t="shared" si="7"/>
        <v>-3.2503131410314544E-2</v>
      </c>
      <c r="O21" s="11"/>
      <c r="P21" s="7">
        <v>1065.93</v>
      </c>
      <c r="Q21" s="2"/>
      <c r="R21" s="6">
        <f t="shared" si="8"/>
        <v>2.8878383137817997E-2</v>
      </c>
      <c r="S21" s="2"/>
      <c r="T21" s="7">
        <v>1101.74</v>
      </c>
      <c r="U21" s="2"/>
      <c r="V21" s="6">
        <f t="shared" si="9"/>
        <v>1.6669541403779523E-2</v>
      </c>
      <c r="W21" s="2"/>
      <c r="X21" s="7">
        <f t="shared" si="10"/>
        <v>-35.809999999999945</v>
      </c>
      <c r="Y21" s="2"/>
      <c r="Z21" s="6">
        <f t="shared" si="11"/>
        <v>-3.2503131410314544E-2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49</v>
      </c>
      <c r="E22" s="2"/>
      <c r="F22" s="6">
        <f t="shared" si="4"/>
        <v>1.3275175421960932E-3</v>
      </c>
      <c r="G22" s="2"/>
      <c r="H22" s="7">
        <v>69.3</v>
      </c>
      <c r="I22" s="2"/>
      <c r="J22" s="6">
        <f t="shared" si="5"/>
        <v>1.0485225364259452E-3</v>
      </c>
      <c r="K22" s="2"/>
      <c r="L22" s="7">
        <f t="shared" si="6"/>
        <v>-20.299999999999997</v>
      </c>
      <c r="M22" s="2"/>
      <c r="N22" s="6">
        <f t="shared" si="7"/>
        <v>-0.29292929292929287</v>
      </c>
      <c r="O22" s="11"/>
      <c r="P22" s="7">
        <v>49</v>
      </c>
      <c r="Q22" s="2"/>
      <c r="R22" s="6">
        <f t="shared" si="8"/>
        <v>1.3275175421960932E-3</v>
      </c>
      <c r="S22" s="2"/>
      <c r="T22" s="7">
        <v>69.3</v>
      </c>
      <c r="U22" s="2"/>
      <c r="V22" s="6">
        <f t="shared" si="9"/>
        <v>1.0485225364259452E-3</v>
      </c>
      <c r="W22" s="2"/>
      <c r="X22" s="7">
        <f t="shared" si="10"/>
        <v>-20.299999999999997</v>
      </c>
      <c r="Y22" s="2"/>
      <c r="Z22" s="6">
        <f t="shared" si="11"/>
        <v>-0.29292929292929287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3.368399664056785E-2</v>
      </c>
      <c r="G23" s="2"/>
      <c r="H23" s="7">
        <v>445.03</v>
      </c>
      <c r="I23" s="2"/>
      <c r="J23" s="6">
        <f t="shared" si="5"/>
        <v>6.7333908280755904E-3</v>
      </c>
      <c r="K23" s="2"/>
      <c r="L23" s="7">
        <f t="shared" si="6"/>
        <v>798.28</v>
      </c>
      <c r="M23" s="2"/>
      <c r="N23" s="6">
        <f t="shared" si="7"/>
        <v>1.7937667123564704</v>
      </c>
      <c r="O23" s="11"/>
      <c r="P23" s="7">
        <v>1243.31</v>
      </c>
      <c r="Q23" s="2"/>
      <c r="R23" s="6">
        <f t="shared" si="8"/>
        <v>3.368399664056785E-2</v>
      </c>
      <c r="S23" s="2"/>
      <c r="T23" s="7">
        <v>445.03</v>
      </c>
      <c r="U23" s="2"/>
      <c r="V23" s="6">
        <f t="shared" si="9"/>
        <v>6.7333908280755904E-3</v>
      </c>
      <c r="W23" s="2"/>
      <c r="X23" s="7">
        <f t="shared" si="10"/>
        <v>798.28</v>
      </c>
      <c r="Y23" s="2"/>
      <c r="Z23" s="6">
        <f t="shared" si="11"/>
        <v>1.7937667123564704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37.47</v>
      </c>
      <c r="E24" s="2"/>
      <c r="F24" s="6">
        <f t="shared" si="4"/>
        <v>1.015144536858931E-3</v>
      </c>
      <c r="G24" s="2"/>
      <c r="H24" s="7">
        <v>58.13</v>
      </c>
      <c r="I24" s="2"/>
      <c r="J24" s="6">
        <f t="shared" si="5"/>
        <v>8.7951825458066669E-4</v>
      </c>
      <c r="K24" s="2"/>
      <c r="L24" s="7">
        <f t="shared" si="6"/>
        <v>-20.660000000000004</v>
      </c>
      <c r="M24" s="2"/>
      <c r="N24" s="6">
        <f t="shared" si="7"/>
        <v>-0.35541028728711516</v>
      </c>
      <c r="O24" s="11"/>
      <c r="P24" s="7">
        <v>37.47</v>
      </c>
      <c r="Q24" s="2"/>
      <c r="R24" s="6">
        <f t="shared" si="8"/>
        <v>1.015144536858931E-3</v>
      </c>
      <c r="S24" s="2"/>
      <c r="T24" s="7">
        <v>58.13</v>
      </c>
      <c r="U24" s="2"/>
      <c r="V24" s="6">
        <f t="shared" si="9"/>
        <v>8.7951825458066669E-4</v>
      </c>
      <c r="W24" s="2"/>
      <c r="X24" s="7">
        <f t="shared" si="10"/>
        <v>-20.660000000000004</v>
      </c>
      <c r="Y24" s="2"/>
      <c r="Z24" s="6">
        <f t="shared" si="11"/>
        <v>-0.35541028728711516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609.02</v>
      </c>
      <c r="E25" s="2"/>
      <c r="F25" s="6">
        <f t="shared" si="4"/>
        <v>1.6499688439760504E-2</v>
      </c>
      <c r="G25" s="2"/>
      <c r="H25" s="7">
        <v>808.53</v>
      </c>
      <c r="I25" s="2"/>
      <c r="J25" s="6">
        <f t="shared" si="5"/>
        <v>1.2233216830829285E-2</v>
      </c>
      <c r="K25" s="2"/>
      <c r="L25" s="7">
        <f t="shared" si="6"/>
        <v>-199.51</v>
      </c>
      <c r="M25" s="2"/>
      <c r="N25" s="6">
        <f t="shared" si="7"/>
        <v>-0.24675645925321263</v>
      </c>
      <c r="O25" s="11"/>
      <c r="P25" s="7">
        <v>609.02</v>
      </c>
      <c r="Q25" s="2"/>
      <c r="R25" s="6">
        <f t="shared" si="8"/>
        <v>1.6499688439760504E-2</v>
      </c>
      <c r="S25" s="2"/>
      <c r="T25" s="7">
        <v>808.53</v>
      </c>
      <c r="U25" s="2"/>
      <c r="V25" s="6">
        <f t="shared" si="9"/>
        <v>1.2233216830829285E-2</v>
      </c>
      <c r="W25" s="2"/>
      <c r="X25" s="7">
        <f t="shared" si="10"/>
        <v>-199.51</v>
      </c>
      <c r="Y25" s="2"/>
      <c r="Z25" s="6">
        <f t="shared" si="11"/>
        <v>-0.24675645925321263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843.36</v>
      </c>
      <c r="E26" s="2"/>
      <c r="F26" s="6">
        <f t="shared" si="4"/>
        <v>2.2848473354826475E-2</v>
      </c>
      <c r="G26" s="2"/>
      <c r="H26" s="7">
        <v>909.41</v>
      </c>
      <c r="I26" s="2"/>
      <c r="J26" s="6">
        <f t="shared" si="5"/>
        <v>1.375955093580258E-2</v>
      </c>
      <c r="K26" s="2"/>
      <c r="L26" s="7">
        <f t="shared" si="6"/>
        <v>-66.049999999999955</v>
      </c>
      <c r="M26" s="2"/>
      <c r="N26" s="6">
        <f t="shared" si="7"/>
        <v>-7.2629507043027855E-2</v>
      </c>
      <c r="O26" s="11"/>
      <c r="P26" s="7">
        <v>843.36</v>
      </c>
      <c r="Q26" s="2"/>
      <c r="R26" s="6">
        <f t="shared" si="8"/>
        <v>2.2848473354826475E-2</v>
      </c>
      <c r="S26" s="2"/>
      <c r="T26" s="7">
        <v>909.41</v>
      </c>
      <c r="U26" s="2"/>
      <c r="V26" s="6">
        <f t="shared" si="9"/>
        <v>1.375955093580258E-2</v>
      </c>
      <c r="W26" s="2"/>
      <c r="X26" s="7">
        <f t="shared" si="10"/>
        <v>-66.049999999999955</v>
      </c>
      <c r="Y26" s="2"/>
      <c r="Z26" s="6">
        <f t="shared" si="11"/>
        <v>-7.2629507043027855E-2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418.38</v>
      </c>
      <c r="E27" s="2"/>
      <c r="F27" s="6">
        <f t="shared" si="4"/>
        <v>1.1334832434775542E-2</v>
      </c>
      <c r="G27" s="2"/>
      <c r="H27" s="7">
        <v>435.84</v>
      </c>
      <c r="I27" s="2"/>
      <c r="J27" s="6">
        <f t="shared" si="5"/>
        <v>6.5943443329853383E-3</v>
      </c>
      <c r="K27" s="2"/>
      <c r="L27" s="7">
        <f t="shared" si="6"/>
        <v>-17.45999999999998</v>
      </c>
      <c r="M27" s="2"/>
      <c r="N27" s="6">
        <f t="shared" si="7"/>
        <v>-4.0060572687224627E-2</v>
      </c>
      <c r="O27" s="11"/>
      <c r="P27" s="7">
        <v>418.38</v>
      </c>
      <c r="Q27" s="2"/>
      <c r="R27" s="6">
        <f t="shared" si="8"/>
        <v>1.1334832434775542E-2</v>
      </c>
      <c r="S27" s="2"/>
      <c r="T27" s="7">
        <v>435.84</v>
      </c>
      <c r="U27" s="2"/>
      <c r="V27" s="6">
        <f t="shared" si="9"/>
        <v>6.5943443329853383E-3</v>
      </c>
      <c r="W27" s="2"/>
      <c r="X27" s="7">
        <f t="shared" si="10"/>
        <v>-17.45999999999998</v>
      </c>
      <c r="Y27" s="2"/>
      <c r="Z27" s="6">
        <f t="shared" si="11"/>
        <v>-4.0060572687224627E-2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132.88</v>
      </c>
      <c r="E28" s="2"/>
      <c r="F28" s="6">
        <f t="shared" si="4"/>
        <v>3.6000108368778954E-3</v>
      </c>
      <c r="G28" s="2"/>
      <c r="H28" s="7">
        <v>267.95</v>
      </c>
      <c r="I28" s="2"/>
      <c r="J28" s="6">
        <f t="shared" si="5"/>
        <v>4.0541358388936797E-3</v>
      </c>
      <c r="K28" s="2"/>
      <c r="L28" s="7">
        <f t="shared" si="6"/>
        <v>-135.07</v>
      </c>
      <c r="M28" s="2"/>
      <c r="N28" s="6">
        <f t="shared" si="7"/>
        <v>-0.50408658331778311</v>
      </c>
      <c r="O28" s="11"/>
      <c r="P28" s="7">
        <v>132.88</v>
      </c>
      <c r="Q28" s="2"/>
      <c r="R28" s="6">
        <f t="shared" si="8"/>
        <v>3.6000108368778954E-3</v>
      </c>
      <c r="S28" s="2"/>
      <c r="T28" s="7">
        <v>267.95</v>
      </c>
      <c r="U28" s="2"/>
      <c r="V28" s="6">
        <f t="shared" si="9"/>
        <v>4.0541358388936797E-3</v>
      </c>
      <c r="W28" s="2"/>
      <c r="X28" s="7">
        <f t="shared" si="10"/>
        <v>-135.07</v>
      </c>
      <c r="Y28" s="2"/>
      <c r="Z28" s="6">
        <f t="shared" si="11"/>
        <v>-0.50408658331778311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17820.689999999999</v>
      </c>
      <c r="E29" s="1"/>
      <c r="F29" s="5">
        <f t="shared" ref="F29:F35" si="12">IF(D$12=0,0,D29/D$12)</f>
        <v>0.48280160385792847</v>
      </c>
      <c r="G29" s="1"/>
      <c r="H29" s="1">
        <f>SUM(OSRRefH22_1x_0)</f>
        <v>19179.71</v>
      </c>
      <c r="I29" s="1"/>
      <c r="J29" s="5">
        <f t="shared" ref="J29:J35" si="13">IF(H$12=0,0,H29/H$12)</f>
        <v>0.29019275868851463</v>
      </c>
      <c r="K29" s="1"/>
      <c r="L29" s="1">
        <f t="shared" ref="L29:L35" si="14">+D29-H29</f>
        <v>-1359.0200000000004</v>
      </c>
      <c r="M29" s="1"/>
      <c r="N29" s="5">
        <f t="shared" ref="N29:N35" si="15">IF(H29=0,0,L29/H29)</f>
        <v>-7.0857171458796844E-2</v>
      </c>
      <c r="O29" s="14"/>
      <c r="P29" s="1">
        <f>SUM(OSRRefP22_1x_0)</f>
        <v>17820.689999999999</v>
      </c>
      <c r="Q29" s="1"/>
      <c r="R29" s="5">
        <f t="shared" ref="R29:R35" si="16">IF(P$12=0,0,P29/P$12)</f>
        <v>0.48280160385792847</v>
      </c>
      <c r="S29" s="1"/>
      <c r="T29" s="1">
        <f>SUM(OSRRefT22_1x_0)</f>
        <v>19179.71</v>
      </c>
      <c r="U29" s="1"/>
      <c r="V29" s="5">
        <f t="shared" ref="V29:V35" si="17">IF(T$12=0,0,T29/T$12)</f>
        <v>0.29019275868851463</v>
      </c>
      <c r="W29" s="1"/>
      <c r="X29" s="1">
        <f t="shared" ref="X29:X35" si="18">+P29-T29</f>
        <v>-1359.0200000000004</v>
      </c>
      <c r="Y29" s="1"/>
      <c r="Z29" s="5">
        <f t="shared" ref="Z29:Z35" si="19">IF(T29=0,0,X29/T29)</f>
        <v>-7.0857171458796844E-2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6554.73</v>
      </c>
      <c r="E30" s="2"/>
      <c r="F30" s="6">
        <f t="shared" si="12"/>
        <v>0.1775820216195714</v>
      </c>
      <c r="G30" s="2"/>
      <c r="H30" s="7">
        <v>6941.69</v>
      </c>
      <c r="I30" s="2"/>
      <c r="J30" s="6">
        <f t="shared" si="13"/>
        <v>0.10502912562601183</v>
      </c>
      <c r="K30" s="2"/>
      <c r="L30" s="7">
        <f t="shared" si="14"/>
        <v>-386.96000000000004</v>
      </c>
      <c r="M30" s="2"/>
      <c r="N30" s="6">
        <f t="shared" si="15"/>
        <v>-5.5744350439158194E-2</v>
      </c>
      <c r="O30" s="11"/>
      <c r="P30" s="7">
        <v>6554.73</v>
      </c>
      <c r="Q30" s="2"/>
      <c r="R30" s="6">
        <f t="shared" si="16"/>
        <v>0.1775820216195714</v>
      </c>
      <c r="S30" s="2"/>
      <c r="T30" s="7">
        <v>6941.69</v>
      </c>
      <c r="U30" s="2"/>
      <c r="V30" s="6">
        <f t="shared" si="17"/>
        <v>0.10502912562601183</v>
      </c>
      <c r="W30" s="2"/>
      <c r="X30" s="7">
        <f t="shared" si="18"/>
        <v>-386.96000000000004</v>
      </c>
      <c r="Y30" s="2"/>
      <c r="Z30" s="6">
        <f t="shared" si="19"/>
        <v>-5.5744350439158194E-2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>
        <v>1872</v>
      </c>
      <c r="I31" s="2"/>
      <c r="J31" s="6">
        <f t="shared" si="13"/>
        <v>2.8323725659298263E-2</v>
      </c>
      <c r="K31" s="2"/>
      <c r="L31" s="7">
        <f t="shared" si="14"/>
        <v>-1872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1872</v>
      </c>
      <c r="U31" s="2"/>
      <c r="V31" s="6">
        <f t="shared" si="17"/>
        <v>2.8323725659298263E-2</v>
      </c>
      <c r="W31" s="2"/>
      <c r="X31" s="7">
        <f t="shared" si="18"/>
        <v>-1872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5355.94</v>
      </c>
      <c r="E32" s="2"/>
      <c r="F32" s="6">
        <f t="shared" si="12"/>
        <v>0.14510416948877028</v>
      </c>
      <c r="G32" s="2"/>
      <c r="H32" s="7">
        <v>2499.1799999999998</v>
      </c>
      <c r="I32" s="2"/>
      <c r="J32" s="6">
        <f t="shared" si="13"/>
        <v>3.7813081566883025E-2</v>
      </c>
      <c r="K32" s="2"/>
      <c r="L32" s="7">
        <f t="shared" si="14"/>
        <v>2856.7599999999998</v>
      </c>
      <c r="M32" s="2"/>
      <c r="N32" s="6">
        <f t="shared" si="15"/>
        <v>1.1430789298890036</v>
      </c>
      <c r="O32" s="11"/>
      <c r="P32" s="7">
        <v>5355.94</v>
      </c>
      <c r="Q32" s="2"/>
      <c r="R32" s="6">
        <f t="shared" si="16"/>
        <v>0.14510416948877028</v>
      </c>
      <c r="S32" s="2"/>
      <c r="T32" s="7">
        <v>2499.1799999999998</v>
      </c>
      <c r="U32" s="2"/>
      <c r="V32" s="6">
        <f t="shared" si="17"/>
        <v>3.7813081566883025E-2</v>
      </c>
      <c r="W32" s="2"/>
      <c r="X32" s="7">
        <f t="shared" si="18"/>
        <v>2856.7599999999998</v>
      </c>
      <c r="Y32" s="2"/>
      <c r="Z32" s="6">
        <f t="shared" si="19"/>
        <v>1.1430789298890036</v>
      </c>
    </row>
    <row r="33" spans="1:26" s="24" customFormat="1" hidden="1" outlineLevel="2" x14ac:dyDescent="0.25">
      <c r="A33" s="29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860.69</v>
      </c>
      <c r="I33" s="2"/>
      <c r="J33" s="6">
        <f t="shared" si="13"/>
        <v>1.3022407819284949E-2</v>
      </c>
      <c r="K33" s="2"/>
      <c r="L33" s="7">
        <f t="shared" si="14"/>
        <v>-860.69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860.69</v>
      </c>
      <c r="U33" s="2"/>
      <c r="V33" s="6">
        <f t="shared" si="17"/>
        <v>1.3022407819284949E-2</v>
      </c>
      <c r="W33" s="2"/>
      <c r="X33" s="7">
        <f t="shared" si="18"/>
        <v>-860.69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5428.71</v>
      </c>
      <c r="E34" s="2"/>
      <c r="F34" s="6">
        <f t="shared" si="12"/>
        <v>0.14707566849990517</v>
      </c>
      <c r="G34" s="2"/>
      <c r="H34" s="7">
        <v>7006.15</v>
      </c>
      <c r="I34" s="2"/>
      <c r="J34" s="6">
        <f t="shared" si="13"/>
        <v>0.1060044180170366</v>
      </c>
      <c r="K34" s="2"/>
      <c r="L34" s="7">
        <f t="shared" si="14"/>
        <v>-1577.4399999999996</v>
      </c>
      <c r="M34" s="2"/>
      <c r="N34" s="6">
        <f t="shared" si="15"/>
        <v>-0.22515076040335985</v>
      </c>
      <c r="O34" s="11"/>
      <c r="P34" s="7">
        <v>5428.71</v>
      </c>
      <c r="Q34" s="2"/>
      <c r="R34" s="6">
        <f t="shared" si="16"/>
        <v>0.14707566849990517</v>
      </c>
      <c r="S34" s="2"/>
      <c r="T34" s="7">
        <v>7006.15</v>
      </c>
      <c r="U34" s="2"/>
      <c r="V34" s="6">
        <f t="shared" si="17"/>
        <v>0.1060044180170366</v>
      </c>
      <c r="W34" s="2"/>
      <c r="X34" s="7">
        <f t="shared" si="18"/>
        <v>-1577.4399999999996</v>
      </c>
      <c r="Y34" s="2"/>
      <c r="Z34" s="6">
        <f t="shared" si="19"/>
        <v>-0.22515076040335985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>
        <v>481.31</v>
      </c>
      <c r="E35" s="2"/>
      <c r="F35" s="6">
        <f t="shared" si="12"/>
        <v>1.3039744249681667E-2</v>
      </c>
      <c r="G35" s="2"/>
      <c r="H35" s="7"/>
      <c r="I35" s="2"/>
      <c r="J35" s="6">
        <f t="shared" si="13"/>
        <v>0</v>
      </c>
      <c r="K35" s="2"/>
      <c r="L35" s="7">
        <f t="shared" si="14"/>
        <v>481.31</v>
      </c>
      <c r="M35" s="2"/>
      <c r="N35" s="6">
        <f t="shared" si="15"/>
        <v>0</v>
      </c>
      <c r="O35" s="11"/>
      <c r="P35" s="7">
        <v>481.31</v>
      </c>
      <c r="Q35" s="2"/>
      <c r="R35" s="6">
        <f t="shared" si="16"/>
        <v>1.3039744249681667E-2</v>
      </c>
      <c r="S35" s="2"/>
      <c r="T35" s="7"/>
      <c r="U35" s="2"/>
      <c r="V35" s="6">
        <f t="shared" si="17"/>
        <v>0</v>
      </c>
      <c r="W35" s="2"/>
      <c r="X35" s="7">
        <f t="shared" si="18"/>
        <v>481.31</v>
      </c>
      <c r="Y35" s="2"/>
      <c r="Z35" s="6">
        <f t="shared" si="19"/>
        <v>0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20">IF(D$12=0,0,D36/D$12)</f>
        <v>0</v>
      </c>
      <c r="G36" s="1"/>
      <c r="H36" s="1">
        <f>SUM(OSRRefH22_2x_0)</f>
        <v>767.27</v>
      </c>
      <c r="I36" s="1"/>
      <c r="J36" s="5">
        <f t="shared" ref="J36:J50" si="21">IF(H$12=0,0,H36/H$12)</f>
        <v>1.1608944971479582E-2</v>
      </c>
      <c r="K36" s="1"/>
      <c r="L36" s="1">
        <f t="shared" ref="L36:L50" si="22">+D36-H36</f>
        <v>-767.27</v>
      </c>
      <c r="M36" s="1"/>
      <c r="N36" s="5">
        <f t="shared" ref="N36:N50" si="23">IF(H36=0,0,L36/H36)</f>
        <v>-1</v>
      </c>
      <c r="O36" s="14"/>
      <c r="P36" s="1">
        <f>SUM(OSRRefP22_2x_0)</f>
        <v>0</v>
      </c>
      <c r="Q36" s="1"/>
      <c r="R36" s="5">
        <f t="shared" ref="R36:R50" si="24">IF(P$12=0,0,P36/P$12)</f>
        <v>0</v>
      </c>
      <c r="S36" s="1"/>
      <c r="T36" s="1">
        <f>SUM(OSRRefT22_2x_0)</f>
        <v>767.27</v>
      </c>
      <c r="U36" s="1"/>
      <c r="V36" s="5">
        <f t="shared" ref="V36:V50" si="25">IF(T$12=0,0,T36/T$12)</f>
        <v>1.1608944971479582E-2</v>
      </c>
      <c r="W36" s="1"/>
      <c r="X36" s="1">
        <f t="shared" ref="X36:X50" si="26">+P36-T36</f>
        <v>-767.27</v>
      </c>
      <c r="Y36" s="1"/>
      <c r="Z36" s="5">
        <f t="shared" ref="Z36:Z50" si="2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767.27</v>
      </c>
      <c r="I37" s="2"/>
      <c r="J37" s="6">
        <f t="shared" si="21"/>
        <v>1.1608944971479582E-2</v>
      </c>
      <c r="K37" s="2"/>
      <c r="L37" s="7">
        <f t="shared" si="22"/>
        <v>-767.27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767.27</v>
      </c>
      <c r="U37" s="2"/>
      <c r="V37" s="6">
        <f t="shared" si="25"/>
        <v>1.1608944971479582E-2</v>
      </c>
      <c r="W37" s="2"/>
      <c r="X37" s="7">
        <f t="shared" si="26"/>
        <v>-767.27</v>
      </c>
      <c r="Y37" s="2"/>
      <c r="Z37" s="6">
        <f t="shared" si="27"/>
        <v>-1</v>
      </c>
    </row>
    <row r="38" spans="1:26" s="28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319.7</v>
      </c>
      <c r="E38" s="1"/>
      <c r="F38" s="5">
        <f t="shared" si="20"/>
        <v>8.661374657961041E-3</v>
      </c>
      <c r="G38" s="1"/>
      <c r="H38" s="1">
        <f>SUM(OSRRefH22_3x_0)</f>
        <v>376.87</v>
      </c>
      <c r="I38" s="1"/>
      <c r="J38" s="5">
        <f t="shared" si="21"/>
        <v>5.7021167143267819E-3</v>
      </c>
      <c r="K38" s="1"/>
      <c r="L38" s="1">
        <f t="shared" si="22"/>
        <v>-57.170000000000016</v>
      </c>
      <c r="M38" s="1"/>
      <c r="N38" s="5">
        <f t="shared" si="23"/>
        <v>-0.15169687160028661</v>
      </c>
      <c r="O38" s="14"/>
      <c r="P38" s="1">
        <f>SUM(OSRRefP22_3x_0)</f>
        <v>319.7</v>
      </c>
      <c r="Q38" s="1"/>
      <c r="R38" s="5">
        <f t="shared" si="24"/>
        <v>8.661374657961041E-3</v>
      </c>
      <c r="S38" s="1"/>
      <c r="T38" s="1">
        <f>SUM(OSRRefT22_3x_0)</f>
        <v>376.87</v>
      </c>
      <c r="U38" s="1"/>
      <c r="V38" s="5">
        <f t="shared" si="25"/>
        <v>5.7021167143267819E-3</v>
      </c>
      <c r="W38" s="1"/>
      <c r="X38" s="1">
        <f t="shared" si="26"/>
        <v>-57.170000000000016</v>
      </c>
      <c r="Y38" s="1"/>
      <c r="Z38" s="5">
        <f t="shared" si="27"/>
        <v>-0.15169687160028661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319.7</v>
      </c>
      <c r="E39" s="2"/>
      <c r="F39" s="6">
        <f t="shared" si="20"/>
        <v>8.661374657961041E-3</v>
      </c>
      <c r="G39" s="2"/>
      <c r="H39" s="7">
        <v>376.87</v>
      </c>
      <c r="I39" s="2"/>
      <c r="J39" s="6">
        <f t="shared" si="21"/>
        <v>5.7021167143267819E-3</v>
      </c>
      <c r="K39" s="2"/>
      <c r="L39" s="7">
        <f t="shared" si="22"/>
        <v>-57.170000000000016</v>
      </c>
      <c r="M39" s="2"/>
      <c r="N39" s="6">
        <f t="shared" si="23"/>
        <v>-0.15169687160028661</v>
      </c>
      <c r="O39" s="11"/>
      <c r="P39" s="7">
        <v>319.7</v>
      </c>
      <c r="Q39" s="2"/>
      <c r="R39" s="6">
        <f t="shared" si="24"/>
        <v>8.661374657961041E-3</v>
      </c>
      <c r="S39" s="2"/>
      <c r="T39" s="7">
        <v>376.87</v>
      </c>
      <c r="U39" s="2"/>
      <c r="V39" s="6">
        <f t="shared" si="25"/>
        <v>5.7021167143267819E-3</v>
      </c>
      <c r="W39" s="2"/>
      <c r="X39" s="7">
        <f t="shared" si="26"/>
        <v>-57.170000000000016</v>
      </c>
      <c r="Y39" s="2"/>
      <c r="Z39" s="6">
        <f t="shared" si="27"/>
        <v>-0.15169687160028661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21.12</v>
      </c>
      <c r="I40" s="1"/>
      <c r="J40" s="5">
        <f t="shared" si="21"/>
        <v>3.1954972538695474E-4</v>
      </c>
      <c r="K40" s="1"/>
      <c r="L40" s="1">
        <f t="shared" si="22"/>
        <v>-21.12</v>
      </c>
      <c r="M40" s="1"/>
      <c r="N40" s="5">
        <f t="shared" si="23"/>
        <v>-1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21.12</v>
      </c>
      <c r="U40" s="1"/>
      <c r="V40" s="5">
        <f t="shared" si="25"/>
        <v>3.1954972538695474E-4</v>
      </c>
      <c r="W40" s="1"/>
      <c r="X40" s="1">
        <f t="shared" si="26"/>
        <v>-21.12</v>
      </c>
      <c r="Y40" s="1"/>
      <c r="Z40" s="5">
        <f t="shared" si="27"/>
        <v>-1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/>
      <c r="E41" s="2"/>
      <c r="F41" s="6">
        <f t="shared" si="20"/>
        <v>0</v>
      </c>
      <c r="G41" s="2"/>
      <c r="H41" s="7">
        <v>21.12</v>
      </c>
      <c r="I41" s="2"/>
      <c r="J41" s="6">
        <f t="shared" si="21"/>
        <v>3.1954972538695474E-4</v>
      </c>
      <c r="K41" s="2"/>
      <c r="L41" s="7">
        <f t="shared" si="22"/>
        <v>-21.12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21.12</v>
      </c>
      <c r="U41" s="2"/>
      <c r="V41" s="6">
        <f t="shared" si="25"/>
        <v>3.1954972538695474E-4</v>
      </c>
      <c r="W41" s="2"/>
      <c r="X41" s="7">
        <f t="shared" si="26"/>
        <v>-21.12</v>
      </c>
      <c r="Y41" s="2"/>
      <c r="Z41" s="6">
        <f t="shared" si="27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29.01</v>
      </c>
      <c r="E42" s="1"/>
      <c r="F42" s="5">
        <f t="shared" si="20"/>
        <v>7.8594456936956463E-4</v>
      </c>
      <c r="G42" s="1"/>
      <c r="H42" s="1">
        <f>SUM(OSRRefH22_5x_0)</f>
        <v>27.33</v>
      </c>
      <c r="I42" s="1"/>
      <c r="J42" s="5">
        <f t="shared" si="21"/>
        <v>4.1350823839135758E-4</v>
      </c>
      <c r="K42" s="1"/>
      <c r="L42" s="1">
        <f t="shared" si="22"/>
        <v>1.6800000000000033</v>
      </c>
      <c r="M42" s="1"/>
      <c r="N42" s="5">
        <f t="shared" si="23"/>
        <v>6.1470911086718018E-2</v>
      </c>
      <c r="O42" s="14"/>
      <c r="P42" s="1">
        <f>SUM(OSRRefP22_5x_0)</f>
        <v>29.01</v>
      </c>
      <c r="Q42" s="1"/>
      <c r="R42" s="5">
        <f t="shared" si="24"/>
        <v>7.8594456936956463E-4</v>
      </c>
      <c r="S42" s="1"/>
      <c r="T42" s="1">
        <f>SUM(OSRRefT22_5x_0)</f>
        <v>27.33</v>
      </c>
      <c r="U42" s="1"/>
      <c r="V42" s="5">
        <f t="shared" si="25"/>
        <v>4.1350823839135758E-4</v>
      </c>
      <c r="W42" s="1"/>
      <c r="X42" s="1">
        <f t="shared" si="26"/>
        <v>1.6800000000000033</v>
      </c>
      <c r="Y42" s="1"/>
      <c r="Z42" s="5">
        <f t="shared" si="27"/>
        <v>6.1470911086718018E-2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29.01</v>
      </c>
      <c r="E43" s="2"/>
      <c r="F43" s="6">
        <f t="shared" si="20"/>
        <v>7.8594456936956463E-4</v>
      </c>
      <c r="G43" s="2"/>
      <c r="H43" s="7">
        <v>27.33</v>
      </c>
      <c r="I43" s="2"/>
      <c r="J43" s="6">
        <f t="shared" si="21"/>
        <v>4.1350823839135758E-4</v>
      </c>
      <c r="K43" s="2"/>
      <c r="L43" s="7">
        <f t="shared" si="22"/>
        <v>1.6800000000000033</v>
      </c>
      <c r="M43" s="2"/>
      <c r="N43" s="6">
        <f t="shared" si="23"/>
        <v>6.1470911086718018E-2</v>
      </c>
      <c r="O43" s="11"/>
      <c r="P43" s="7">
        <v>29.01</v>
      </c>
      <c r="Q43" s="2"/>
      <c r="R43" s="6">
        <f t="shared" si="24"/>
        <v>7.8594456936956463E-4</v>
      </c>
      <c r="S43" s="2"/>
      <c r="T43" s="7">
        <v>27.33</v>
      </c>
      <c r="U43" s="2"/>
      <c r="V43" s="6">
        <f t="shared" si="25"/>
        <v>4.1350823839135758E-4</v>
      </c>
      <c r="W43" s="2"/>
      <c r="X43" s="7">
        <f t="shared" si="26"/>
        <v>1.6800000000000033</v>
      </c>
      <c r="Y43" s="2"/>
      <c r="Z43" s="6">
        <f t="shared" si="27"/>
        <v>6.1470911086718018E-2</v>
      </c>
    </row>
    <row r="44" spans="1:26" s="28" customFormat="1" outlineLevel="1" collapsed="1" x14ac:dyDescent="0.25">
      <c r="A44" s="27"/>
      <c r="B44" s="14" t="str">
        <f>CONCATENATE("     ","Rent                                              ")</f>
        <v xml:space="preserve">     Rent                                              </v>
      </c>
      <c r="C44" s="14"/>
      <c r="D44" s="1">
        <f>SUM(OSRRefD22_6x_0)</f>
        <v>800</v>
      </c>
      <c r="E44" s="1"/>
      <c r="F44" s="5">
        <f t="shared" si="20"/>
        <v>2.1673755790956626E-2</v>
      </c>
      <c r="G44" s="1"/>
      <c r="H44" s="1">
        <f>SUM(OSRRefH22_6x_0)</f>
        <v>800</v>
      </c>
      <c r="I44" s="1"/>
      <c r="J44" s="5">
        <f t="shared" si="21"/>
        <v>1.2104156264657377E-2</v>
      </c>
      <c r="K44" s="1"/>
      <c r="L44" s="1">
        <f t="shared" si="22"/>
        <v>0</v>
      </c>
      <c r="M44" s="1"/>
      <c r="N44" s="5">
        <f t="shared" si="23"/>
        <v>0</v>
      </c>
      <c r="O44" s="14"/>
      <c r="P44" s="1">
        <f>SUM(OSRRefP22_6x_0)</f>
        <v>800</v>
      </c>
      <c r="Q44" s="1"/>
      <c r="R44" s="5">
        <f t="shared" si="24"/>
        <v>2.1673755790956626E-2</v>
      </c>
      <c r="S44" s="1"/>
      <c r="T44" s="1">
        <f>SUM(OSRRefT22_6x_0)</f>
        <v>800</v>
      </c>
      <c r="U44" s="1"/>
      <c r="V44" s="5">
        <f t="shared" si="25"/>
        <v>1.2104156264657377E-2</v>
      </c>
      <c r="W44" s="1"/>
      <c r="X44" s="1">
        <f t="shared" si="26"/>
        <v>0</v>
      </c>
      <c r="Y44" s="1"/>
      <c r="Z44" s="5">
        <f t="shared" si="27"/>
        <v>0</v>
      </c>
    </row>
    <row r="45" spans="1:26" s="24" customFormat="1" hidden="1" outlineLevel="2" x14ac:dyDescent="0.25">
      <c r="A45" s="29"/>
      <c r="B45" s="11" t="str">
        <f>CONCATENATE("          ", "6273", " - ", "RENT")</f>
        <v xml:space="preserve">          6273 - RENT</v>
      </c>
      <c r="C45" s="11"/>
      <c r="D45" s="7">
        <v>800</v>
      </c>
      <c r="E45" s="2"/>
      <c r="F45" s="6">
        <f t="shared" si="20"/>
        <v>2.1673755790956626E-2</v>
      </c>
      <c r="G45" s="2"/>
      <c r="H45" s="7">
        <v>800</v>
      </c>
      <c r="I45" s="2"/>
      <c r="J45" s="6">
        <f t="shared" si="21"/>
        <v>1.2104156264657377E-2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>
        <v>800</v>
      </c>
      <c r="Q45" s="2"/>
      <c r="R45" s="6">
        <f t="shared" si="24"/>
        <v>2.1673755790956626E-2</v>
      </c>
      <c r="S45" s="2"/>
      <c r="T45" s="7">
        <v>800</v>
      </c>
      <c r="U45" s="2"/>
      <c r="V45" s="6">
        <f t="shared" si="25"/>
        <v>1.2104156264657377E-2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SUM(OSRRefD22_7x_0)</f>
        <v>0</v>
      </c>
      <c r="E46" s="1"/>
      <c r="F46" s="5">
        <f t="shared" si="20"/>
        <v>0</v>
      </c>
      <c r="G46" s="1"/>
      <c r="H46" s="1">
        <f>SUM(OSRRefH22_7x_0)</f>
        <v>600</v>
      </c>
      <c r="I46" s="1"/>
      <c r="J46" s="5">
        <f t="shared" si="21"/>
        <v>9.0781171984930329E-3</v>
      </c>
      <c r="K46" s="1"/>
      <c r="L46" s="1">
        <f t="shared" si="22"/>
        <v>-600</v>
      </c>
      <c r="M46" s="1"/>
      <c r="N46" s="5">
        <f t="shared" si="23"/>
        <v>-1</v>
      </c>
      <c r="O46" s="14"/>
      <c r="P46" s="1">
        <f>SUM(OSRRefP22_7x_0)</f>
        <v>0</v>
      </c>
      <c r="Q46" s="1"/>
      <c r="R46" s="5">
        <f t="shared" si="24"/>
        <v>0</v>
      </c>
      <c r="S46" s="1"/>
      <c r="T46" s="1">
        <f>SUM(OSRRefT22_7x_0)</f>
        <v>600</v>
      </c>
      <c r="U46" s="1"/>
      <c r="V46" s="5">
        <f t="shared" si="25"/>
        <v>9.0781171984930329E-3</v>
      </c>
      <c r="W46" s="1"/>
      <c r="X46" s="1">
        <f t="shared" si="26"/>
        <v>-600</v>
      </c>
      <c r="Y46" s="1"/>
      <c r="Z46" s="5">
        <f t="shared" si="27"/>
        <v>-1</v>
      </c>
    </row>
    <row r="47" spans="1:26" s="24" customFormat="1" hidden="1" outlineLevel="2" x14ac:dyDescent="0.25">
      <c r="A47" s="29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20"/>
        <v>0</v>
      </c>
      <c r="G47" s="2"/>
      <c r="H47" s="7">
        <v>600</v>
      </c>
      <c r="I47" s="2"/>
      <c r="J47" s="6">
        <f t="shared" si="21"/>
        <v>9.0781171984930329E-3</v>
      </c>
      <c r="K47" s="2"/>
      <c r="L47" s="7">
        <f t="shared" si="22"/>
        <v>-600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600</v>
      </c>
      <c r="U47" s="2"/>
      <c r="V47" s="6">
        <f t="shared" si="25"/>
        <v>9.0781171984930329E-3</v>
      </c>
      <c r="W47" s="2"/>
      <c r="X47" s="7">
        <f t="shared" si="26"/>
        <v>-600</v>
      </c>
      <c r="Y47" s="2"/>
      <c r="Z47" s="6">
        <f t="shared" si="27"/>
        <v>-1</v>
      </c>
    </row>
    <row r="48" spans="1:26" s="28" customFormat="1" outlineLevel="1" collapsed="1" x14ac:dyDescent="0.25">
      <c r="A48" s="27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SUM(OSRRefD22_8x_0)</f>
        <v>14416.21</v>
      </c>
      <c r="E48" s="1"/>
      <c r="F48" s="5">
        <f t="shared" si="20"/>
        <v>0.39056676871393348</v>
      </c>
      <c r="G48" s="1"/>
      <c r="H48" s="1">
        <f>SUM(OSRRefH22_8x_0)</f>
        <v>41399.009999999995</v>
      </c>
      <c r="I48" s="1"/>
      <c r="J48" s="5">
        <f t="shared" si="21"/>
        <v>0.62637510780264161</v>
      </c>
      <c r="K48" s="1"/>
      <c r="L48" s="1">
        <f t="shared" si="22"/>
        <v>-26982.799999999996</v>
      </c>
      <c r="M48" s="1"/>
      <c r="N48" s="5">
        <f t="shared" si="23"/>
        <v>-0.65177404000723682</v>
      </c>
      <c r="O48" s="14"/>
      <c r="P48" s="1">
        <f>SUM(OSRRefP22_8x_0)</f>
        <v>14416.21</v>
      </c>
      <c r="Q48" s="1"/>
      <c r="R48" s="5">
        <f t="shared" si="24"/>
        <v>0.39056676871393348</v>
      </c>
      <c r="S48" s="1"/>
      <c r="T48" s="1">
        <f>SUM(OSRRefT22_8x_0)</f>
        <v>41399.009999999995</v>
      </c>
      <c r="U48" s="1"/>
      <c r="V48" s="5">
        <f t="shared" si="25"/>
        <v>0.62637510780264161</v>
      </c>
      <c r="W48" s="1"/>
      <c r="X48" s="1">
        <f t="shared" si="26"/>
        <v>-26982.799999999996</v>
      </c>
      <c r="Y48" s="1"/>
      <c r="Z48" s="5">
        <f t="shared" si="27"/>
        <v>-0.65177404000723682</v>
      </c>
    </row>
    <row r="49" spans="1:26" s="24" customFormat="1" hidden="1" outlineLevel="2" x14ac:dyDescent="0.25">
      <c r="A49" s="29"/>
      <c r="B49" s="11" t="str">
        <f>CONCATENATE("          ", "6241", " - ", "OFFICE EXPENSE")</f>
        <v xml:space="preserve">          6241 - OFFICE EXPENSE</v>
      </c>
      <c r="C49" s="11"/>
      <c r="D49" s="7">
        <v>14416.21</v>
      </c>
      <c r="E49" s="2"/>
      <c r="F49" s="6">
        <f t="shared" si="20"/>
        <v>0.39056676871393348</v>
      </c>
      <c r="G49" s="2"/>
      <c r="H49" s="7">
        <v>33335.009999999995</v>
      </c>
      <c r="I49" s="2"/>
      <c r="J49" s="6">
        <f t="shared" si="21"/>
        <v>0.50436521265489531</v>
      </c>
      <c r="K49" s="2"/>
      <c r="L49" s="7">
        <f t="shared" si="22"/>
        <v>-18918.799999999996</v>
      </c>
      <c r="M49" s="2"/>
      <c r="N49" s="6">
        <f t="shared" si="23"/>
        <v>-0.5675354529667157</v>
      </c>
      <c r="O49" s="11"/>
      <c r="P49" s="7">
        <v>14416.21</v>
      </c>
      <c r="Q49" s="2"/>
      <c r="R49" s="6">
        <f t="shared" si="24"/>
        <v>0.39056676871393348</v>
      </c>
      <c r="S49" s="2"/>
      <c r="T49" s="7">
        <v>33335.009999999995</v>
      </c>
      <c r="U49" s="2"/>
      <c r="V49" s="6">
        <f t="shared" si="25"/>
        <v>0.50436521265489531</v>
      </c>
      <c r="W49" s="2"/>
      <c r="X49" s="7">
        <f t="shared" si="26"/>
        <v>-18918.799999999996</v>
      </c>
      <c r="Y49" s="2"/>
      <c r="Z49" s="6">
        <f t="shared" si="27"/>
        <v>-0.5675354529667157</v>
      </c>
    </row>
    <row r="50" spans="1:26" s="24" customFormat="1" hidden="1" outlineLevel="2" x14ac:dyDescent="0.25">
      <c r="A50" s="29"/>
      <c r="B50" s="11" t="str">
        <f>CONCATENATE("          ", "6247", " - ", "STORE SUPPLIES")</f>
        <v xml:space="preserve">          6247 - STORE SUPPLIES</v>
      </c>
      <c r="C50" s="11"/>
      <c r="D50" s="7"/>
      <c r="E50" s="2"/>
      <c r="F50" s="6">
        <f t="shared" si="20"/>
        <v>0</v>
      </c>
      <c r="G50" s="2"/>
      <c r="H50" s="7">
        <v>8064</v>
      </c>
      <c r="I50" s="2"/>
      <c r="J50" s="6">
        <f t="shared" si="21"/>
        <v>0.12200989514774636</v>
      </c>
      <c r="K50" s="2"/>
      <c r="L50" s="7">
        <f t="shared" si="22"/>
        <v>-8064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8064</v>
      </c>
      <c r="U50" s="2"/>
      <c r="V50" s="6">
        <f t="shared" si="25"/>
        <v>0.12200989514774636</v>
      </c>
      <c r="W50" s="2"/>
      <c r="X50" s="7">
        <f t="shared" si="26"/>
        <v>-8064</v>
      </c>
      <c r="Y50" s="2"/>
      <c r="Z50" s="6">
        <f t="shared" si="27"/>
        <v>-1</v>
      </c>
    </row>
    <row r="51" spans="1:26" s="28" customFormat="1" outlineLevel="1" collapsed="1" x14ac:dyDescent="0.25">
      <c r="A51" s="27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SUM(OSRRefD22_9x_0)</f>
        <v>-23.35</v>
      </c>
      <c r="E51" s="1"/>
      <c r="F51" s="5">
        <f t="shared" ref="F51:F52" si="28">IF(D$12=0,0,D51/D$12)</f>
        <v>-6.3260274714854649E-4</v>
      </c>
      <c r="G51" s="1"/>
      <c r="H51" s="1">
        <f>SUM(OSRRefH22_9x_0)</f>
        <v>124.77</v>
      </c>
      <c r="I51" s="1"/>
      <c r="J51" s="5">
        <f t="shared" ref="J51:J52" si="29">IF(H$12=0,0,H51/H$12)</f>
        <v>1.887794471426626E-3</v>
      </c>
      <c r="K51" s="1"/>
      <c r="L51" s="1">
        <f t="shared" ref="L51:L52" si="30">+D51-H51</f>
        <v>-148.12</v>
      </c>
      <c r="M51" s="1"/>
      <c r="N51" s="5">
        <f t="shared" ref="N51:N52" si="31">IF(H51=0,0,L51/H51)</f>
        <v>-1.1871443455958965</v>
      </c>
      <c r="O51" s="14"/>
      <c r="P51" s="1">
        <f>SUM(OSRRefP22_9x_0)</f>
        <v>-23.35</v>
      </c>
      <c r="Q51" s="1"/>
      <c r="R51" s="5">
        <f t="shared" ref="R51:R52" si="32">IF(P$12=0,0,P51/P$12)</f>
        <v>-6.3260274714854649E-4</v>
      </c>
      <c r="S51" s="1"/>
      <c r="T51" s="1">
        <f>SUM(OSRRefT22_9x_0)</f>
        <v>124.77</v>
      </c>
      <c r="U51" s="1"/>
      <c r="V51" s="5">
        <f t="shared" ref="V51:V52" si="33">IF(T$12=0,0,T51/T$12)</f>
        <v>1.887794471426626E-3</v>
      </c>
      <c r="W51" s="1"/>
      <c r="X51" s="1">
        <f t="shared" ref="X51:X52" si="34">+P51-T51</f>
        <v>-148.12</v>
      </c>
      <c r="Y51" s="1"/>
      <c r="Z51" s="5">
        <f t="shared" ref="Z51:Z52" si="35">IF(T51=0,0,X51/T51)</f>
        <v>-1.1871443455958965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7">
        <v>-23.35</v>
      </c>
      <c r="E52" s="2"/>
      <c r="F52" s="6">
        <f t="shared" si="28"/>
        <v>-6.3260274714854649E-4</v>
      </c>
      <c r="G52" s="2"/>
      <c r="H52" s="7">
        <v>124.77</v>
      </c>
      <c r="I52" s="2"/>
      <c r="J52" s="6">
        <f t="shared" si="29"/>
        <v>1.887794471426626E-3</v>
      </c>
      <c r="K52" s="2"/>
      <c r="L52" s="7">
        <f t="shared" si="30"/>
        <v>-148.12</v>
      </c>
      <c r="M52" s="2"/>
      <c r="N52" s="6">
        <f t="shared" si="31"/>
        <v>-1.1871443455958965</v>
      </c>
      <c r="O52" s="11"/>
      <c r="P52" s="7">
        <v>-23.35</v>
      </c>
      <c r="Q52" s="2"/>
      <c r="R52" s="6">
        <f t="shared" si="32"/>
        <v>-6.3260274714854649E-4</v>
      </c>
      <c r="S52" s="2"/>
      <c r="T52" s="7">
        <v>124.77</v>
      </c>
      <c r="U52" s="2"/>
      <c r="V52" s="6">
        <f t="shared" si="33"/>
        <v>1.887794471426626E-3</v>
      </c>
      <c r="W52" s="2"/>
      <c r="X52" s="7">
        <f t="shared" si="34"/>
        <v>-148.12</v>
      </c>
      <c r="Y52" s="2"/>
      <c r="Z52" s="6">
        <f t="shared" si="35"/>
        <v>-1.1871443455958965</v>
      </c>
    </row>
    <row r="53" spans="1:26" s="54" customFormat="1" x14ac:dyDescent="0.25">
      <c r="A53" s="37"/>
      <c r="B53" s="37"/>
      <c r="C53" s="37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collapsed="1" x14ac:dyDescent="0.25">
      <c r="A54" s="10"/>
      <c r="B54" s="26" t="s">
        <v>0</v>
      </c>
      <c r="C54" s="10"/>
      <c r="D54" s="4">
        <f>SUM(OSRRefD25x_0)</f>
        <v>851.09</v>
      </c>
      <c r="E54" s="4"/>
      <c r="F54" s="12">
        <f t="shared" ref="F54:F55" si="36">IF(D$12=0,0,D54/D$12)</f>
        <v>2.3057896020156593E-2</v>
      </c>
      <c r="G54" s="4"/>
      <c r="H54" s="4">
        <f>SUM(OSRRefH25x_0)</f>
        <v>1299.1199999999999</v>
      </c>
      <c r="I54" s="4"/>
      <c r="J54" s="12">
        <f t="shared" ref="J54:J55" si="37">IF(H$12=0,0,H54/H$12)</f>
        <v>1.9655939358177114E-2</v>
      </c>
      <c r="K54" s="4"/>
      <c r="L54" s="4">
        <f t="shared" ref="L54:L55" si="38">+D54-H54</f>
        <v>-448.02999999999986</v>
      </c>
      <c r="M54" s="4"/>
      <c r="N54" s="12">
        <f t="shared" ref="N54:N55" si="39">IF(H54=0,0,L54/H54)</f>
        <v>-0.34487191329515354</v>
      </c>
      <c r="O54" s="10"/>
      <c r="P54" s="4">
        <f>SUM(OSRRefP25x_0)</f>
        <v>851.09</v>
      </c>
      <c r="Q54" s="4"/>
      <c r="R54" s="12">
        <f t="shared" ref="R54:R55" si="40">IF(P$12=0,0,P54/P$12)</f>
        <v>2.3057896020156593E-2</v>
      </c>
      <c r="S54" s="4"/>
      <c r="T54" s="4">
        <f>SUM(OSRRefT25x_0)</f>
        <v>1299.1199999999999</v>
      </c>
      <c r="U54" s="4"/>
      <c r="V54" s="12">
        <f t="shared" ref="V54:V55" si="41">IF(T$12=0,0,T54/T$12)</f>
        <v>1.9655939358177114E-2</v>
      </c>
      <c r="W54" s="4"/>
      <c r="X54" s="4">
        <f t="shared" ref="X54:X55" si="42">+P54-T54</f>
        <v>-448.02999999999986</v>
      </c>
      <c r="Y54" s="4"/>
      <c r="Z54" s="12">
        <f t="shared" ref="Z54:Z55" si="43">IF(T54=0,0,X54/T54)</f>
        <v>-0.34487191329515354</v>
      </c>
    </row>
    <row r="55" spans="1:26" s="24" customFormat="1" hidden="1" outlineLevel="1" x14ac:dyDescent="0.25">
      <c r="A55" s="50"/>
      <c r="B55" s="11" t="str">
        <f>CONCATENATE("          ", "9150", " - ", "MISC. INCOME")</f>
        <v xml:space="preserve">          9150 - MISC. INCOME</v>
      </c>
      <c r="C55" s="11"/>
      <c r="D55" s="2">
        <f>--851.09</f>
        <v>851.09</v>
      </c>
      <c r="E55" s="2"/>
      <c r="F55" s="22">
        <f t="shared" si="36"/>
        <v>2.3057896020156593E-2</v>
      </c>
      <c r="G55" s="2"/>
      <c r="H55" s="2">
        <f>--1299.12</f>
        <v>1299.1199999999999</v>
      </c>
      <c r="I55" s="2"/>
      <c r="J55" s="22">
        <f t="shared" si="37"/>
        <v>1.9655939358177114E-2</v>
      </c>
      <c r="K55" s="2"/>
      <c r="L55" s="2">
        <f t="shared" si="38"/>
        <v>-448.02999999999986</v>
      </c>
      <c r="M55" s="2"/>
      <c r="N55" s="22">
        <f t="shared" si="39"/>
        <v>-0.34487191329515354</v>
      </c>
      <c r="O55" s="11"/>
      <c r="P55" s="2">
        <f>--851.09</f>
        <v>851.09</v>
      </c>
      <c r="Q55" s="2"/>
      <c r="R55" s="22">
        <f t="shared" si="40"/>
        <v>2.3057896020156593E-2</v>
      </c>
      <c r="S55" s="2"/>
      <c r="T55" s="2">
        <f>--1299.12</f>
        <v>1299.1199999999999</v>
      </c>
      <c r="U55" s="2"/>
      <c r="V55" s="22">
        <f t="shared" si="41"/>
        <v>1.9655939358177114E-2</v>
      </c>
      <c r="W55" s="2"/>
      <c r="X55" s="2">
        <f t="shared" si="42"/>
        <v>-448.02999999999986</v>
      </c>
      <c r="Y55" s="2"/>
      <c r="Z55" s="22">
        <f t="shared" si="43"/>
        <v>-0.34487191329515354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3</v>
      </c>
      <c r="C57" s="25"/>
      <c r="D57" s="21">
        <f>+D17-D19+D54</f>
        <v>0.48000000000672571</v>
      </c>
      <c r="E57" s="13"/>
      <c r="F57" s="20">
        <f>IF(D$12=0,0,D57/D$12)</f>
        <v>1.300425347475619E-5</v>
      </c>
      <c r="G57" s="13"/>
      <c r="H57" s="21">
        <f>+H17-H19+H54</f>
        <v>0.11000000000512955</v>
      </c>
      <c r="I57" s="13"/>
      <c r="J57" s="20">
        <f>IF(H$12=0,0,H57/H$12)</f>
        <v>1.6643214864680004E-6</v>
      </c>
      <c r="K57" s="16"/>
      <c r="L57" s="21">
        <f>+D57-H57</f>
        <v>0.37000000000159616</v>
      </c>
      <c r="M57" s="16"/>
      <c r="N57" s="20">
        <f>IF(H57=0,0,L57/H57)</f>
        <v>3.3636363634940203</v>
      </c>
      <c r="O57" s="26"/>
      <c r="P57" s="21">
        <f>+P17-P19+P54</f>
        <v>0.48000000000672571</v>
      </c>
      <c r="Q57" s="13"/>
      <c r="R57" s="20">
        <f>IF(P$12=0,0,P57/P$12)</f>
        <v>1.300425347475619E-5</v>
      </c>
      <c r="S57" s="13"/>
      <c r="T57" s="21">
        <f>+T17-T19+T54</f>
        <v>0.11000000000512955</v>
      </c>
      <c r="U57" s="13"/>
      <c r="V57" s="20">
        <f>IF(T$12=0,0,T57/T$12)</f>
        <v>1.6643214864680004E-6</v>
      </c>
      <c r="W57" s="16"/>
      <c r="X57" s="21">
        <f>+P57-T57</f>
        <v>0.37000000000159616</v>
      </c>
      <c r="Y57" s="16"/>
      <c r="Z57" s="20">
        <f>IF(T57=0,0,X57/T57)</f>
        <v>3.3636363634940203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1"/>
      <c r="B59" s="10" t="s">
        <v>13</v>
      </c>
      <c r="C59" s="10"/>
      <c r="D59" s="4">
        <v>7674.88</v>
      </c>
      <c r="E59" s="4"/>
      <c r="F59" s="12">
        <f>IF(D$12=0,0,D59/D$12)</f>
        <v>0.20792934355612147</v>
      </c>
      <c r="G59" s="4"/>
      <c r="H59" s="4">
        <v>13568.94</v>
      </c>
      <c r="I59" s="4"/>
      <c r="J59" s="12">
        <f>IF(H$12=0,0,H59/H$12)</f>
        <v>0.20530071263220009</v>
      </c>
      <c r="K59" s="4"/>
      <c r="L59" s="4">
        <f>+D59-H59</f>
        <v>-5894.06</v>
      </c>
      <c r="M59" s="4"/>
      <c r="N59" s="12">
        <f>IF(H59=0,0,L59/H59)</f>
        <v>-0.43437880925112798</v>
      </c>
      <c r="O59" s="10"/>
      <c r="P59" s="4">
        <v>7674.88</v>
      </c>
      <c r="Q59" s="4"/>
      <c r="R59" s="12">
        <f>IF(P$12=0,0,P59/P$12)</f>
        <v>0.20792934355612147</v>
      </c>
      <c r="S59" s="4"/>
      <c r="T59" s="4">
        <v>13568.94</v>
      </c>
      <c r="U59" s="4"/>
      <c r="V59" s="12">
        <f>IF(T$12=0,0,T59/T$12)</f>
        <v>0.20530071263220009</v>
      </c>
      <c r="W59" s="4"/>
      <c r="X59" s="4">
        <f>+P59-T59</f>
        <v>-5894.06</v>
      </c>
      <c r="Y59" s="4"/>
      <c r="Z59" s="12">
        <f>IF(T59=0,0,X59/T59)</f>
        <v>-0.43437880925112798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5" t="s">
        <v>4</v>
      </c>
      <c r="C61" s="25"/>
      <c r="D61" s="33">
        <f>+D57-D59</f>
        <v>-7674.3999999999933</v>
      </c>
      <c r="E61" s="13"/>
      <c r="F61" s="34">
        <f>IF(D$12=0,0,D61/D$12)</f>
        <v>-0.20791633930264672</v>
      </c>
      <c r="G61" s="13"/>
      <c r="H61" s="33">
        <f>+H57-H59</f>
        <v>-13568.829999999994</v>
      </c>
      <c r="I61" s="13"/>
      <c r="J61" s="34">
        <f>IF(H$12=0,0,H61/H$12)</f>
        <v>-0.20529904831071361</v>
      </c>
      <c r="K61" s="16"/>
      <c r="L61" s="33">
        <f>D61-H61</f>
        <v>5894.4300000000012</v>
      </c>
      <c r="M61" s="16"/>
      <c r="N61" s="34">
        <f>IF(H61=0,0,L61/H61)</f>
        <v>-0.4344095990590201</v>
      </c>
      <c r="O61" s="26"/>
      <c r="P61" s="33">
        <f>+P57-P59</f>
        <v>-7674.3999999999933</v>
      </c>
      <c r="Q61" s="13"/>
      <c r="R61" s="34">
        <f>IF(P$12=0,0,P61/P$12)</f>
        <v>-0.20791633930264672</v>
      </c>
      <c r="S61" s="13"/>
      <c r="T61" s="33">
        <f>+T57-T59</f>
        <v>-13568.829999999994</v>
      </c>
      <c r="U61" s="13"/>
      <c r="V61" s="34">
        <f>IF(T$12=0,0,T61/T$12)</f>
        <v>-0.20529904831071361</v>
      </c>
      <c r="W61" s="16"/>
      <c r="X61" s="33">
        <f>P61-T61</f>
        <v>5894.4300000000012</v>
      </c>
      <c r="Y61" s="16"/>
      <c r="Z61" s="34">
        <f>IF(T61=0,0,X61/T61)</f>
        <v>-0.4344095990590201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5</v>
      </c>
      <c r="C64" s="25"/>
      <c r="D64" s="31">
        <f>SUM(D61:D63)</f>
        <v>-7674.3999999999933</v>
      </c>
      <c r="E64" s="13"/>
      <c r="F64" s="30">
        <f>IF(D$12=0,0,D64/D$12)</f>
        <v>-0.20791633930264672</v>
      </c>
      <c r="G64" s="13"/>
      <c r="H64" s="31">
        <f>SUM(H61:H63)</f>
        <v>-13568.829999999994</v>
      </c>
      <c r="I64" s="13"/>
      <c r="J64" s="30">
        <f>IF(H$12=0,0,H64/H$12)</f>
        <v>-0.20529904831071361</v>
      </c>
      <c r="K64" s="16"/>
      <c r="L64" s="31">
        <f>+D64-H64</f>
        <v>5894.4300000000012</v>
      </c>
      <c r="M64" s="16"/>
      <c r="N64" s="30">
        <f>IF(H64=0,0,L64/H64)</f>
        <v>-0.4344095990590201</v>
      </c>
      <c r="O64" s="26"/>
      <c r="P64" s="31">
        <f>SUM(P61:P63)</f>
        <v>-7674.3999999999933</v>
      </c>
      <c r="Q64" s="13"/>
      <c r="R64" s="30">
        <f>IF(P$12=0,0,P64/P$12)</f>
        <v>-0.20791633930264672</v>
      </c>
      <c r="S64" s="13"/>
      <c r="T64" s="31">
        <f>SUM(T61:T63)</f>
        <v>-13568.829999999994</v>
      </c>
      <c r="U64" s="13"/>
      <c r="V64" s="30">
        <f>IF(T$12=0,0,T64/T$12)</f>
        <v>-0.20529904831071361</v>
      </c>
      <c r="W64" s="16"/>
      <c r="X64" s="31">
        <f>+P64-T64</f>
        <v>5894.4300000000012</v>
      </c>
      <c r="Y64" s="16"/>
      <c r="Z64" s="30">
        <f>IF(T64=0,0,X64/T64)</f>
        <v>-0.4344095990590201</v>
      </c>
    </row>
    <row r="65" spans="1:24" ht="15.75" thickTop="1" x14ac:dyDescent="0.25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6">
        <v>43726.681562118058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3" t="s">
        <v>313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A68" s="9"/>
      <c r="B68" s="5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25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",RIGHT(202001,2),", ",2020)</f>
        <v>Period 01, 2020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43680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36911</v>
      </c>
      <c r="E12" s="4"/>
      <c r="F12" s="12"/>
      <c r="G12" s="4"/>
      <c r="H12" s="4">
        <f>SUM(OSRRefH13x_0)</f>
        <v>66093</v>
      </c>
      <c r="I12" s="4"/>
      <c r="J12" s="12"/>
      <c r="K12" s="4"/>
      <c r="L12" s="4">
        <f t="shared" ref="L12:L13" si="0">+D12-H12</f>
        <v>-29182</v>
      </c>
      <c r="M12" s="4"/>
      <c r="N12" s="12">
        <f t="shared" ref="N12:N13" si="1">IF(H12=0,0,L12/H12)</f>
        <v>-0.44152936014403948</v>
      </c>
      <c r="O12" s="10"/>
      <c r="P12" s="4">
        <f>SUM(OSRRefP13x_0)</f>
        <v>36911</v>
      </c>
      <c r="Q12" s="4"/>
      <c r="R12" s="12"/>
      <c r="S12" s="4"/>
      <c r="T12" s="4">
        <f>SUM(OSRRefT13x_0)</f>
        <v>66093</v>
      </c>
      <c r="U12" s="4"/>
      <c r="V12" s="12"/>
      <c r="W12" s="4"/>
      <c r="X12" s="4">
        <f t="shared" ref="X12:X13" si="2">+P12-T12</f>
        <v>-29182</v>
      </c>
      <c r="Y12" s="4"/>
      <c r="Z12" s="12">
        <f t="shared" ref="Z12:Z13" si="3">IF(T12=0,0,X12/T12)</f>
        <v>-0.44152936014403948</v>
      </c>
    </row>
    <row r="13" spans="1:26" s="24" customFormat="1" hidden="1" outlineLevel="1" x14ac:dyDescent="0.25">
      <c r="A13" s="50"/>
      <c r="B13" s="11" t="str">
        <f>CONCATENATE("          ", "4100", " - ", "NON-TAXABLE SALES")</f>
        <v xml:space="preserve">          4100 - NON-TAXABLE SALES</v>
      </c>
      <c r="C13" s="11"/>
      <c r="D13" s="2">
        <f>--36911</f>
        <v>36911</v>
      </c>
      <c r="E13" s="2"/>
      <c r="F13" s="22"/>
      <c r="G13" s="2"/>
      <c r="H13" s="2">
        <f>--66093</f>
        <v>66093</v>
      </c>
      <c r="I13" s="2"/>
      <c r="J13" s="22"/>
      <c r="K13" s="2"/>
      <c r="L13" s="2">
        <f t="shared" si="0"/>
        <v>-29182</v>
      </c>
      <c r="M13" s="2"/>
      <c r="N13" s="22">
        <f t="shared" si="1"/>
        <v>-0.44152936014403948</v>
      </c>
      <c r="O13" s="11"/>
      <c r="P13" s="2">
        <f>--36911</f>
        <v>36911</v>
      </c>
      <c r="Q13" s="2"/>
      <c r="R13" s="22"/>
      <c r="S13" s="2"/>
      <c r="T13" s="2">
        <f>--66093</f>
        <v>66093</v>
      </c>
      <c r="U13" s="2"/>
      <c r="V13" s="22"/>
      <c r="W13" s="2"/>
      <c r="X13" s="2">
        <f t="shared" si="2"/>
        <v>-29182</v>
      </c>
      <c r="Y13" s="2"/>
      <c r="Z13" s="22">
        <f t="shared" si="3"/>
        <v>-0.44152936014403948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36911</v>
      </c>
      <c r="E17" s="13"/>
      <c r="F17" s="20">
        <f>IF(D$12=0,0,D17/D$12)</f>
        <v>1</v>
      </c>
      <c r="G17" s="13"/>
      <c r="H17" s="21">
        <f>H12-H15</f>
        <v>66093</v>
      </c>
      <c r="I17" s="13"/>
      <c r="J17" s="20">
        <f>IF(H$12=0,0,H17/H$12)</f>
        <v>1</v>
      </c>
      <c r="K17" s="16"/>
      <c r="L17" s="21">
        <f>+D17-H17</f>
        <v>-29182</v>
      </c>
      <c r="M17" s="16"/>
      <c r="N17" s="20">
        <f>IF(H17=0,0,L17/H17)</f>
        <v>-0.44152936014403948</v>
      </c>
      <c r="O17" s="26"/>
      <c r="P17" s="21">
        <f>P12-P15</f>
        <v>36911</v>
      </c>
      <c r="Q17" s="13"/>
      <c r="R17" s="20">
        <f>IF(P$12=0,0,P17/P$12)</f>
        <v>1</v>
      </c>
      <c r="S17" s="13"/>
      <c r="T17" s="21">
        <f>T12-T15</f>
        <v>66093</v>
      </c>
      <c r="U17" s="13"/>
      <c r="V17" s="20">
        <f>IF(T$12=0,0,T17/T$12)</f>
        <v>1</v>
      </c>
      <c r="W17" s="16"/>
      <c r="X17" s="21">
        <f>+P17-T17</f>
        <v>-29182</v>
      </c>
      <c r="Y17" s="16"/>
      <c r="Z17" s="20">
        <f>IF(T17=0,0,X17/T17)</f>
        <v>-0.44152936014403948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37761.609999999993</v>
      </c>
      <c r="E19" s="19"/>
      <c r="F19" s="35">
        <f t="shared" ref="F19:F28" si="4">IF(D$12=0,0,D19/D$12)</f>
        <v>1.0230448917666819</v>
      </c>
      <c r="G19" s="19"/>
      <c r="H19" s="19">
        <f>SUM(OSRRefH22x_0)</f>
        <v>67392.009999999995</v>
      </c>
      <c r="I19" s="19"/>
      <c r="J19" s="35">
        <f t="shared" ref="J19:J28" si="5">IF(H$12=0,0,H19/H$12)</f>
        <v>1.0196542750366906</v>
      </c>
      <c r="K19" s="4"/>
      <c r="L19" s="19">
        <f t="shared" ref="L19:L28" si="6">+D19-H19</f>
        <v>-29630.400000000001</v>
      </c>
      <c r="M19" s="4"/>
      <c r="N19" s="35">
        <f t="shared" ref="N19:N28" si="7">IF(H19=0,0,L19/H19)</f>
        <v>-0.43967229943134212</v>
      </c>
      <c r="O19" s="10"/>
      <c r="P19" s="19">
        <f>SUM(OSRRefP22x_0)</f>
        <v>37761.609999999993</v>
      </c>
      <c r="Q19" s="19"/>
      <c r="R19" s="35">
        <f t="shared" ref="R19:R28" si="8">IF(P$12=0,0,P19/P$12)</f>
        <v>1.0230448917666819</v>
      </c>
      <c r="S19" s="19"/>
      <c r="T19" s="19">
        <f>SUM(OSRRefT22x_0)</f>
        <v>67392.009999999995</v>
      </c>
      <c r="U19" s="19"/>
      <c r="V19" s="35">
        <f t="shared" ref="V19:V28" si="9">IF(T$12=0,0,T19/T$12)</f>
        <v>1.0196542750366906</v>
      </c>
      <c r="W19" s="4"/>
      <c r="X19" s="19">
        <f t="shared" ref="X19:X28" si="10">+P19-T19</f>
        <v>-29630.400000000001</v>
      </c>
      <c r="Y19" s="4"/>
      <c r="Z19" s="35">
        <f t="shared" ref="Z19:Z28" si="11">IF(T19=0,0,X19/T19)</f>
        <v>-0.43967229943134212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4399.3499999999995</v>
      </c>
      <c r="E20" s="1"/>
      <c r="F20" s="5">
        <f t="shared" si="4"/>
        <v>0.11918804692368128</v>
      </c>
      <c r="G20" s="1"/>
      <c r="H20" s="1">
        <f>SUM(OSRRefH22_0x_0)</f>
        <v>4095.93</v>
      </c>
      <c r="I20" s="1"/>
      <c r="J20" s="5">
        <f t="shared" si="5"/>
        <v>6.1972220961372608E-2</v>
      </c>
      <c r="K20" s="1"/>
      <c r="L20" s="1">
        <f t="shared" si="6"/>
        <v>303.41999999999962</v>
      </c>
      <c r="M20" s="1"/>
      <c r="N20" s="5">
        <f t="shared" si="7"/>
        <v>7.4078414426027694E-2</v>
      </c>
      <c r="O20" s="14"/>
      <c r="P20" s="1">
        <f>SUM(OSRRefP22_0x_0)</f>
        <v>4399.3499999999995</v>
      </c>
      <c r="Q20" s="1"/>
      <c r="R20" s="5">
        <f t="shared" si="8"/>
        <v>0.11918804692368128</v>
      </c>
      <c r="S20" s="1"/>
      <c r="T20" s="1">
        <f>SUM(OSRRefT22_0x_0)</f>
        <v>4095.93</v>
      </c>
      <c r="U20" s="1"/>
      <c r="V20" s="5">
        <f t="shared" si="9"/>
        <v>6.1972220961372608E-2</v>
      </c>
      <c r="W20" s="1"/>
      <c r="X20" s="1">
        <f t="shared" si="10"/>
        <v>303.41999999999962</v>
      </c>
      <c r="Y20" s="1"/>
      <c r="Z20" s="5">
        <f t="shared" si="11"/>
        <v>7.4078414426027694E-2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1065.93</v>
      </c>
      <c r="E21" s="2"/>
      <c r="F21" s="6">
        <f t="shared" si="4"/>
        <v>2.8878383137817997E-2</v>
      </c>
      <c r="G21" s="2"/>
      <c r="H21" s="7">
        <v>1101.74</v>
      </c>
      <c r="I21" s="2"/>
      <c r="J21" s="6">
        <f t="shared" si="5"/>
        <v>1.6669541403779523E-2</v>
      </c>
      <c r="K21" s="2"/>
      <c r="L21" s="7">
        <f t="shared" si="6"/>
        <v>-35.809999999999945</v>
      </c>
      <c r="M21" s="2"/>
      <c r="N21" s="6">
        <f t="shared" si="7"/>
        <v>-3.2503131410314544E-2</v>
      </c>
      <c r="O21" s="11"/>
      <c r="P21" s="7">
        <v>1065.93</v>
      </c>
      <c r="Q21" s="2"/>
      <c r="R21" s="6">
        <f t="shared" si="8"/>
        <v>2.8878383137817997E-2</v>
      </c>
      <c r="S21" s="2"/>
      <c r="T21" s="7">
        <v>1101.74</v>
      </c>
      <c r="U21" s="2"/>
      <c r="V21" s="6">
        <f t="shared" si="9"/>
        <v>1.6669541403779523E-2</v>
      </c>
      <c r="W21" s="2"/>
      <c r="X21" s="7">
        <f t="shared" si="10"/>
        <v>-35.809999999999945</v>
      </c>
      <c r="Y21" s="2"/>
      <c r="Z21" s="6">
        <f t="shared" si="11"/>
        <v>-3.2503131410314544E-2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49</v>
      </c>
      <c r="E22" s="2"/>
      <c r="F22" s="6">
        <f t="shared" si="4"/>
        <v>1.3275175421960932E-3</v>
      </c>
      <c r="G22" s="2"/>
      <c r="H22" s="7">
        <v>69.3</v>
      </c>
      <c r="I22" s="2"/>
      <c r="J22" s="6">
        <f t="shared" si="5"/>
        <v>1.0485225364259452E-3</v>
      </c>
      <c r="K22" s="2"/>
      <c r="L22" s="7">
        <f t="shared" si="6"/>
        <v>-20.299999999999997</v>
      </c>
      <c r="M22" s="2"/>
      <c r="N22" s="6">
        <f t="shared" si="7"/>
        <v>-0.29292929292929287</v>
      </c>
      <c r="O22" s="11"/>
      <c r="P22" s="7">
        <v>49</v>
      </c>
      <c r="Q22" s="2"/>
      <c r="R22" s="6">
        <f t="shared" si="8"/>
        <v>1.3275175421960932E-3</v>
      </c>
      <c r="S22" s="2"/>
      <c r="T22" s="7">
        <v>69.3</v>
      </c>
      <c r="U22" s="2"/>
      <c r="V22" s="6">
        <f t="shared" si="9"/>
        <v>1.0485225364259452E-3</v>
      </c>
      <c r="W22" s="2"/>
      <c r="X22" s="7">
        <f t="shared" si="10"/>
        <v>-20.299999999999997</v>
      </c>
      <c r="Y22" s="2"/>
      <c r="Z22" s="6">
        <f t="shared" si="11"/>
        <v>-0.29292929292929287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3.368399664056785E-2</v>
      </c>
      <c r="G23" s="2"/>
      <c r="H23" s="7">
        <v>445.03</v>
      </c>
      <c r="I23" s="2"/>
      <c r="J23" s="6">
        <f t="shared" si="5"/>
        <v>6.7333908280755904E-3</v>
      </c>
      <c r="K23" s="2"/>
      <c r="L23" s="7">
        <f t="shared" si="6"/>
        <v>798.28</v>
      </c>
      <c r="M23" s="2"/>
      <c r="N23" s="6">
        <f t="shared" si="7"/>
        <v>1.7937667123564704</v>
      </c>
      <c r="O23" s="11"/>
      <c r="P23" s="7">
        <v>1243.31</v>
      </c>
      <c r="Q23" s="2"/>
      <c r="R23" s="6">
        <f t="shared" si="8"/>
        <v>3.368399664056785E-2</v>
      </c>
      <c r="S23" s="2"/>
      <c r="T23" s="7">
        <v>445.03</v>
      </c>
      <c r="U23" s="2"/>
      <c r="V23" s="6">
        <f t="shared" si="9"/>
        <v>6.7333908280755904E-3</v>
      </c>
      <c r="W23" s="2"/>
      <c r="X23" s="7">
        <f t="shared" si="10"/>
        <v>798.28</v>
      </c>
      <c r="Y23" s="2"/>
      <c r="Z23" s="6">
        <f t="shared" si="11"/>
        <v>1.7937667123564704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37.47</v>
      </c>
      <c r="E24" s="2"/>
      <c r="F24" s="6">
        <f t="shared" si="4"/>
        <v>1.015144536858931E-3</v>
      </c>
      <c r="G24" s="2"/>
      <c r="H24" s="7">
        <v>58.13</v>
      </c>
      <c r="I24" s="2"/>
      <c r="J24" s="6">
        <f t="shared" si="5"/>
        <v>8.7951825458066669E-4</v>
      </c>
      <c r="K24" s="2"/>
      <c r="L24" s="7">
        <f t="shared" si="6"/>
        <v>-20.660000000000004</v>
      </c>
      <c r="M24" s="2"/>
      <c r="N24" s="6">
        <f t="shared" si="7"/>
        <v>-0.35541028728711516</v>
      </c>
      <c r="O24" s="11"/>
      <c r="P24" s="7">
        <v>37.47</v>
      </c>
      <c r="Q24" s="2"/>
      <c r="R24" s="6">
        <f t="shared" si="8"/>
        <v>1.015144536858931E-3</v>
      </c>
      <c r="S24" s="2"/>
      <c r="T24" s="7">
        <v>58.13</v>
      </c>
      <c r="U24" s="2"/>
      <c r="V24" s="6">
        <f t="shared" si="9"/>
        <v>8.7951825458066669E-4</v>
      </c>
      <c r="W24" s="2"/>
      <c r="X24" s="7">
        <f t="shared" si="10"/>
        <v>-20.660000000000004</v>
      </c>
      <c r="Y24" s="2"/>
      <c r="Z24" s="6">
        <f t="shared" si="11"/>
        <v>-0.35541028728711516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609.02</v>
      </c>
      <c r="E25" s="2"/>
      <c r="F25" s="6">
        <f t="shared" si="4"/>
        <v>1.6499688439760504E-2</v>
      </c>
      <c r="G25" s="2"/>
      <c r="H25" s="7">
        <v>808.53</v>
      </c>
      <c r="I25" s="2"/>
      <c r="J25" s="6">
        <f t="shared" si="5"/>
        <v>1.2233216830829285E-2</v>
      </c>
      <c r="K25" s="2"/>
      <c r="L25" s="7">
        <f t="shared" si="6"/>
        <v>-199.51</v>
      </c>
      <c r="M25" s="2"/>
      <c r="N25" s="6">
        <f t="shared" si="7"/>
        <v>-0.24675645925321263</v>
      </c>
      <c r="O25" s="11"/>
      <c r="P25" s="7">
        <v>609.02</v>
      </c>
      <c r="Q25" s="2"/>
      <c r="R25" s="6">
        <f t="shared" si="8"/>
        <v>1.6499688439760504E-2</v>
      </c>
      <c r="S25" s="2"/>
      <c r="T25" s="7">
        <v>808.53</v>
      </c>
      <c r="U25" s="2"/>
      <c r="V25" s="6">
        <f t="shared" si="9"/>
        <v>1.2233216830829285E-2</v>
      </c>
      <c r="W25" s="2"/>
      <c r="X25" s="7">
        <f t="shared" si="10"/>
        <v>-199.51</v>
      </c>
      <c r="Y25" s="2"/>
      <c r="Z25" s="6">
        <f t="shared" si="11"/>
        <v>-0.24675645925321263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843.36</v>
      </c>
      <c r="E26" s="2"/>
      <c r="F26" s="6">
        <f t="shared" si="4"/>
        <v>2.2848473354826475E-2</v>
      </c>
      <c r="G26" s="2"/>
      <c r="H26" s="7">
        <v>909.41</v>
      </c>
      <c r="I26" s="2"/>
      <c r="J26" s="6">
        <f t="shared" si="5"/>
        <v>1.375955093580258E-2</v>
      </c>
      <c r="K26" s="2"/>
      <c r="L26" s="7">
        <f t="shared" si="6"/>
        <v>-66.049999999999955</v>
      </c>
      <c r="M26" s="2"/>
      <c r="N26" s="6">
        <f t="shared" si="7"/>
        <v>-7.2629507043027855E-2</v>
      </c>
      <c r="O26" s="11"/>
      <c r="P26" s="7">
        <v>843.36</v>
      </c>
      <c r="Q26" s="2"/>
      <c r="R26" s="6">
        <f t="shared" si="8"/>
        <v>2.2848473354826475E-2</v>
      </c>
      <c r="S26" s="2"/>
      <c r="T26" s="7">
        <v>909.41</v>
      </c>
      <c r="U26" s="2"/>
      <c r="V26" s="6">
        <f t="shared" si="9"/>
        <v>1.375955093580258E-2</v>
      </c>
      <c r="W26" s="2"/>
      <c r="X26" s="7">
        <f t="shared" si="10"/>
        <v>-66.049999999999955</v>
      </c>
      <c r="Y26" s="2"/>
      <c r="Z26" s="6">
        <f t="shared" si="11"/>
        <v>-7.2629507043027855E-2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418.38</v>
      </c>
      <c r="E27" s="2"/>
      <c r="F27" s="6">
        <f t="shared" si="4"/>
        <v>1.1334832434775542E-2</v>
      </c>
      <c r="G27" s="2"/>
      <c r="H27" s="7">
        <v>435.84</v>
      </c>
      <c r="I27" s="2"/>
      <c r="J27" s="6">
        <f t="shared" si="5"/>
        <v>6.5943443329853383E-3</v>
      </c>
      <c r="K27" s="2"/>
      <c r="L27" s="7">
        <f t="shared" si="6"/>
        <v>-17.45999999999998</v>
      </c>
      <c r="M27" s="2"/>
      <c r="N27" s="6">
        <f t="shared" si="7"/>
        <v>-4.0060572687224627E-2</v>
      </c>
      <c r="O27" s="11"/>
      <c r="P27" s="7">
        <v>418.38</v>
      </c>
      <c r="Q27" s="2"/>
      <c r="R27" s="6">
        <f t="shared" si="8"/>
        <v>1.1334832434775542E-2</v>
      </c>
      <c r="S27" s="2"/>
      <c r="T27" s="7">
        <v>435.84</v>
      </c>
      <c r="U27" s="2"/>
      <c r="V27" s="6">
        <f t="shared" si="9"/>
        <v>6.5943443329853383E-3</v>
      </c>
      <c r="W27" s="2"/>
      <c r="X27" s="7">
        <f t="shared" si="10"/>
        <v>-17.45999999999998</v>
      </c>
      <c r="Y27" s="2"/>
      <c r="Z27" s="6">
        <f t="shared" si="11"/>
        <v>-4.0060572687224627E-2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132.88</v>
      </c>
      <c r="E28" s="2"/>
      <c r="F28" s="6">
        <f t="shared" si="4"/>
        <v>3.6000108368778954E-3</v>
      </c>
      <c r="G28" s="2"/>
      <c r="H28" s="7">
        <v>267.95</v>
      </c>
      <c r="I28" s="2"/>
      <c r="J28" s="6">
        <f t="shared" si="5"/>
        <v>4.0541358388936797E-3</v>
      </c>
      <c r="K28" s="2"/>
      <c r="L28" s="7">
        <f t="shared" si="6"/>
        <v>-135.07</v>
      </c>
      <c r="M28" s="2"/>
      <c r="N28" s="6">
        <f t="shared" si="7"/>
        <v>-0.50408658331778311</v>
      </c>
      <c r="O28" s="11"/>
      <c r="P28" s="7">
        <v>132.88</v>
      </c>
      <c r="Q28" s="2"/>
      <c r="R28" s="6">
        <f t="shared" si="8"/>
        <v>3.6000108368778954E-3</v>
      </c>
      <c r="S28" s="2"/>
      <c r="T28" s="7">
        <v>267.95</v>
      </c>
      <c r="U28" s="2"/>
      <c r="V28" s="6">
        <f t="shared" si="9"/>
        <v>4.0541358388936797E-3</v>
      </c>
      <c r="W28" s="2"/>
      <c r="X28" s="7">
        <f t="shared" si="10"/>
        <v>-135.07</v>
      </c>
      <c r="Y28" s="2"/>
      <c r="Z28" s="6">
        <f t="shared" si="11"/>
        <v>-0.50408658331778311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17820.689999999999</v>
      </c>
      <c r="E29" s="1"/>
      <c r="F29" s="5">
        <f t="shared" ref="F29:F35" si="12">IF(D$12=0,0,D29/D$12)</f>
        <v>0.48280160385792847</v>
      </c>
      <c r="G29" s="1"/>
      <c r="H29" s="1">
        <f>SUM(OSRRefH22_1x_0)</f>
        <v>19179.71</v>
      </c>
      <c r="I29" s="1"/>
      <c r="J29" s="5">
        <f t="shared" ref="J29:J35" si="13">IF(H$12=0,0,H29/H$12)</f>
        <v>0.29019275868851463</v>
      </c>
      <c r="K29" s="1"/>
      <c r="L29" s="1">
        <f t="shared" ref="L29:L35" si="14">+D29-H29</f>
        <v>-1359.0200000000004</v>
      </c>
      <c r="M29" s="1"/>
      <c r="N29" s="5">
        <f t="shared" ref="N29:N35" si="15">IF(H29=0,0,L29/H29)</f>
        <v>-7.0857171458796844E-2</v>
      </c>
      <c r="O29" s="14"/>
      <c r="P29" s="1">
        <f>SUM(OSRRefP22_1x_0)</f>
        <v>17820.689999999999</v>
      </c>
      <c r="Q29" s="1"/>
      <c r="R29" s="5">
        <f t="shared" ref="R29:R35" si="16">IF(P$12=0,0,P29/P$12)</f>
        <v>0.48280160385792847</v>
      </c>
      <c r="S29" s="1"/>
      <c r="T29" s="1">
        <f>SUM(OSRRefT22_1x_0)</f>
        <v>19179.71</v>
      </c>
      <c r="U29" s="1"/>
      <c r="V29" s="5">
        <f t="shared" ref="V29:V35" si="17">IF(T$12=0,0,T29/T$12)</f>
        <v>0.29019275868851463</v>
      </c>
      <c r="W29" s="1"/>
      <c r="X29" s="1">
        <f t="shared" ref="X29:X35" si="18">+P29-T29</f>
        <v>-1359.0200000000004</v>
      </c>
      <c r="Y29" s="1"/>
      <c r="Z29" s="5">
        <f t="shared" ref="Z29:Z35" si="19">IF(T29=0,0,X29/T29)</f>
        <v>-7.0857171458796844E-2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6554.73</v>
      </c>
      <c r="E30" s="2"/>
      <c r="F30" s="6">
        <f t="shared" si="12"/>
        <v>0.1775820216195714</v>
      </c>
      <c r="G30" s="2"/>
      <c r="H30" s="7">
        <v>6941.69</v>
      </c>
      <c r="I30" s="2"/>
      <c r="J30" s="6">
        <f t="shared" si="13"/>
        <v>0.10502912562601183</v>
      </c>
      <c r="K30" s="2"/>
      <c r="L30" s="7">
        <f t="shared" si="14"/>
        <v>-386.96000000000004</v>
      </c>
      <c r="M30" s="2"/>
      <c r="N30" s="6">
        <f t="shared" si="15"/>
        <v>-5.5744350439158194E-2</v>
      </c>
      <c r="O30" s="11"/>
      <c r="P30" s="7">
        <v>6554.73</v>
      </c>
      <c r="Q30" s="2"/>
      <c r="R30" s="6">
        <f t="shared" si="16"/>
        <v>0.1775820216195714</v>
      </c>
      <c r="S30" s="2"/>
      <c r="T30" s="7">
        <v>6941.69</v>
      </c>
      <c r="U30" s="2"/>
      <c r="V30" s="6">
        <f t="shared" si="17"/>
        <v>0.10502912562601183</v>
      </c>
      <c r="W30" s="2"/>
      <c r="X30" s="7">
        <f t="shared" si="18"/>
        <v>-386.96000000000004</v>
      </c>
      <c r="Y30" s="2"/>
      <c r="Z30" s="6">
        <f t="shared" si="19"/>
        <v>-5.5744350439158194E-2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>
        <v>1872</v>
      </c>
      <c r="I31" s="2"/>
      <c r="J31" s="6">
        <f t="shared" si="13"/>
        <v>2.8323725659298263E-2</v>
      </c>
      <c r="K31" s="2"/>
      <c r="L31" s="7">
        <f t="shared" si="14"/>
        <v>-1872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1872</v>
      </c>
      <c r="U31" s="2"/>
      <c r="V31" s="6">
        <f t="shared" si="17"/>
        <v>2.8323725659298263E-2</v>
      </c>
      <c r="W31" s="2"/>
      <c r="X31" s="7">
        <f t="shared" si="18"/>
        <v>-1872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5355.94</v>
      </c>
      <c r="E32" s="2"/>
      <c r="F32" s="6">
        <f t="shared" si="12"/>
        <v>0.14510416948877028</v>
      </c>
      <c r="G32" s="2"/>
      <c r="H32" s="7">
        <v>2499.1799999999998</v>
      </c>
      <c r="I32" s="2"/>
      <c r="J32" s="6">
        <f t="shared" si="13"/>
        <v>3.7813081566883025E-2</v>
      </c>
      <c r="K32" s="2"/>
      <c r="L32" s="7">
        <f t="shared" si="14"/>
        <v>2856.7599999999998</v>
      </c>
      <c r="M32" s="2"/>
      <c r="N32" s="6">
        <f t="shared" si="15"/>
        <v>1.1430789298890036</v>
      </c>
      <c r="O32" s="11"/>
      <c r="P32" s="7">
        <v>5355.94</v>
      </c>
      <c r="Q32" s="2"/>
      <c r="R32" s="6">
        <f t="shared" si="16"/>
        <v>0.14510416948877028</v>
      </c>
      <c r="S32" s="2"/>
      <c r="T32" s="7">
        <v>2499.1799999999998</v>
      </c>
      <c r="U32" s="2"/>
      <c r="V32" s="6">
        <f t="shared" si="17"/>
        <v>3.7813081566883025E-2</v>
      </c>
      <c r="W32" s="2"/>
      <c r="X32" s="7">
        <f t="shared" si="18"/>
        <v>2856.7599999999998</v>
      </c>
      <c r="Y32" s="2"/>
      <c r="Z32" s="6">
        <f t="shared" si="19"/>
        <v>1.1430789298890036</v>
      </c>
    </row>
    <row r="33" spans="1:26" s="24" customFormat="1" hidden="1" outlineLevel="2" x14ac:dyDescent="0.25">
      <c r="A33" s="29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860.69</v>
      </c>
      <c r="I33" s="2"/>
      <c r="J33" s="6">
        <f t="shared" si="13"/>
        <v>1.3022407819284949E-2</v>
      </c>
      <c r="K33" s="2"/>
      <c r="L33" s="7">
        <f t="shared" si="14"/>
        <v>-860.69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860.69</v>
      </c>
      <c r="U33" s="2"/>
      <c r="V33" s="6">
        <f t="shared" si="17"/>
        <v>1.3022407819284949E-2</v>
      </c>
      <c r="W33" s="2"/>
      <c r="X33" s="7">
        <f t="shared" si="18"/>
        <v>-860.69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5428.71</v>
      </c>
      <c r="E34" s="2"/>
      <c r="F34" s="6">
        <f t="shared" si="12"/>
        <v>0.14707566849990517</v>
      </c>
      <c r="G34" s="2"/>
      <c r="H34" s="7">
        <v>7006.15</v>
      </c>
      <c r="I34" s="2"/>
      <c r="J34" s="6">
        <f t="shared" si="13"/>
        <v>0.1060044180170366</v>
      </c>
      <c r="K34" s="2"/>
      <c r="L34" s="7">
        <f t="shared" si="14"/>
        <v>-1577.4399999999996</v>
      </c>
      <c r="M34" s="2"/>
      <c r="N34" s="6">
        <f t="shared" si="15"/>
        <v>-0.22515076040335985</v>
      </c>
      <c r="O34" s="11"/>
      <c r="P34" s="7">
        <v>5428.71</v>
      </c>
      <c r="Q34" s="2"/>
      <c r="R34" s="6">
        <f t="shared" si="16"/>
        <v>0.14707566849990517</v>
      </c>
      <c r="S34" s="2"/>
      <c r="T34" s="7">
        <v>7006.15</v>
      </c>
      <c r="U34" s="2"/>
      <c r="V34" s="6">
        <f t="shared" si="17"/>
        <v>0.1060044180170366</v>
      </c>
      <c r="W34" s="2"/>
      <c r="X34" s="7">
        <f t="shared" si="18"/>
        <v>-1577.4399999999996</v>
      </c>
      <c r="Y34" s="2"/>
      <c r="Z34" s="6">
        <f t="shared" si="19"/>
        <v>-0.22515076040335985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>
        <v>481.31</v>
      </c>
      <c r="E35" s="2"/>
      <c r="F35" s="6">
        <f t="shared" si="12"/>
        <v>1.3039744249681667E-2</v>
      </c>
      <c r="G35" s="2"/>
      <c r="H35" s="7"/>
      <c r="I35" s="2"/>
      <c r="J35" s="6">
        <f t="shared" si="13"/>
        <v>0</v>
      </c>
      <c r="K35" s="2"/>
      <c r="L35" s="7">
        <f t="shared" si="14"/>
        <v>481.31</v>
      </c>
      <c r="M35" s="2"/>
      <c r="N35" s="6">
        <f t="shared" si="15"/>
        <v>0</v>
      </c>
      <c r="O35" s="11"/>
      <c r="P35" s="7">
        <v>481.31</v>
      </c>
      <c r="Q35" s="2"/>
      <c r="R35" s="6">
        <f t="shared" si="16"/>
        <v>1.3039744249681667E-2</v>
      </c>
      <c r="S35" s="2"/>
      <c r="T35" s="7"/>
      <c r="U35" s="2"/>
      <c r="V35" s="6">
        <f t="shared" si="17"/>
        <v>0</v>
      </c>
      <c r="W35" s="2"/>
      <c r="X35" s="7">
        <f t="shared" si="18"/>
        <v>481.31</v>
      </c>
      <c r="Y35" s="2"/>
      <c r="Z35" s="6">
        <f t="shared" si="19"/>
        <v>0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20">IF(D$12=0,0,D36/D$12)</f>
        <v>0</v>
      </c>
      <c r="G36" s="1"/>
      <c r="H36" s="1">
        <f>SUM(OSRRefH22_2x_0)</f>
        <v>767.27</v>
      </c>
      <c r="I36" s="1"/>
      <c r="J36" s="5">
        <f t="shared" ref="J36:J50" si="21">IF(H$12=0,0,H36/H$12)</f>
        <v>1.1608944971479582E-2</v>
      </c>
      <c r="K36" s="1"/>
      <c r="L36" s="1">
        <f t="shared" ref="L36:L50" si="22">+D36-H36</f>
        <v>-767.27</v>
      </c>
      <c r="M36" s="1"/>
      <c r="N36" s="5">
        <f t="shared" ref="N36:N50" si="23">IF(H36=0,0,L36/H36)</f>
        <v>-1</v>
      </c>
      <c r="O36" s="14"/>
      <c r="P36" s="1">
        <f>SUM(OSRRefP22_2x_0)</f>
        <v>0</v>
      </c>
      <c r="Q36" s="1"/>
      <c r="R36" s="5">
        <f t="shared" ref="R36:R50" si="24">IF(P$12=0,0,P36/P$12)</f>
        <v>0</v>
      </c>
      <c r="S36" s="1"/>
      <c r="T36" s="1">
        <f>SUM(OSRRefT22_2x_0)</f>
        <v>767.27</v>
      </c>
      <c r="U36" s="1"/>
      <c r="V36" s="5">
        <f t="shared" ref="V36:V50" si="25">IF(T$12=0,0,T36/T$12)</f>
        <v>1.1608944971479582E-2</v>
      </c>
      <c r="W36" s="1"/>
      <c r="X36" s="1">
        <f t="shared" ref="X36:X50" si="26">+P36-T36</f>
        <v>-767.27</v>
      </c>
      <c r="Y36" s="1"/>
      <c r="Z36" s="5">
        <f t="shared" ref="Z36:Z50" si="2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767.27</v>
      </c>
      <c r="I37" s="2"/>
      <c r="J37" s="6">
        <f t="shared" si="21"/>
        <v>1.1608944971479582E-2</v>
      </c>
      <c r="K37" s="2"/>
      <c r="L37" s="7">
        <f t="shared" si="22"/>
        <v>-767.27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767.27</v>
      </c>
      <c r="U37" s="2"/>
      <c r="V37" s="6">
        <f t="shared" si="25"/>
        <v>1.1608944971479582E-2</v>
      </c>
      <c r="W37" s="2"/>
      <c r="X37" s="7">
        <f t="shared" si="26"/>
        <v>-767.27</v>
      </c>
      <c r="Y37" s="2"/>
      <c r="Z37" s="6">
        <f t="shared" si="27"/>
        <v>-1</v>
      </c>
    </row>
    <row r="38" spans="1:26" s="28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319.7</v>
      </c>
      <c r="E38" s="1"/>
      <c r="F38" s="5">
        <f t="shared" si="20"/>
        <v>8.661374657961041E-3</v>
      </c>
      <c r="G38" s="1"/>
      <c r="H38" s="1">
        <f>SUM(OSRRefH22_3x_0)</f>
        <v>376.87</v>
      </c>
      <c r="I38" s="1"/>
      <c r="J38" s="5">
        <f t="shared" si="21"/>
        <v>5.7021167143267819E-3</v>
      </c>
      <c r="K38" s="1"/>
      <c r="L38" s="1">
        <f t="shared" si="22"/>
        <v>-57.170000000000016</v>
      </c>
      <c r="M38" s="1"/>
      <c r="N38" s="5">
        <f t="shared" si="23"/>
        <v>-0.15169687160028661</v>
      </c>
      <c r="O38" s="14"/>
      <c r="P38" s="1">
        <f>SUM(OSRRefP22_3x_0)</f>
        <v>319.7</v>
      </c>
      <c r="Q38" s="1"/>
      <c r="R38" s="5">
        <f t="shared" si="24"/>
        <v>8.661374657961041E-3</v>
      </c>
      <c r="S38" s="1"/>
      <c r="T38" s="1">
        <f>SUM(OSRRefT22_3x_0)</f>
        <v>376.87</v>
      </c>
      <c r="U38" s="1"/>
      <c r="V38" s="5">
        <f t="shared" si="25"/>
        <v>5.7021167143267819E-3</v>
      </c>
      <c r="W38" s="1"/>
      <c r="X38" s="1">
        <f t="shared" si="26"/>
        <v>-57.170000000000016</v>
      </c>
      <c r="Y38" s="1"/>
      <c r="Z38" s="5">
        <f t="shared" si="27"/>
        <v>-0.15169687160028661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319.7</v>
      </c>
      <c r="E39" s="2"/>
      <c r="F39" s="6">
        <f t="shared" si="20"/>
        <v>8.661374657961041E-3</v>
      </c>
      <c r="G39" s="2"/>
      <c r="H39" s="7">
        <v>376.87</v>
      </c>
      <c r="I39" s="2"/>
      <c r="J39" s="6">
        <f t="shared" si="21"/>
        <v>5.7021167143267819E-3</v>
      </c>
      <c r="K39" s="2"/>
      <c r="L39" s="7">
        <f t="shared" si="22"/>
        <v>-57.170000000000016</v>
      </c>
      <c r="M39" s="2"/>
      <c r="N39" s="6">
        <f t="shared" si="23"/>
        <v>-0.15169687160028661</v>
      </c>
      <c r="O39" s="11"/>
      <c r="P39" s="7">
        <v>319.7</v>
      </c>
      <c r="Q39" s="2"/>
      <c r="R39" s="6">
        <f t="shared" si="24"/>
        <v>8.661374657961041E-3</v>
      </c>
      <c r="S39" s="2"/>
      <c r="T39" s="7">
        <v>376.87</v>
      </c>
      <c r="U39" s="2"/>
      <c r="V39" s="6">
        <f t="shared" si="25"/>
        <v>5.7021167143267819E-3</v>
      </c>
      <c r="W39" s="2"/>
      <c r="X39" s="7">
        <f t="shared" si="26"/>
        <v>-57.170000000000016</v>
      </c>
      <c r="Y39" s="2"/>
      <c r="Z39" s="6">
        <f t="shared" si="27"/>
        <v>-0.15169687160028661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21.12</v>
      </c>
      <c r="I40" s="1"/>
      <c r="J40" s="5">
        <f t="shared" si="21"/>
        <v>3.1954972538695474E-4</v>
      </c>
      <c r="K40" s="1"/>
      <c r="L40" s="1">
        <f t="shared" si="22"/>
        <v>-21.12</v>
      </c>
      <c r="M40" s="1"/>
      <c r="N40" s="5">
        <f t="shared" si="23"/>
        <v>-1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21.12</v>
      </c>
      <c r="U40" s="1"/>
      <c r="V40" s="5">
        <f t="shared" si="25"/>
        <v>3.1954972538695474E-4</v>
      </c>
      <c r="W40" s="1"/>
      <c r="X40" s="1">
        <f t="shared" si="26"/>
        <v>-21.12</v>
      </c>
      <c r="Y40" s="1"/>
      <c r="Z40" s="5">
        <f t="shared" si="27"/>
        <v>-1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/>
      <c r="E41" s="2"/>
      <c r="F41" s="6">
        <f t="shared" si="20"/>
        <v>0</v>
      </c>
      <c r="G41" s="2"/>
      <c r="H41" s="7">
        <v>21.12</v>
      </c>
      <c r="I41" s="2"/>
      <c r="J41" s="6">
        <f t="shared" si="21"/>
        <v>3.1954972538695474E-4</v>
      </c>
      <c r="K41" s="2"/>
      <c r="L41" s="7">
        <f t="shared" si="22"/>
        <v>-21.12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21.12</v>
      </c>
      <c r="U41" s="2"/>
      <c r="V41" s="6">
        <f t="shared" si="25"/>
        <v>3.1954972538695474E-4</v>
      </c>
      <c r="W41" s="2"/>
      <c r="X41" s="7">
        <f t="shared" si="26"/>
        <v>-21.12</v>
      </c>
      <c r="Y41" s="2"/>
      <c r="Z41" s="6">
        <f t="shared" si="27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29.01</v>
      </c>
      <c r="E42" s="1"/>
      <c r="F42" s="5">
        <f t="shared" si="20"/>
        <v>7.8594456936956463E-4</v>
      </c>
      <c r="G42" s="1"/>
      <c r="H42" s="1">
        <f>SUM(OSRRefH22_5x_0)</f>
        <v>27.33</v>
      </c>
      <c r="I42" s="1"/>
      <c r="J42" s="5">
        <f t="shared" si="21"/>
        <v>4.1350823839135758E-4</v>
      </c>
      <c r="K42" s="1"/>
      <c r="L42" s="1">
        <f t="shared" si="22"/>
        <v>1.6800000000000033</v>
      </c>
      <c r="M42" s="1"/>
      <c r="N42" s="5">
        <f t="shared" si="23"/>
        <v>6.1470911086718018E-2</v>
      </c>
      <c r="O42" s="14"/>
      <c r="P42" s="1">
        <f>SUM(OSRRefP22_5x_0)</f>
        <v>29.01</v>
      </c>
      <c r="Q42" s="1"/>
      <c r="R42" s="5">
        <f t="shared" si="24"/>
        <v>7.8594456936956463E-4</v>
      </c>
      <c r="S42" s="1"/>
      <c r="T42" s="1">
        <f>SUM(OSRRefT22_5x_0)</f>
        <v>27.33</v>
      </c>
      <c r="U42" s="1"/>
      <c r="V42" s="5">
        <f t="shared" si="25"/>
        <v>4.1350823839135758E-4</v>
      </c>
      <c r="W42" s="1"/>
      <c r="X42" s="1">
        <f t="shared" si="26"/>
        <v>1.6800000000000033</v>
      </c>
      <c r="Y42" s="1"/>
      <c r="Z42" s="5">
        <f t="shared" si="27"/>
        <v>6.1470911086718018E-2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29.01</v>
      </c>
      <c r="E43" s="2"/>
      <c r="F43" s="6">
        <f t="shared" si="20"/>
        <v>7.8594456936956463E-4</v>
      </c>
      <c r="G43" s="2"/>
      <c r="H43" s="7">
        <v>27.33</v>
      </c>
      <c r="I43" s="2"/>
      <c r="J43" s="6">
        <f t="shared" si="21"/>
        <v>4.1350823839135758E-4</v>
      </c>
      <c r="K43" s="2"/>
      <c r="L43" s="7">
        <f t="shared" si="22"/>
        <v>1.6800000000000033</v>
      </c>
      <c r="M43" s="2"/>
      <c r="N43" s="6">
        <f t="shared" si="23"/>
        <v>6.1470911086718018E-2</v>
      </c>
      <c r="O43" s="11"/>
      <c r="P43" s="7">
        <v>29.01</v>
      </c>
      <c r="Q43" s="2"/>
      <c r="R43" s="6">
        <f t="shared" si="24"/>
        <v>7.8594456936956463E-4</v>
      </c>
      <c r="S43" s="2"/>
      <c r="T43" s="7">
        <v>27.33</v>
      </c>
      <c r="U43" s="2"/>
      <c r="V43" s="6">
        <f t="shared" si="25"/>
        <v>4.1350823839135758E-4</v>
      </c>
      <c r="W43" s="2"/>
      <c r="X43" s="7">
        <f t="shared" si="26"/>
        <v>1.6800000000000033</v>
      </c>
      <c r="Y43" s="2"/>
      <c r="Z43" s="6">
        <f t="shared" si="27"/>
        <v>6.1470911086718018E-2</v>
      </c>
    </row>
    <row r="44" spans="1:26" s="28" customFormat="1" outlineLevel="1" collapsed="1" x14ac:dyDescent="0.25">
      <c r="A44" s="27"/>
      <c r="B44" s="14" t="str">
        <f>CONCATENATE("     ","Rent                                              ")</f>
        <v xml:space="preserve">     Rent                                              </v>
      </c>
      <c r="C44" s="14"/>
      <c r="D44" s="1">
        <f>SUM(OSRRefD22_6x_0)</f>
        <v>800</v>
      </c>
      <c r="E44" s="1"/>
      <c r="F44" s="5">
        <f t="shared" si="20"/>
        <v>2.1673755790956626E-2</v>
      </c>
      <c r="G44" s="1"/>
      <c r="H44" s="1">
        <f>SUM(OSRRefH22_6x_0)</f>
        <v>800</v>
      </c>
      <c r="I44" s="1"/>
      <c r="J44" s="5">
        <f t="shared" si="21"/>
        <v>1.2104156264657377E-2</v>
      </c>
      <c r="K44" s="1"/>
      <c r="L44" s="1">
        <f t="shared" si="22"/>
        <v>0</v>
      </c>
      <c r="M44" s="1"/>
      <c r="N44" s="5">
        <f t="shared" si="23"/>
        <v>0</v>
      </c>
      <c r="O44" s="14"/>
      <c r="P44" s="1">
        <f>SUM(OSRRefP22_6x_0)</f>
        <v>800</v>
      </c>
      <c r="Q44" s="1"/>
      <c r="R44" s="5">
        <f t="shared" si="24"/>
        <v>2.1673755790956626E-2</v>
      </c>
      <c r="S44" s="1"/>
      <c r="T44" s="1">
        <f>SUM(OSRRefT22_6x_0)</f>
        <v>800</v>
      </c>
      <c r="U44" s="1"/>
      <c r="V44" s="5">
        <f t="shared" si="25"/>
        <v>1.2104156264657377E-2</v>
      </c>
      <c r="W44" s="1"/>
      <c r="X44" s="1">
        <f t="shared" si="26"/>
        <v>0</v>
      </c>
      <c r="Y44" s="1"/>
      <c r="Z44" s="5">
        <f t="shared" si="27"/>
        <v>0</v>
      </c>
    </row>
    <row r="45" spans="1:26" s="24" customFormat="1" hidden="1" outlineLevel="2" x14ac:dyDescent="0.25">
      <c r="A45" s="29"/>
      <c r="B45" s="11" t="str">
        <f>CONCATENATE("          ", "6273", " - ", "RENT")</f>
        <v xml:space="preserve">          6273 - RENT</v>
      </c>
      <c r="C45" s="11"/>
      <c r="D45" s="7">
        <v>800</v>
      </c>
      <c r="E45" s="2"/>
      <c r="F45" s="6">
        <f t="shared" si="20"/>
        <v>2.1673755790956626E-2</v>
      </c>
      <c r="G45" s="2"/>
      <c r="H45" s="7">
        <v>800</v>
      </c>
      <c r="I45" s="2"/>
      <c r="J45" s="6">
        <f t="shared" si="21"/>
        <v>1.2104156264657377E-2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>
        <v>800</v>
      </c>
      <c r="Q45" s="2"/>
      <c r="R45" s="6">
        <f t="shared" si="24"/>
        <v>2.1673755790956626E-2</v>
      </c>
      <c r="S45" s="2"/>
      <c r="T45" s="7">
        <v>800</v>
      </c>
      <c r="U45" s="2"/>
      <c r="V45" s="6">
        <f t="shared" si="25"/>
        <v>1.2104156264657377E-2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SUM(OSRRefD22_7x_0)</f>
        <v>0</v>
      </c>
      <c r="E46" s="1"/>
      <c r="F46" s="5">
        <f t="shared" si="20"/>
        <v>0</v>
      </c>
      <c r="G46" s="1"/>
      <c r="H46" s="1">
        <f>SUM(OSRRefH22_7x_0)</f>
        <v>600</v>
      </c>
      <c r="I46" s="1"/>
      <c r="J46" s="5">
        <f t="shared" si="21"/>
        <v>9.0781171984930329E-3</v>
      </c>
      <c r="K46" s="1"/>
      <c r="L46" s="1">
        <f t="shared" si="22"/>
        <v>-600</v>
      </c>
      <c r="M46" s="1"/>
      <c r="N46" s="5">
        <f t="shared" si="23"/>
        <v>-1</v>
      </c>
      <c r="O46" s="14"/>
      <c r="P46" s="1">
        <f>SUM(OSRRefP22_7x_0)</f>
        <v>0</v>
      </c>
      <c r="Q46" s="1"/>
      <c r="R46" s="5">
        <f t="shared" si="24"/>
        <v>0</v>
      </c>
      <c r="S46" s="1"/>
      <c r="T46" s="1">
        <f>SUM(OSRRefT22_7x_0)</f>
        <v>600</v>
      </c>
      <c r="U46" s="1"/>
      <c r="V46" s="5">
        <f t="shared" si="25"/>
        <v>9.0781171984930329E-3</v>
      </c>
      <c r="W46" s="1"/>
      <c r="X46" s="1">
        <f t="shared" si="26"/>
        <v>-600</v>
      </c>
      <c r="Y46" s="1"/>
      <c r="Z46" s="5">
        <f t="shared" si="27"/>
        <v>-1</v>
      </c>
    </row>
    <row r="47" spans="1:26" s="24" customFormat="1" hidden="1" outlineLevel="2" x14ac:dyDescent="0.25">
      <c r="A47" s="29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20"/>
        <v>0</v>
      </c>
      <c r="G47" s="2"/>
      <c r="H47" s="7">
        <v>600</v>
      </c>
      <c r="I47" s="2"/>
      <c r="J47" s="6">
        <f t="shared" si="21"/>
        <v>9.0781171984930329E-3</v>
      </c>
      <c r="K47" s="2"/>
      <c r="L47" s="7">
        <f t="shared" si="22"/>
        <v>-600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600</v>
      </c>
      <c r="U47" s="2"/>
      <c r="V47" s="6">
        <f t="shared" si="25"/>
        <v>9.0781171984930329E-3</v>
      </c>
      <c r="W47" s="2"/>
      <c r="X47" s="7">
        <f t="shared" si="26"/>
        <v>-600</v>
      </c>
      <c r="Y47" s="2"/>
      <c r="Z47" s="6">
        <f t="shared" si="27"/>
        <v>-1</v>
      </c>
    </row>
    <row r="48" spans="1:26" s="28" customFormat="1" outlineLevel="1" collapsed="1" x14ac:dyDescent="0.25">
      <c r="A48" s="27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SUM(OSRRefD22_8x_0)</f>
        <v>14416.21</v>
      </c>
      <c r="E48" s="1"/>
      <c r="F48" s="5">
        <f t="shared" si="20"/>
        <v>0.39056676871393348</v>
      </c>
      <c r="G48" s="1"/>
      <c r="H48" s="1">
        <f>SUM(OSRRefH22_8x_0)</f>
        <v>41399.009999999995</v>
      </c>
      <c r="I48" s="1"/>
      <c r="J48" s="5">
        <f t="shared" si="21"/>
        <v>0.62637510780264161</v>
      </c>
      <c r="K48" s="1"/>
      <c r="L48" s="1">
        <f t="shared" si="22"/>
        <v>-26982.799999999996</v>
      </c>
      <c r="M48" s="1"/>
      <c r="N48" s="5">
        <f t="shared" si="23"/>
        <v>-0.65177404000723682</v>
      </c>
      <c r="O48" s="14"/>
      <c r="P48" s="1">
        <f>SUM(OSRRefP22_8x_0)</f>
        <v>14416.21</v>
      </c>
      <c r="Q48" s="1"/>
      <c r="R48" s="5">
        <f t="shared" si="24"/>
        <v>0.39056676871393348</v>
      </c>
      <c r="S48" s="1"/>
      <c r="T48" s="1">
        <f>SUM(OSRRefT22_8x_0)</f>
        <v>41399.009999999995</v>
      </c>
      <c r="U48" s="1"/>
      <c r="V48" s="5">
        <f t="shared" si="25"/>
        <v>0.62637510780264161</v>
      </c>
      <c r="W48" s="1"/>
      <c r="X48" s="1">
        <f t="shared" si="26"/>
        <v>-26982.799999999996</v>
      </c>
      <c r="Y48" s="1"/>
      <c r="Z48" s="5">
        <f t="shared" si="27"/>
        <v>-0.65177404000723682</v>
      </c>
    </row>
    <row r="49" spans="1:26" s="24" customFormat="1" hidden="1" outlineLevel="2" x14ac:dyDescent="0.25">
      <c r="A49" s="29"/>
      <c r="B49" s="11" t="str">
        <f>CONCATENATE("          ", "6241", " - ", "OFFICE EXPENSE")</f>
        <v xml:space="preserve">          6241 - OFFICE EXPENSE</v>
      </c>
      <c r="C49" s="11"/>
      <c r="D49" s="7">
        <v>14416.21</v>
      </c>
      <c r="E49" s="2"/>
      <c r="F49" s="6">
        <f t="shared" si="20"/>
        <v>0.39056676871393348</v>
      </c>
      <c r="G49" s="2"/>
      <c r="H49" s="7">
        <v>33335.009999999995</v>
      </c>
      <c r="I49" s="2"/>
      <c r="J49" s="6">
        <f t="shared" si="21"/>
        <v>0.50436521265489531</v>
      </c>
      <c r="K49" s="2"/>
      <c r="L49" s="7">
        <f t="shared" si="22"/>
        <v>-18918.799999999996</v>
      </c>
      <c r="M49" s="2"/>
      <c r="N49" s="6">
        <f t="shared" si="23"/>
        <v>-0.5675354529667157</v>
      </c>
      <c r="O49" s="11"/>
      <c r="P49" s="7">
        <v>14416.21</v>
      </c>
      <c r="Q49" s="2"/>
      <c r="R49" s="6">
        <f t="shared" si="24"/>
        <v>0.39056676871393348</v>
      </c>
      <c r="S49" s="2"/>
      <c r="T49" s="7">
        <v>33335.009999999995</v>
      </c>
      <c r="U49" s="2"/>
      <c r="V49" s="6">
        <f t="shared" si="25"/>
        <v>0.50436521265489531</v>
      </c>
      <c r="W49" s="2"/>
      <c r="X49" s="7">
        <f t="shared" si="26"/>
        <v>-18918.799999999996</v>
      </c>
      <c r="Y49" s="2"/>
      <c r="Z49" s="6">
        <f t="shared" si="27"/>
        <v>-0.5675354529667157</v>
      </c>
    </row>
    <row r="50" spans="1:26" s="24" customFormat="1" hidden="1" outlineLevel="2" x14ac:dyDescent="0.25">
      <c r="A50" s="29"/>
      <c r="B50" s="11" t="str">
        <f>CONCATENATE("          ", "6247", " - ", "STORE SUPPLIES")</f>
        <v xml:space="preserve">          6247 - STORE SUPPLIES</v>
      </c>
      <c r="C50" s="11"/>
      <c r="D50" s="7"/>
      <c r="E50" s="2"/>
      <c r="F50" s="6">
        <f t="shared" si="20"/>
        <v>0</v>
      </c>
      <c r="G50" s="2"/>
      <c r="H50" s="7">
        <v>8064</v>
      </c>
      <c r="I50" s="2"/>
      <c r="J50" s="6">
        <f t="shared" si="21"/>
        <v>0.12200989514774636</v>
      </c>
      <c r="K50" s="2"/>
      <c r="L50" s="7">
        <f t="shared" si="22"/>
        <v>-8064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8064</v>
      </c>
      <c r="U50" s="2"/>
      <c r="V50" s="6">
        <f t="shared" si="25"/>
        <v>0.12200989514774636</v>
      </c>
      <c r="W50" s="2"/>
      <c r="X50" s="7">
        <f t="shared" si="26"/>
        <v>-8064</v>
      </c>
      <c r="Y50" s="2"/>
      <c r="Z50" s="6">
        <f t="shared" si="27"/>
        <v>-1</v>
      </c>
    </row>
    <row r="51" spans="1:26" s="28" customFormat="1" outlineLevel="1" collapsed="1" x14ac:dyDescent="0.25">
      <c r="A51" s="27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SUM(OSRRefD22_9x_0)</f>
        <v>-23.35</v>
      </c>
      <c r="E51" s="1"/>
      <c r="F51" s="5">
        <f t="shared" ref="F51:F52" si="28">IF(D$12=0,0,D51/D$12)</f>
        <v>-6.3260274714854649E-4</v>
      </c>
      <c r="G51" s="1"/>
      <c r="H51" s="1">
        <f>SUM(OSRRefH22_9x_0)</f>
        <v>124.77</v>
      </c>
      <c r="I51" s="1"/>
      <c r="J51" s="5">
        <f t="shared" ref="J51:J52" si="29">IF(H$12=0,0,H51/H$12)</f>
        <v>1.887794471426626E-3</v>
      </c>
      <c r="K51" s="1"/>
      <c r="L51" s="1">
        <f t="shared" ref="L51:L52" si="30">+D51-H51</f>
        <v>-148.12</v>
      </c>
      <c r="M51" s="1"/>
      <c r="N51" s="5">
        <f t="shared" ref="N51:N52" si="31">IF(H51=0,0,L51/H51)</f>
        <v>-1.1871443455958965</v>
      </c>
      <c r="O51" s="14"/>
      <c r="P51" s="1">
        <f>SUM(OSRRefP22_9x_0)</f>
        <v>-23.35</v>
      </c>
      <c r="Q51" s="1"/>
      <c r="R51" s="5">
        <f t="shared" ref="R51:R52" si="32">IF(P$12=0,0,P51/P$12)</f>
        <v>-6.3260274714854649E-4</v>
      </c>
      <c r="S51" s="1"/>
      <c r="T51" s="1">
        <f>SUM(OSRRefT22_9x_0)</f>
        <v>124.77</v>
      </c>
      <c r="U51" s="1"/>
      <c r="V51" s="5">
        <f t="shared" ref="V51:V52" si="33">IF(T$12=0,0,T51/T$12)</f>
        <v>1.887794471426626E-3</v>
      </c>
      <c r="W51" s="1"/>
      <c r="X51" s="1">
        <f t="shared" ref="X51:X52" si="34">+P51-T51</f>
        <v>-148.12</v>
      </c>
      <c r="Y51" s="1"/>
      <c r="Z51" s="5">
        <f t="shared" ref="Z51:Z52" si="35">IF(T51=0,0,X51/T51)</f>
        <v>-1.1871443455958965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7">
        <v>-23.35</v>
      </c>
      <c r="E52" s="2"/>
      <c r="F52" s="6">
        <f t="shared" si="28"/>
        <v>-6.3260274714854649E-4</v>
      </c>
      <c r="G52" s="2"/>
      <c r="H52" s="7">
        <v>124.77</v>
      </c>
      <c r="I52" s="2"/>
      <c r="J52" s="6">
        <f t="shared" si="29"/>
        <v>1.887794471426626E-3</v>
      </c>
      <c r="K52" s="2"/>
      <c r="L52" s="7">
        <f t="shared" si="30"/>
        <v>-148.12</v>
      </c>
      <c r="M52" s="2"/>
      <c r="N52" s="6">
        <f t="shared" si="31"/>
        <v>-1.1871443455958965</v>
      </c>
      <c r="O52" s="11"/>
      <c r="P52" s="7">
        <v>-23.35</v>
      </c>
      <c r="Q52" s="2"/>
      <c r="R52" s="6">
        <f t="shared" si="32"/>
        <v>-6.3260274714854649E-4</v>
      </c>
      <c r="S52" s="2"/>
      <c r="T52" s="7">
        <v>124.77</v>
      </c>
      <c r="U52" s="2"/>
      <c r="V52" s="6">
        <f t="shared" si="33"/>
        <v>1.887794471426626E-3</v>
      </c>
      <c r="W52" s="2"/>
      <c r="X52" s="7">
        <f t="shared" si="34"/>
        <v>-148.12</v>
      </c>
      <c r="Y52" s="2"/>
      <c r="Z52" s="6">
        <f t="shared" si="35"/>
        <v>-1.1871443455958965</v>
      </c>
    </row>
    <row r="53" spans="1:26" s="54" customFormat="1" x14ac:dyDescent="0.25">
      <c r="A53" s="37"/>
      <c r="B53" s="37"/>
      <c r="C53" s="37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collapsed="1" x14ac:dyDescent="0.25">
      <c r="A54" s="10"/>
      <c r="B54" s="26" t="s">
        <v>0</v>
      </c>
      <c r="C54" s="10"/>
      <c r="D54" s="4">
        <f>SUM(OSRRefD25x_0)</f>
        <v>851.09</v>
      </c>
      <c r="E54" s="4"/>
      <c r="F54" s="12">
        <f t="shared" ref="F54:F55" si="36">IF(D$12=0,0,D54/D$12)</f>
        <v>2.3057896020156593E-2</v>
      </c>
      <c r="G54" s="4"/>
      <c r="H54" s="4">
        <f>SUM(OSRRefH25x_0)</f>
        <v>1299.1199999999999</v>
      </c>
      <c r="I54" s="4"/>
      <c r="J54" s="12">
        <f t="shared" ref="J54:J55" si="37">IF(H$12=0,0,H54/H$12)</f>
        <v>1.9655939358177114E-2</v>
      </c>
      <c r="K54" s="4"/>
      <c r="L54" s="4">
        <f t="shared" ref="L54:L55" si="38">+D54-H54</f>
        <v>-448.02999999999986</v>
      </c>
      <c r="M54" s="4"/>
      <c r="N54" s="12">
        <f t="shared" ref="N54:N55" si="39">IF(H54=0,0,L54/H54)</f>
        <v>-0.34487191329515354</v>
      </c>
      <c r="O54" s="10"/>
      <c r="P54" s="4">
        <f>SUM(OSRRefP25x_0)</f>
        <v>851.09</v>
      </c>
      <c r="Q54" s="4"/>
      <c r="R54" s="12">
        <f t="shared" ref="R54:R55" si="40">IF(P$12=0,0,P54/P$12)</f>
        <v>2.3057896020156593E-2</v>
      </c>
      <c r="S54" s="4"/>
      <c r="T54" s="4">
        <f>SUM(OSRRefT25x_0)</f>
        <v>1299.1199999999999</v>
      </c>
      <c r="U54" s="4"/>
      <c r="V54" s="12">
        <f t="shared" ref="V54:V55" si="41">IF(T$12=0,0,T54/T$12)</f>
        <v>1.9655939358177114E-2</v>
      </c>
      <c r="W54" s="4"/>
      <c r="X54" s="4">
        <f t="shared" ref="X54:X55" si="42">+P54-T54</f>
        <v>-448.02999999999986</v>
      </c>
      <c r="Y54" s="4"/>
      <c r="Z54" s="12">
        <f t="shared" ref="Z54:Z55" si="43">IF(T54=0,0,X54/T54)</f>
        <v>-0.34487191329515354</v>
      </c>
    </row>
    <row r="55" spans="1:26" s="24" customFormat="1" hidden="1" outlineLevel="1" x14ac:dyDescent="0.25">
      <c r="A55" s="50"/>
      <c r="B55" s="11" t="str">
        <f>CONCATENATE("          ", "9150", " - ", "MISC. INCOME")</f>
        <v xml:space="preserve">          9150 - MISC. INCOME</v>
      </c>
      <c r="C55" s="11"/>
      <c r="D55" s="2">
        <f>--851.09</f>
        <v>851.09</v>
      </c>
      <c r="E55" s="2"/>
      <c r="F55" s="22">
        <f t="shared" si="36"/>
        <v>2.3057896020156593E-2</v>
      </c>
      <c r="G55" s="2"/>
      <c r="H55" s="2">
        <f>--1299.12</f>
        <v>1299.1199999999999</v>
      </c>
      <c r="I55" s="2"/>
      <c r="J55" s="22">
        <f t="shared" si="37"/>
        <v>1.9655939358177114E-2</v>
      </c>
      <c r="K55" s="2"/>
      <c r="L55" s="2">
        <f t="shared" si="38"/>
        <v>-448.02999999999986</v>
      </c>
      <c r="M55" s="2"/>
      <c r="N55" s="22">
        <f t="shared" si="39"/>
        <v>-0.34487191329515354</v>
      </c>
      <c r="O55" s="11"/>
      <c r="P55" s="2">
        <f>--851.09</f>
        <v>851.09</v>
      </c>
      <c r="Q55" s="2"/>
      <c r="R55" s="22">
        <f t="shared" si="40"/>
        <v>2.3057896020156593E-2</v>
      </c>
      <c r="S55" s="2"/>
      <c r="T55" s="2">
        <f>--1299.12</f>
        <v>1299.1199999999999</v>
      </c>
      <c r="U55" s="2"/>
      <c r="V55" s="22">
        <f t="shared" si="41"/>
        <v>1.9655939358177114E-2</v>
      </c>
      <c r="W55" s="2"/>
      <c r="X55" s="2">
        <f t="shared" si="42"/>
        <v>-448.02999999999986</v>
      </c>
      <c r="Y55" s="2"/>
      <c r="Z55" s="22">
        <f t="shared" si="43"/>
        <v>-0.34487191329515354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3</v>
      </c>
      <c r="C57" s="25"/>
      <c r="D57" s="21">
        <f>+D17-D19+D54</f>
        <v>0.48000000000672571</v>
      </c>
      <c r="E57" s="13"/>
      <c r="F57" s="20">
        <f>IF(D$12=0,0,D57/D$12)</f>
        <v>1.300425347475619E-5</v>
      </c>
      <c r="G57" s="13"/>
      <c r="H57" s="21">
        <f>+H17-H19+H54</f>
        <v>0.11000000000512955</v>
      </c>
      <c r="I57" s="13"/>
      <c r="J57" s="20">
        <f>IF(H$12=0,0,H57/H$12)</f>
        <v>1.6643214864680004E-6</v>
      </c>
      <c r="K57" s="16"/>
      <c r="L57" s="21">
        <f>+D57-H57</f>
        <v>0.37000000000159616</v>
      </c>
      <c r="M57" s="16"/>
      <c r="N57" s="20">
        <f>IF(H57=0,0,L57/H57)</f>
        <v>3.3636363634940203</v>
      </c>
      <c r="O57" s="26"/>
      <c r="P57" s="21">
        <f>+P17-P19+P54</f>
        <v>0.48000000000672571</v>
      </c>
      <c r="Q57" s="13"/>
      <c r="R57" s="20">
        <f>IF(P$12=0,0,P57/P$12)</f>
        <v>1.300425347475619E-5</v>
      </c>
      <c r="S57" s="13"/>
      <c r="T57" s="21">
        <f>+T17-T19+T54</f>
        <v>0.11000000000512955</v>
      </c>
      <c r="U57" s="13"/>
      <c r="V57" s="20">
        <f>IF(T$12=0,0,T57/T$12)</f>
        <v>1.6643214864680004E-6</v>
      </c>
      <c r="W57" s="16"/>
      <c r="X57" s="21">
        <f>+P57-T57</f>
        <v>0.37000000000159616</v>
      </c>
      <c r="Y57" s="16"/>
      <c r="Z57" s="20">
        <f>IF(T57=0,0,X57/T57)</f>
        <v>3.3636363634940203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1"/>
      <c r="B59" s="10" t="s">
        <v>13</v>
      </c>
      <c r="C59" s="10"/>
      <c r="D59" s="4">
        <v>7674.88</v>
      </c>
      <c r="E59" s="4"/>
      <c r="F59" s="12">
        <f>IF(D$12=0,0,D59/D$12)</f>
        <v>0.20792934355612147</v>
      </c>
      <c r="G59" s="4"/>
      <c r="H59" s="4">
        <v>13568.94</v>
      </c>
      <c r="I59" s="4"/>
      <c r="J59" s="12">
        <f>IF(H$12=0,0,H59/H$12)</f>
        <v>0.20530071263220009</v>
      </c>
      <c r="K59" s="4"/>
      <c r="L59" s="4">
        <f>+D59-H59</f>
        <v>-5894.06</v>
      </c>
      <c r="M59" s="4"/>
      <c r="N59" s="12">
        <f>IF(H59=0,0,L59/H59)</f>
        <v>-0.43437880925112798</v>
      </c>
      <c r="O59" s="10"/>
      <c r="P59" s="4">
        <v>7674.88</v>
      </c>
      <c r="Q59" s="4"/>
      <c r="R59" s="12">
        <f>IF(P$12=0,0,P59/P$12)</f>
        <v>0.20792934355612147</v>
      </c>
      <c r="S59" s="4"/>
      <c r="T59" s="4">
        <v>13568.94</v>
      </c>
      <c r="U59" s="4"/>
      <c r="V59" s="12">
        <f>IF(T$12=0,0,T59/T$12)</f>
        <v>0.20530071263220009</v>
      </c>
      <c r="W59" s="4"/>
      <c r="X59" s="4">
        <f>+P59-T59</f>
        <v>-5894.06</v>
      </c>
      <c r="Y59" s="4"/>
      <c r="Z59" s="12">
        <f>IF(T59=0,0,X59/T59)</f>
        <v>-0.43437880925112798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5" t="s">
        <v>4</v>
      </c>
      <c r="C61" s="25"/>
      <c r="D61" s="33">
        <f>+D57-D59</f>
        <v>-7674.3999999999933</v>
      </c>
      <c r="E61" s="13"/>
      <c r="F61" s="34">
        <f>IF(D$12=0,0,D61/D$12)</f>
        <v>-0.20791633930264672</v>
      </c>
      <c r="G61" s="13"/>
      <c r="H61" s="33">
        <f>+H57-H59</f>
        <v>-13568.829999999994</v>
      </c>
      <c r="I61" s="13"/>
      <c r="J61" s="34">
        <f>IF(H$12=0,0,H61/H$12)</f>
        <v>-0.20529904831071361</v>
      </c>
      <c r="K61" s="16"/>
      <c r="L61" s="33">
        <f>D61-H61</f>
        <v>5894.4300000000012</v>
      </c>
      <c r="M61" s="16"/>
      <c r="N61" s="34">
        <f>IF(H61=0,0,L61/H61)</f>
        <v>-0.4344095990590201</v>
      </c>
      <c r="O61" s="26"/>
      <c r="P61" s="33">
        <f>+P57-P59</f>
        <v>-7674.3999999999933</v>
      </c>
      <c r="Q61" s="13"/>
      <c r="R61" s="34">
        <f>IF(P$12=0,0,P61/P$12)</f>
        <v>-0.20791633930264672</v>
      </c>
      <c r="S61" s="13"/>
      <c r="T61" s="33">
        <f>+T57-T59</f>
        <v>-13568.829999999994</v>
      </c>
      <c r="U61" s="13"/>
      <c r="V61" s="34">
        <f>IF(T$12=0,0,T61/T$12)</f>
        <v>-0.20529904831071361</v>
      </c>
      <c r="W61" s="16"/>
      <c r="X61" s="33">
        <f>P61-T61</f>
        <v>5894.4300000000012</v>
      </c>
      <c r="Y61" s="16"/>
      <c r="Z61" s="34">
        <f>IF(T61=0,0,X61/T61)</f>
        <v>-0.4344095990590201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5</v>
      </c>
      <c r="C64" s="25"/>
      <c r="D64" s="31">
        <f>SUM(D61:D63)</f>
        <v>-7674.3999999999933</v>
      </c>
      <c r="E64" s="13"/>
      <c r="F64" s="30">
        <f>IF(D$12=0,0,D64/D$12)</f>
        <v>-0.20791633930264672</v>
      </c>
      <c r="G64" s="13"/>
      <c r="H64" s="31">
        <f>SUM(H61:H63)</f>
        <v>-13568.829999999994</v>
      </c>
      <c r="I64" s="13"/>
      <c r="J64" s="30">
        <f>IF(H$12=0,0,H64/H$12)</f>
        <v>-0.20529904831071361</v>
      </c>
      <c r="K64" s="16"/>
      <c r="L64" s="31">
        <f>+D64-H64</f>
        <v>5894.4300000000012</v>
      </c>
      <c r="M64" s="16"/>
      <c r="N64" s="30">
        <f>IF(H64=0,0,L64/H64)</f>
        <v>-0.4344095990590201</v>
      </c>
      <c r="O64" s="26"/>
      <c r="P64" s="31">
        <f>SUM(P61:P63)</f>
        <v>-7674.3999999999933</v>
      </c>
      <c r="Q64" s="13"/>
      <c r="R64" s="30">
        <f>IF(P$12=0,0,P64/P$12)</f>
        <v>-0.20791633930264672</v>
      </c>
      <c r="S64" s="13"/>
      <c r="T64" s="31">
        <f>SUM(T61:T63)</f>
        <v>-13568.829999999994</v>
      </c>
      <c r="U64" s="13"/>
      <c r="V64" s="30">
        <f>IF(T$12=0,0,T64/T$12)</f>
        <v>-0.20529904831071361</v>
      </c>
      <c r="W64" s="16"/>
      <c r="X64" s="31">
        <f>+P64-T64</f>
        <v>5894.4300000000012</v>
      </c>
      <c r="Y64" s="16"/>
      <c r="Z64" s="30">
        <f>IF(T64=0,0,X64/T64)</f>
        <v>-0.4344095990590201</v>
      </c>
    </row>
    <row r="65" spans="1:24" ht="15.75" thickTop="1" x14ac:dyDescent="0.25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6">
        <v>43726.682485300924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3" t="s">
        <v>313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A68" s="9"/>
      <c r="B68" s="5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25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5"/>
      <c r="G3" s="17"/>
      <c r="H3" s="17"/>
      <c r="I3" s="17"/>
      <c r="J3" s="38"/>
      <c r="K3" s="17"/>
      <c r="L3" s="17"/>
      <c r="M3" s="17"/>
      <c r="N3" s="45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38"/>
      <c r="K4" s="17"/>
      <c r="L4" s="17"/>
      <c r="M4" s="17"/>
      <c r="N4" s="45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5"/>
      <c r="G5" s="17"/>
      <c r="H5" s="17"/>
      <c r="I5" s="17"/>
      <c r="J5" s="38"/>
      <c r="K5" s="17"/>
      <c r="L5" s="17"/>
      <c r="M5" s="17"/>
      <c r="N5" s="45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5"/>
      <c r="G6" s="17"/>
      <c r="H6" s="17"/>
      <c r="I6" s="17"/>
      <c r="J6" s="38"/>
      <c r="K6" s="17"/>
      <c r="L6" s="17"/>
      <c r="M6" s="17"/>
      <c r="N6" s="45"/>
      <c r="O6" s="58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55"/>
      <c r="C10" s="10"/>
      <c r="D10" s="42" t="s">
        <v>10</v>
      </c>
      <c r="E10" s="36"/>
      <c r="F10" s="32" t="s">
        <v>14</v>
      </c>
      <c r="G10" s="36"/>
      <c r="H10" s="48" t="s">
        <v>306</v>
      </c>
      <c r="I10" s="36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61" t="s">
        <v>10</v>
      </c>
      <c r="Q10" s="36"/>
      <c r="R10" s="32" t="s">
        <v>14</v>
      </c>
      <c r="S10" s="36"/>
      <c r="T10" s="48" t="s">
        <v>306</v>
      </c>
      <c r="U10" s="36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-_xll.OneStop.ReportPlayer.OSRFunctions.OSRGet("GL_F_Trans","Value1")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-_xll.OneStop.ReportPlayer.OSRFunctions.OSRGet("GL_F_Trans","Value1")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6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1" t="e">
        <f ca="1">SUM(D31:D35)</f>
        <v>#NAME?</v>
      </c>
      <c r="E36" s="13"/>
      <c r="F36" s="30" t="e">
        <f ca="1">IF(D$12=0,0,D36/D$12)</f>
        <v>#NAME?</v>
      </c>
      <c r="G36" s="13"/>
      <c r="H36" s="31" t="e">
        <f ca="1">SUM(H31:H35)</f>
        <v>#NAME?</v>
      </c>
      <c r="I36" s="13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6"/>
      <c r="P36" s="31" t="e">
        <f ca="1">SUM(P31:P35)</f>
        <v>#NAME?</v>
      </c>
      <c r="Q36" s="13"/>
      <c r="R36" s="30" t="e">
        <f ca="1">IF(P$12=0,0,P36/P$12)</f>
        <v>#NAME?</v>
      </c>
      <c r="S36" s="13"/>
      <c r="T36" s="31" t="e">
        <f ca="1">SUM(T31:T35)</f>
        <v>#NAME?</v>
      </c>
      <c r="U36" s="13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3886</vt:i4>
      </vt:variant>
    </vt:vector>
  </HeadingPairs>
  <TitlesOfParts>
    <vt:vector size="3987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'424'!OSRRefD16x_0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'321'!OSRRefD22_10x_0</vt:lpstr>
      <vt:lpstr>'322'!OSRRefD22_10x_0</vt:lpstr>
      <vt:lpstr>'325'!OSRRefD22_10x_0</vt:lpstr>
      <vt:lpstr>'326'!OSRRefD22_10x_0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'Div 2'!OSRRefD22_10x_0</vt:lpstr>
      <vt:lpstr>'Div 3'!OSRRefD22_10x_0</vt:lpstr>
      <vt:lpstr>'Div 4'!OSRRefD22_10x_0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'321'!OSRRefD22_11x_0</vt:lpstr>
      <vt:lpstr>'322'!OSRRefD22_11x_0</vt:lpstr>
      <vt:lpstr>'325'!OSRRefD22_11x_0</vt:lpstr>
      <vt:lpstr>'326'!OSRRefD22_11x_0</vt:lpstr>
      <vt:lpstr>'331'!OSRRefD22_11x_0</vt:lpstr>
      <vt:lpstr>'405'!OSRRefD22_11x_0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'322'!OSRRefD22_12x_0</vt:lpstr>
      <vt:lpstr>'325'!OSRRefD22_12x_0</vt:lpstr>
      <vt:lpstr>'326'!OSRRefD22_12x_0</vt:lpstr>
      <vt:lpstr>'331'!OSRRefD22_12x_0</vt:lpstr>
      <vt:lpstr>'405'!OSRRefD22_12x_0</vt:lpstr>
      <vt:lpstr>'411'!OSRRefD22_12x_0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'322'!OSRRefD22_13x_0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'414'!OSRRefD22_13x_0</vt:lpstr>
      <vt:lpstr>'415'!OSRRefD22_13x_0</vt:lpstr>
      <vt:lpstr>'425'!OSRRefD22_13x_0</vt:lpstr>
      <vt:lpstr>'444'!OSRRefD22_13x_0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'325'!OSRRefD22_14x_0</vt:lpstr>
      <vt:lpstr>'326'!OSRRefD22_14x_0</vt:lpstr>
      <vt:lpstr>'331'!OSRRefD22_14x_0</vt:lpstr>
      <vt:lpstr>'405'!OSRRefD22_14x_0</vt:lpstr>
      <vt:lpstr>'415'!OSRRefD22_14x_0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'415'!OSRRefD22_15x_0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'405'!OSRRefD22_16x_0</vt:lpstr>
      <vt:lpstr>'415'!OSRRefD22_16x_0</vt:lpstr>
      <vt:lpstr>'491'!OSRRefD22_16x_0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'415'!OSRRefD22_17x_0</vt:lpstr>
      <vt:lpstr>'491'!OSRRefD22_17x_0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'310 &amp; 491'!OSRRefD22_22x_0</vt:lpstr>
      <vt:lpstr>'Div 3'!OSRRefD22_22x_0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'424'!OSRRefH16x_0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'321'!OSRRefH22_10x_0</vt:lpstr>
      <vt:lpstr>'322'!OSRRefH22_10x_0</vt:lpstr>
      <vt:lpstr>'325'!OSRRefH22_10x_0</vt:lpstr>
      <vt:lpstr>'326'!OSRRefH22_10x_0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'Div 2'!OSRRefH22_10x_0</vt:lpstr>
      <vt:lpstr>'Div 3'!OSRRefH22_10x_0</vt:lpstr>
      <vt:lpstr>'Div 4'!OSRRefH22_10x_0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'321'!OSRRefH22_11x_0</vt:lpstr>
      <vt:lpstr>'322'!OSRRefH22_11x_0</vt:lpstr>
      <vt:lpstr>'325'!OSRRefH22_11x_0</vt:lpstr>
      <vt:lpstr>'326'!OSRRefH22_11x_0</vt:lpstr>
      <vt:lpstr>'331'!OSRRefH22_11x_0</vt:lpstr>
      <vt:lpstr>'405'!OSRRefH22_11x_0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'322'!OSRRefH22_12x_0</vt:lpstr>
      <vt:lpstr>'325'!OSRRefH22_12x_0</vt:lpstr>
      <vt:lpstr>'326'!OSRRefH22_12x_0</vt:lpstr>
      <vt:lpstr>'331'!OSRRefH22_12x_0</vt:lpstr>
      <vt:lpstr>'405'!OSRRefH22_12x_0</vt:lpstr>
      <vt:lpstr>'411'!OSRRefH22_12x_0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'322'!OSRRefH22_13x_0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'414'!OSRRefH22_13x_0</vt:lpstr>
      <vt:lpstr>'415'!OSRRefH22_13x_0</vt:lpstr>
      <vt:lpstr>'425'!OSRRefH22_13x_0</vt:lpstr>
      <vt:lpstr>'444'!OSRRefH22_13x_0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'325'!OSRRefH22_14x_0</vt:lpstr>
      <vt:lpstr>'326'!OSRRefH22_14x_0</vt:lpstr>
      <vt:lpstr>'331'!OSRRefH22_14x_0</vt:lpstr>
      <vt:lpstr>'405'!OSRRefH22_14x_0</vt:lpstr>
      <vt:lpstr>'415'!OSRRefH22_14x_0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'415'!OSRRefH22_15x_0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'405'!OSRRefH22_16x_0</vt:lpstr>
      <vt:lpstr>'415'!OSRRefH22_16x_0</vt:lpstr>
      <vt:lpstr>'491'!OSRRefH22_16x_0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'415'!OSRRefH22_17x_0</vt:lpstr>
      <vt:lpstr>'491'!OSRRefH22_17x_0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'310 &amp; 491'!OSRRefH22_22x_0</vt:lpstr>
      <vt:lpstr>'Div 3'!OSRRefH22_22x_0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'424'!OSRRefP16x_0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'321'!OSRRefP22_10x_0</vt:lpstr>
      <vt:lpstr>'322'!OSRRefP22_10x_0</vt:lpstr>
      <vt:lpstr>'325'!OSRRefP22_10x_0</vt:lpstr>
      <vt:lpstr>'326'!OSRRefP22_10x_0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'Div 2'!OSRRefP22_10x_0</vt:lpstr>
      <vt:lpstr>'Div 3'!OSRRefP22_10x_0</vt:lpstr>
      <vt:lpstr>'Div 4'!OSRRefP22_10x_0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'321'!OSRRefP22_11x_0</vt:lpstr>
      <vt:lpstr>'322'!OSRRefP22_11x_0</vt:lpstr>
      <vt:lpstr>'325'!OSRRefP22_11x_0</vt:lpstr>
      <vt:lpstr>'326'!OSRRefP22_11x_0</vt:lpstr>
      <vt:lpstr>'331'!OSRRefP22_11x_0</vt:lpstr>
      <vt:lpstr>'405'!OSRRefP22_11x_0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'322'!OSRRefP22_12x_0</vt:lpstr>
      <vt:lpstr>'325'!OSRRefP22_12x_0</vt:lpstr>
      <vt:lpstr>'326'!OSRRefP22_12x_0</vt:lpstr>
      <vt:lpstr>'331'!OSRRefP22_12x_0</vt:lpstr>
      <vt:lpstr>'405'!OSRRefP22_12x_0</vt:lpstr>
      <vt:lpstr>'411'!OSRRefP22_12x_0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'322'!OSRRefP22_13x_0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'414'!OSRRefP22_13x_0</vt:lpstr>
      <vt:lpstr>'415'!OSRRefP22_13x_0</vt:lpstr>
      <vt:lpstr>'425'!OSRRefP22_13x_0</vt:lpstr>
      <vt:lpstr>'444'!OSRRefP22_13x_0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'325'!OSRRefP22_14x_0</vt:lpstr>
      <vt:lpstr>'326'!OSRRefP22_14x_0</vt:lpstr>
      <vt:lpstr>'331'!OSRRefP22_14x_0</vt:lpstr>
      <vt:lpstr>'405'!OSRRefP22_14x_0</vt:lpstr>
      <vt:lpstr>'415'!OSRRefP22_14x_0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'415'!OSRRefP22_15x_0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'405'!OSRRefP22_16x_0</vt:lpstr>
      <vt:lpstr>'415'!OSRRefP22_16x_0</vt:lpstr>
      <vt:lpstr>'491'!OSRRefP22_16x_0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'415'!OSRRefP22_17x_0</vt:lpstr>
      <vt:lpstr>'491'!OSRRefP22_17x_0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'310 &amp; 491'!OSRRefP22_22x_0</vt:lpstr>
      <vt:lpstr>'Div 3'!OSRRefP22_22x_0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'424'!OSRRefT16x_0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'321'!OSRRefT22_10x_0</vt:lpstr>
      <vt:lpstr>'322'!OSRRefT22_10x_0</vt:lpstr>
      <vt:lpstr>'325'!OSRRefT22_10x_0</vt:lpstr>
      <vt:lpstr>'326'!OSRRefT22_10x_0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'Div 2'!OSRRefT22_10x_0</vt:lpstr>
      <vt:lpstr>'Div 3'!OSRRefT22_10x_0</vt:lpstr>
      <vt:lpstr>'Div 4'!OSRRefT22_10x_0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'321'!OSRRefT22_11x_0</vt:lpstr>
      <vt:lpstr>'322'!OSRRefT22_11x_0</vt:lpstr>
      <vt:lpstr>'325'!OSRRefT22_11x_0</vt:lpstr>
      <vt:lpstr>'326'!OSRRefT22_11x_0</vt:lpstr>
      <vt:lpstr>'331'!OSRRefT22_11x_0</vt:lpstr>
      <vt:lpstr>'405'!OSRRefT22_11x_0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'322'!OSRRefT22_12x_0</vt:lpstr>
      <vt:lpstr>'325'!OSRRefT22_12x_0</vt:lpstr>
      <vt:lpstr>'326'!OSRRefT22_12x_0</vt:lpstr>
      <vt:lpstr>'331'!OSRRefT22_12x_0</vt:lpstr>
      <vt:lpstr>'405'!OSRRefT22_12x_0</vt:lpstr>
      <vt:lpstr>'411'!OSRRefT22_12x_0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'322'!OSRRefT22_13x_0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'414'!OSRRefT22_13x_0</vt:lpstr>
      <vt:lpstr>'415'!OSRRefT22_13x_0</vt:lpstr>
      <vt:lpstr>'425'!OSRRefT22_13x_0</vt:lpstr>
      <vt:lpstr>'444'!OSRRefT22_13x_0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'325'!OSRRefT22_14x_0</vt:lpstr>
      <vt:lpstr>'326'!OSRRefT22_14x_0</vt:lpstr>
      <vt:lpstr>'331'!OSRRefT22_14x_0</vt:lpstr>
      <vt:lpstr>'405'!OSRRefT22_14x_0</vt:lpstr>
      <vt:lpstr>'415'!OSRRefT22_14x_0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'415'!OSRRefT22_15x_0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'405'!OSRRefT22_16x_0</vt:lpstr>
      <vt:lpstr>'415'!OSRRefT22_16x_0</vt:lpstr>
      <vt:lpstr>'491'!OSRRefT22_16x_0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'415'!OSRRefT22_17x_0</vt:lpstr>
      <vt:lpstr>'491'!OSRRefT22_17x_0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'310 &amp; 491'!OSRRefT22_22x_0</vt:lpstr>
      <vt:lpstr>'Div 3'!OSRRefT22_22x_0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2019-09-19T00:09:45Z</dcterms:modified>
</cp:coreProperties>
</file>